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237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234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82.xml"/>
  <Override ContentType="application/vnd.openxmlformats-officedocument.spreadsheetml.worksheet+xml" PartName="/xl/worksheets/sheet22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236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235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238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234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238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openxmlformats-officedocument.drawing+xml" PartName="/xl/drawings/drawing233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ular" sheetId="1" r:id="rId5"/>
    <sheet state="visible" name="FacultyList" sheetId="2" r:id="rId6"/>
    <sheet state="visible" name="Course_Coordinators" sheetId="3" r:id="rId7"/>
    <sheet state="hidden" name="ExamDates" sheetId="4" r:id="rId8"/>
    <sheet state="hidden" name="Template" sheetId="5" r:id="rId9"/>
    <sheet state="hidden" name="ID___" sheetId="6" r:id="rId10"/>
    <sheet state="hidden" name="Links" sheetId="7" r:id="rId11"/>
    <sheet state="visible" name="AAF" sheetId="8" r:id="rId12"/>
    <sheet state="visible" name="AAR" sheetId="9" r:id="rId13"/>
    <sheet state="visible" name="ACH" sheetId="10" r:id="rId14"/>
    <sheet state="visible" name="ADD" sheetId="11" r:id="rId15"/>
    <sheet state="visible" name="ADR" sheetId="12" r:id="rId16"/>
    <sheet state="visible" name="ADU" sheetId="13" r:id="rId17"/>
    <sheet state="visible" name="AFA" sheetId="14" r:id="rId18"/>
    <sheet state="visible" name="AFQ" sheetId="15" r:id="rId19"/>
    <sheet state="visible" name="AHA" sheetId="16" r:id="rId20"/>
    <sheet state="visible" name="AHC" sheetId="17" r:id="rId21"/>
    <sheet state="visible" name="AIB" sheetId="18" r:id="rId22"/>
    <sheet state="visible" name="AJA" sheetId="19" r:id="rId23"/>
    <sheet state="visible" name="AJK" sheetId="20" r:id="rId24"/>
    <sheet state="visible" name="AKDB" sheetId="21" r:id="rId25"/>
    <sheet state="visible" name="AKDR" sheetId="22" r:id="rId26"/>
    <sheet state="visible" name="AKJ" sheetId="23" r:id="rId27"/>
    <sheet state="visible" name="AKTD" sheetId="24" r:id="rId28"/>
    <sheet state="visible" name="ALB" sheetId="25" r:id="rId29"/>
    <sheet state="visible" name="ALSM" sheetId="26" r:id="rId30"/>
    <sheet state="visible" name="AMK" sheetId="27" r:id="rId31"/>
    <sheet state="visible" name="ANK" sheetId="28" r:id="rId32"/>
    <sheet state="visible" name="ANKH" sheetId="29" r:id="rId33"/>
    <sheet state="visible" name="ANNH" sheetId="30" r:id="rId34"/>
    <sheet state="visible" name="ANT" sheetId="31" r:id="rId35"/>
    <sheet state="visible" name="ANWE" sheetId="32" r:id="rId36"/>
    <sheet state="visible" name="AOH" sheetId="33" r:id="rId37"/>
    <sheet state="visible" name="AQJ" sheetId="34" r:id="rId38"/>
    <sheet state="visible" name="AQT" sheetId="35" r:id="rId39"/>
    <sheet state="visible" name="AQU" sheetId="36" r:id="rId40"/>
    <sheet state="visible" name="ARA" sheetId="37" r:id="rId41"/>
    <sheet state="visible" name="ARD" sheetId="38" r:id="rId42"/>
    <sheet state="visible" name="ARF" sheetId="39" r:id="rId43"/>
    <sheet state="visible" name="ARIF" sheetId="40" r:id="rId44"/>
    <sheet state="visible" name="AROY" sheetId="41" r:id="rId45"/>
    <sheet state="visible" name="ARPD" sheetId="42" r:id="rId46"/>
    <sheet state="visible" name="ART" sheetId="43" r:id="rId47"/>
    <sheet state="visible" name="ASA" sheetId="44" r:id="rId48"/>
    <sheet state="visible" name="ASAK" sheetId="45" r:id="rId49"/>
    <sheet state="visible" name="ASMN" sheetId="46" r:id="rId50"/>
    <sheet state="visible" name="ASRF" sheetId="47" r:id="rId51"/>
    <sheet state="visible" name="ATY" sheetId="48" r:id="rId52"/>
    <sheet state="visible" name="AVB" sheetId="49" r:id="rId53"/>
    <sheet state="visible" name="AWK" sheetId="50" r:id="rId54"/>
    <sheet state="visible" name="AYO" sheetId="51" r:id="rId55"/>
    <sheet state="visible" name="BDH" sheetId="52" r:id="rId56"/>
    <sheet state="visible" name="BIJS" sheetId="53" r:id="rId57"/>
    <sheet state="visible" name="CABS" sheetId="54" r:id="rId58"/>
    <sheet state="visible" name="CAKM" sheetId="55" r:id="rId59"/>
    <sheet state="visible" name="CAPN" sheetId="56" r:id="rId60"/>
    <sheet state="visible" name="CESF" sheetId="57" r:id="rId61"/>
    <sheet state="visible" name="CKMH" sheetId="58" r:id="rId62"/>
    <sheet state="visible" name="CMHH" sheetId="59" r:id="rId63"/>
    <sheet state="visible" name="CMR" sheetId="60" r:id="rId64"/>
    <sheet state="visible" name="CNZR" sheetId="61" r:id="rId65"/>
    <sheet state="visible" name="CPTH" sheetId="62" r:id="rId66"/>
    <sheet state="visible" name="CQAE" sheetId="63" r:id="rId67"/>
    <sheet state="visible" name="CRHB" sheetId="64" r:id="rId68"/>
    <sheet state="visible" name="CSAB" sheetId="65" r:id="rId69"/>
    <sheet state="visible" name="CSSA" sheetId="66" r:id="rId70"/>
    <sheet state="visible" name="CSSN" sheetId="67" r:id="rId71"/>
    <sheet state="visible" name="CSYR" sheetId="68" r:id="rId72"/>
    <sheet state="visible" name="DFD" sheetId="69" r:id="rId73"/>
    <sheet state="visible" name="DPRN" sheetId="70" r:id="rId74"/>
    <sheet state="visible" name="DPU" sheetId="71" r:id="rId75"/>
    <sheet state="visible" name="DZK" sheetId="72" r:id="rId76"/>
    <sheet state="visible" name="EHQ" sheetId="73" r:id="rId77"/>
    <sheet state="visible" name="FARS" sheetId="74" r:id="rId78"/>
    <sheet state="visible" name="FBAW" sheetId="75" r:id="rId79"/>
    <sheet state="visible" name="FDC" sheetId="76" r:id="rId80"/>
    <sheet state="visible" name="FDM" sheetId="77" r:id="rId81"/>
    <sheet state="visible" name="FDZ" sheetId="78" r:id="rId82"/>
    <sheet state="visible" name="FEK" sheetId="79" r:id="rId83"/>
    <sheet state="visible" name="FFR" sheetId="80" r:id="rId84"/>
    <sheet state="visible" name="FFU" sheetId="81" r:id="rId85"/>
    <sheet state="visible" name="FGZ" sheetId="82" r:id="rId86"/>
    <sheet state="visible" name="FIC" sheetId="83" r:id="rId87"/>
    <sheet state="visible" name="FMK" sheetId="84" r:id="rId88"/>
    <sheet state="visible" name="FYS" sheetId="85" r:id="rId89"/>
    <sheet state="visible" name="FZN" sheetId="86" r:id="rId90"/>
    <sheet state="visible" name="GRA" sheetId="87" r:id="rId91"/>
    <sheet state="visible" name="HBN" sheetId="88" r:id="rId92"/>
    <sheet state="visible" name="HFN" sheetId="89" r:id="rId93"/>
    <sheet state="visible" name="HMH" sheetId="90" r:id="rId94"/>
    <sheet state="visible" name="IBA" sheetId="91" r:id="rId95"/>
    <sheet state="visible" name="IBU" sheetId="92" r:id="rId96"/>
    <sheet state="visible" name="IRZ" sheetId="93" r:id="rId97"/>
    <sheet state="visible" name="ITTSC" sheetId="94" r:id="rId98"/>
    <sheet state="visible" name="KBS" sheetId="95" r:id="rId99"/>
    <sheet state="visible" name="KHR" sheetId="96" r:id="rId100"/>
    <sheet state="visible" name="KKP" sheetId="97" r:id="rId101"/>
    <sheet state="visible" name="KKS" sheetId="98" r:id="rId102"/>
    <sheet state="visible" name="KNI" sheetId="99" r:id="rId103"/>
    <sheet state="visible" name="KYK" sheetId="100" r:id="rId104"/>
    <sheet state="visible" name="KZMN" sheetId="101" r:id="rId105"/>
    <sheet state="visible" name="LBBH" sheetId="102" r:id="rId106"/>
    <sheet state="visible" name="LMI" sheetId="103" r:id="rId107"/>
    <sheet state="visible" name="LRK" sheetId="104" r:id="rId108"/>
    <sheet state="visible" name="MAF" sheetId="105" r:id="rId109"/>
    <sheet state="visible" name="MAHR" sheetId="106" r:id="rId110"/>
    <sheet state="visible" name="MAJIJ" sheetId="107" r:id="rId111"/>
    <sheet state="visible" name="MAO" sheetId="108" r:id="rId112"/>
    <sheet state="visible" name="MAU" sheetId="109" r:id="rId113"/>
    <sheet state="visible" name="MCW" sheetId="110" r:id="rId114"/>
    <sheet state="visible" name="MDF" sheetId="111" r:id="rId115"/>
    <sheet state="visible" name="MHDE" sheetId="112" r:id="rId116"/>
    <sheet state="visible" name="MHM" sheetId="113" r:id="rId117"/>
    <sheet state="visible" name="MHY" sheetId="114" r:id="rId118"/>
    <sheet state="visible" name="MIH" sheetId="115" r:id="rId119"/>
    <sheet state="visible" name="MLH" sheetId="116" r:id="rId120"/>
    <sheet state="visible" name="MMM" sheetId="117" r:id="rId121"/>
    <sheet state="visible" name="MNP" sheetId="118" r:id="rId122"/>
    <sheet state="visible" name="MNY" sheetId="119" r:id="rId123"/>
    <sheet state="visible" name="MOM" sheetId="120" r:id="rId124"/>
    <sheet state="visible" name="MRIA" sheetId="121" r:id="rId125"/>
    <sheet state="visible" name="MSA" sheetId="122" r:id="rId126"/>
    <sheet state="visible" name="MSAH" sheetId="123" r:id="rId127"/>
    <sheet state="visible" name="MSI" sheetId="124" r:id="rId128"/>
    <sheet state="visible" name="MSMA" sheetId="125" r:id="rId129"/>
    <sheet state="visible" name="MTOT" sheetId="126" r:id="rId130"/>
    <sheet state="visible" name="MTSM" sheetId="127" r:id="rId131"/>
    <sheet state="visible" name="MUNR" sheetId="128" r:id="rId132"/>
    <sheet state="visible" name="MVH" sheetId="129" r:id="rId133"/>
    <sheet state="visible" name="MZFZ" sheetId="130" r:id="rId134"/>
    <sheet state="visible" name="MZG" sheetId="131" r:id="rId135"/>
    <sheet state="visible" name="MZW" sheetId="132" r:id="rId136"/>
    <sheet state="visible" name="NAFR" sheetId="133" r:id="rId137"/>
    <sheet state="visible" name="NAST" sheetId="134" r:id="rId138"/>
    <sheet state="visible" name="NDT" sheetId="135" r:id="rId139"/>
    <sheet state="visible" name="NFS" sheetId="136" r:id="rId140"/>
    <sheet state="visible" name="NLAM" sheetId="137" r:id="rId141"/>
    <sheet state="visible" name="NLH" sheetId="138" r:id="rId142"/>
    <sheet state="visible" name="NMP" sheetId="139" r:id="rId143"/>
    <sheet state="visible" name="NNC" sheetId="140" r:id="rId144"/>
    <sheet state="visible" name="NQM" sheetId="141" r:id="rId145"/>
    <sheet state="visible" name="NTN" sheetId="142" r:id="rId146"/>
    <sheet state="visible" name="NTR" sheetId="143" r:id="rId147"/>
    <sheet state="visible" name="NUR" sheetId="144" r:id="rId148"/>
    <sheet state="visible" name="NWT" sheetId="145" r:id="rId149"/>
    <sheet state="visible" name="NZRF" sheetId="146" r:id="rId150"/>
    <sheet state="visible" name="NZU" sheetId="147" r:id="rId151"/>
    <sheet state="visible" name="PBK" sheetId="148" r:id="rId152"/>
    <sheet state="visible" name="PDS" sheetId="149" r:id="rId153"/>
    <sheet state="visible" name="PLN" sheetId="150" r:id="rId154"/>
    <sheet state="visible" name="PRC" sheetId="151" r:id="rId155"/>
    <sheet state="visible" name="PSMD" sheetId="152" r:id="rId156"/>
    <sheet state="visible" name="QUZA" sheetId="153" r:id="rId157"/>
    <sheet state="visible" name="RAHA" sheetId="154" r:id="rId158"/>
    <sheet state="visible" name="RAK" sheetId="155" r:id="rId159"/>
    <sheet state="visible" name="RAO" sheetId="156" r:id="rId160"/>
    <sheet state="visible" name="RAS" sheetId="157" r:id="rId161"/>
    <sheet state="visible" name="RBR" sheetId="158" r:id="rId162"/>
    <sheet state="visible" name="RDS" sheetId="159" r:id="rId163"/>
    <sheet state="visible" name="RDW" sheetId="160" r:id="rId164"/>
    <sheet state="visible" name="RFF" sheetId="161" r:id="rId165"/>
    <sheet state="visible" name="RFQ" sheetId="162" r:id="rId166"/>
    <sheet state="visible" name="RFR" sheetId="163" r:id="rId167"/>
    <sheet state="visible" name="RFTS" sheetId="164" r:id="rId168"/>
    <sheet state="visible" name="RHD" sheetId="165" r:id="rId169"/>
    <sheet state="visible" name="RKBM" sheetId="166" r:id="rId170"/>
    <sheet state="visible" name="RKBR" sheetId="167" r:id="rId171"/>
    <sheet state="visible" name="RKN" sheetId="168" r:id="rId172"/>
    <sheet state="visible" name="RRH" sheetId="169" r:id="rId173"/>
    <sheet state="visible" name="RSS" sheetId="170" r:id="rId174"/>
    <sheet state="visible" name="RSYR" sheetId="171" r:id="rId175"/>
    <sheet state="visible" name="RZR" sheetId="172" r:id="rId176"/>
    <sheet state="visible" name="SADA" sheetId="173" r:id="rId177"/>
    <sheet state="visible" name="SADF" sheetId="174" r:id="rId178"/>
    <sheet state="visible" name="SBHN" sheetId="175" r:id="rId179"/>
    <sheet state="visible" name="SDAS" sheetId="176" r:id="rId180"/>
    <sheet state="visible" name="SDF" sheetId="177" r:id="rId181"/>
    <sheet state="visible" name="SDL" sheetId="178" r:id="rId182"/>
    <sheet state="visible" name="SDQ" sheetId="179" r:id="rId183"/>
    <sheet state="visible" name="SDS" sheetId="180" r:id="rId184"/>
    <sheet state="visible" name="SDU" sheetId="181" r:id="rId185"/>
    <sheet state="visible" name="SEF" sheetId="182" r:id="rId186"/>
    <sheet state="visible" name="SHAH" sheetId="183" r:id="rId187"/>
    <sheet state="visible" name="SHBK" sheetId="184" r:id="rId188"/>
    <sheet state="visible" name="SHBZ" sheetId="185" r:id="rId189"/>
    <sheet state="visible" name="SHJR" sheetId="186" r:id="rId190"/>
    <sheet state="visible" name="SHRR" sheetId="187" r:id="rId191"/>
    <sheet state="visible" name="SJM" sheetId="188" r:id="rId192"/>
    <sheet state="visible" name="SKIB" sheetId="189" r:id="rId193"/>
    <sheet state="visible" name="SKZ" sheetId="190" r:id="rId194"/>
    <sheet state="visible" name="SLAR" sheetId="191" r:id="rId195"/>
    <sheet state="visible" name="SMDS" sheetId="192" r:id="rId196"/>
    <sheet state="visible" name="SMKD" sheetId="193" r:id="rId197"/>
    <sheet state="visible" name="SMUR" sheetId="194" r:id="rId198"/>
    <sheet state="visible" name="SMYA" sheetId="195" r:id="rId199"/>
    <sheet state="visible" name="SOSB" sheetId="196" r:id="rId200"/>
    <sheet state="visible" name="SRJ" sheetId="197" r:id="rId201"/>
    <sheet state="visible" name="SRU" sheetId="198" r:id="rId202"/>
    <sheet state="visible" name="SSMT" sheetId="199" r:id="rId203"/>
    <sheet state="visible" name="STNM" sheetId="200" r:id="rId204"/>
    <sheet state="visible" name="SUE" sheetId="201" r:id="rId205"/>
    <sheet state="visible" name="SULT" sheetId="202" r:id="rId206"/>
    <sheet state="visible" name="SVKG" sheetId="203" r:id="rId207"/>
    <sheet state="visible" name="SWG" sheetId="204" r:id="rId208"/>
    <sheet state="visible" name="SWK" sheetId="205" r:id="rId209"/>
    <sheet state="visible" name="SWV" sheetId="206" r:id="rId210"/>
    <sheet state="visible" name="SZD" sheetId="207" r:id="rId211"/>
    <sheet state="visible" name="SZZ" sheetId="208" r:id="rId212"/>
    <sheet state="visible" name="TAP" sheetId="209" r:id="rId213"/>
    <sheet state="visible" name="TAV" sheetId="210" r:id="rId214"/>
    <sheet state="visible" name="TAW" sheetId="211" r:id="rId215"/>
    <sheet state="visible" name="THL" sheetId="212" r:id="rId216"/>
    <sheet state="visible" name="THR" sheetId="213" r:id="rId217"/>
    <sheet state="visible" name="TLQ" sheetId="214" r:id="rId218"/>
    <sheet state="visible" name="TMD" sheetId="215" r:id="rId219"/>
    <sheet state="visible" name="TNF" sheetId="216" r:id="rId220"/>
    <sheet state="visible" name="TNMF" sheetId="217" r:id="rId221"/>
    <sheet state="visible" name="TNZ" sheetId="218" r:id="rId222"/>
    <sheet state="visible" name="TRZ" sheetId="219" r:id="rId223"/>
    <sheet state="visible" name="TSE" sheetId="220" r:id="rId224"/>
    <sheet state="visible" name="TSM" sheetId="221" r:id="rId225"/>
    <sheet state="visible" name="TVRR" sheetId="222" r:id="rId226"/>
    <sheet state="visible" name="TWK" sheetId="223" r:id="rId227"/>
    <sheet state="visible" name="UJT" sheetId="224" r:id="rId228"/>
    <sheet state="visible" name="UPM" sheetId="225" r:id="rId229"/>
    <sheet state="visible" name="UTKR" sheetId="226" r:id="rId230"/>
    <sheet state="visible" name="UTS" sheetId="227" r:id="rId231"/>
    <sheet state="visible" name="WBH" sheetId="228" r:id="rId232"/>
    <sheet state="visible" name="WHMJ" sheetId="229" r:id="rId233"/>
    <sheet state="visible" name="WLV" sheetId="230" r:id="rId234"/>
    <sheet state="visible" name="YND" sheetId="231" r:id="rId235"/>
    <sheet state="visible" name="ZAZ" sheetId="232" r:id="rId236"/>
    <sheet state="visible" name="ZBH" sheetId="233" r:id="rId237"/>
    <sheet state="visible" name="ZHS" sheetId="234" r:id="rId238"/>
    <sheet state="visible" name="ZIZE" sheetId="235" r:id="rId239"/>
    <sheet state="visible" name="ZLNM" sheetId="236" r:id="rId240"/>
    <sheet state="visible" name="ZMD" sheetId="237" r:id="rId241"/>
    <sheet state="visible" name="ZYH" sheetId="238" r:id="rId242"/>
  </sheets>
  <definedNames>
    <definedName localSheetId="0" name="sds">Tabular!$A$124:$D$124</definedName>
    <definedName localSheetId="0" name="ESFK">Tabular!$A$1:$C$1</definedName>
    <definedName localSheetId="1" name="skj">FacultyList!$A$1</definedName>
    <definedName localSheetId="0" name="twhrm">Tabular!$A$2</definedName>
  </definedNames>
  <calcPr/>
</workbook>
</file>

<file path=xl/sharedStrings.xml><?xml version="1.0" encoding="utf-8"?>
<sst xmlns="http://schemas.openxmlformats.org/spreadsheetml/2006/main" count="2831" uniqueCount="262">
  <si>
    <t>IF YOU FIND ANY MISMATCH, FOLLOW CONNECT.</t>
  </si>
  <si>
    <t>Initial</t>
  </si>
  <si>
    <t>Name</t>
  </si>
  <si>
    <t>Designation</t>
  </si>
  <si>
    <t>Status</t>
  </si>
  <si>
    <t>Room</t>
  </si>
  <si>
    <t>Email</t>
  </si>
  <si>
    <t>TBA</t>
  </si>
  <si>
    <t>To Be Announced</t>
  </si>
  <si>
    <t>TBC</t>
  </si>
  <si>
    <t>To Be Announced (CSE)</t>
  </si>
  <si>
    <t>TBE</t>
  </si>
  <si>
    <t>To Be Announced (EEE)</t>
  </si>
  <si>
    <t>Theory Coordinators</t>
  </si>
  <si>
    <t>Lab Coordinators</t>
  </si>
  <si>
    <t>NOTE: Please drag and select cells A2 to J17 (the red line area) to print / export to PDF
On the printing menu (first option), select "Selected cells".
Scroll down to Row 19 and onwards to add your consultation hours</t>
  </si>
  <si>
    <t>BRAC University</t>
  </si>
  <si>
    <t>Consultation Hour Planner</t>
  </si>
  <si>
    <t>Faculty:</t>
  </si>
  <si>
    <t>ARF</t>
  </si>
  <si>
    <t>Programme:</t>
  </si>
  <si>
    <t>CSE</t>
  </si>
  <si>
    <t>Semester:</t>
  </si>
  <si>
    <t>Spring 2026</t>
  </si>
  <si>
    <t>Email:</t>
  </si>
  <si>
    <t>AAR</t>
  </si>
  <si>
    <t>ACH</t>
  </si>
  <si>
    <t>ADU</t>
  </si>
  <si>
    <t>AFA</t>
  </si>
  <si>
    <t>AFQ</t>
  </si>
  <si>
    <t>AIB</t>
  </si>
  <si>
    <t>AJA</t>
  </si>
  <si>
    <t>AKJ</t>
  </si>
  <si>
    <t>AKTD</t>
  </si>
  <si>
    <t>ALB</t>
  </si>
  <si>
    <t>AMK</t>
  </si>
  <si>
    <t>ANK</t>
  </si>
  <si>
    <t>ANKH</t>
  </si>
  <si>
    <t>ANWE</t>
  </si>
  <si>
    <t>AQT</t>
  </si>
  <si>
    <t>AQU</t>
  </si>
  <si>
    <t>ARD</t>
  </si>
  <si>
    <t>ARIF</t>
  </si>
  <si>
    <t>ART</t>
  </si>
  <si>
    <t>ASA</t>
  </si>
  <si>
    <t>ASAK</t>
  </si>
  <si>
    <t>ASRF</t>
  </si>
  <si>
    <t>ATY</t>
  </si>
  <si>
    <t>AVB</t>
  </si>
  <si>
    <t>AYO</t>
  </si>
  <si>
    <t>BDH</t>
  </si>
  <si>
    <t>BIJS</t>
  </si>
  <si>
    <t>CMR</t>
  </si>
  <si>
    <t>DFD</t>
  </si>
  <si>
    <t>DPU</t>
  </si>
  <si>
    <t>DZK</t>
  </si>
  <si>
    <t>EHQ</t>
  </si>
  <si>
    <t>FARS</t>
  </si>
  <si>
    <t>FBAW</t>
  </si>
  <si>
    <t>FDC</t>
  </si>
  <si>
    <t>FEK</t>
  </si>
  <si>
    <t>FFR</t>
  </si>
  <si>
    <t>FFU</t>
  </si>
  <si>
    <t>FGZ</t>
  </si>
  <si>
    <t>FIC</t>
  </si>
  <si>
    <t>FYS</t>
  </si>
  <si>
    <t>FZN</t>
  </si>
  <si>
    <t>GRA</t>
  </si>
  <si>
    <t>HFN</t>
  </si>
  <si>
    <t>HMH</t>
  </si>
  <si>
    <t>IBA</t>
  </si>
  <si>
    <t>IBU</t>
  </si>
  <si>
    <t>ITTSC</t>
  </si>
  <si>
    <t>KHR</t>
  </si>
  <si>
    <t>KKP</t>
  </si>
  <si>
    <t>KKS</t>
  </si>
  <si>
    <t>KNI</t>
  </si>
  <si>
    <t>KYK</t>
  </si>
  <si>
    <t>KZMN</t>
  </si>
  <si>
    <t>LBBH</t>
  </si>
  <si>
    <t>LRK</t>
  </si>
  <si>
    <t>MAHR</t>
  </si>
  <si>
    <t>MAJIJ</t>
  </si>
  <si>
    <t>MAO</t>
  </si>
  <si>
    <t>MAU</t>
  </si>
  <si>
    <t>MDF</t>
  </si>
  <si>
    <t>MHDE</t>
  </si>
  <si>
    <t>MIH</t>
  </si>
  <si>
    <t>MMM</t>
  </si>
  <si>
    <t>MNP</t>
  </si>
  <si>
    <t>MNY</t>
  </si>
  <si>
    <t>MOM</t>
  </si>
  <si>
    <t>MRIA</t>
  </si>
  <si>
    <t>MSA</t>
  </si>
  <si>
    <t>MSAH</t>
  </si>
  <si>
    <t>MSI</t>
  </si>
  <si>
    <t>MSMA</t>
  </si>
  <si>
    <t>MTSM</t>
  </si>
  <si>
    <t>MUNR</t>
  </si>
  <si>
    <t>MVH</t>
  </si>
  <si>
    <t>MZG</t>
  </si>
  <si>
    <t>NAFR</t>
  </si>
  <si>
    <t>NAST</t>
  </si>
  <si>
    <t>NDT</t>
  </si>
  <si>
    <t>NLAM</t>
  </si>
  <si>
    <t>NLH</t>
  </si>
  <si>
    <t>NNC</t>
  </si>
  <si>
    <t>NTR</t>
  </si>
  <si>
    <t>NZRF</t>
  </si>
  <si>
    <t>NZU</t>
  </si>
  <si>
    <t>PBK</t>
  </si>
  <si>
    <t>PDS</t>
  </si>
  <si>
    <t>PLN</t>
  </si>
  <si>
    <t>PSMD</t>
  </si>
  <si>
    <t>QUZA</t>
  </si>
  <si>
    <t>RAHA</t>
  </si>
  <si>
    <t>RAK</t>
  </si>
  <si>
    <t>RAS</t>
  </si>
  <si>
    <t>RBR</t>
  </si>
  <si>
    <t>RDW</t>
  </si>
  <si>
    <t>RFF</t>
  </si>
  <si>
    <t>RFR</t>
  </si>
  <si>
    <t>RFTS</t>
  </si>
  <si>
    <t>RHD</t>
  </si>
  <si>
    <t>RKBM</t>
  </si>
  <si>
    <t>RKBR</t>
  </si>
  <si>
    <t>RKN</t>
  </si>
  <si>
    <t>RRH</t>
  </si>
  <si>
    <t>RSS</t>
  </si>
  <si>
    <t>SADA</t>
  </si>
  <si>
    <t>SADF</t>
  </si>
  <si>
    <t>SBHN</t>
  </si>
  <si>
    <t>SDAS</t>
  </si>
  <si>
    <t>SDF</t>
  </si>
  <si>
    <t>SDL</t>
  </si>
  <si>
    <t>SDQ</t>
  </si>
  <si>
    <t>SDS</t>
  </si>
  <si>
    <t>SDU</t>
  </si>
  <si>
    <t>SHAH</t>
  </si>
  <si>
    <t>SHBK</t>
  </si>
  <si>
    <t>SHRR</t>
  </si>
  <si>
    <t>SKIB</t>
  </si>
  <si>
    <t>SKZ</t>
  </si>
  <si>
    <t>SMUR</t>
  </si>
  <si>
    <t>SMYA</t>
  </si>
  <si>
    <t>SOSB</t>
  </si>
  <si>
    <t>SRJ</t>
  </si>
  <si>
    <t>SRU</t>
  </si>
  <si>
    <t>STNM</t>
  </si>
  <si>
    <t>SUE</t>
  </si>
  <si>
    <t>SULT</t>
  </si>
  <si>
    <t>SVKG</t>
  </si>
  <si>
    <t>SWG</t>
  </si>
  <si>
    <t>SWK</t>
  </si>
  <si>
    <t>SWV</t>
  </si>
  <si>
    <t>SZD</t>
  </si>
  <si>
    <t>SZZ</t>
  </si>
  <si>
    <t>TAP</t>
  </si>
  <si>
    <t>TAV</t>
  </si>
  <si>
    <t>TAW</t>
  </si>
  <si>
    <t>THL</t>
  </si>
  <si>
    <t>TLQ</t>
  </si>
  <si>
    <t>TMD</t>
  </si>
  <si>
    <t>TNF</t>
  </si>
  <si>
    <t>TNMF</t>
  </si>
  <si>
    <t>TRZ</t>
  </si>
  <si>
    <t>TSE</t>
  </si>
  <si>
    <t>TSM</t>
  </si>
  <si>
    <t>TVRR</t>
  </si>
  <si>
    <t>TWK</t>
  </si>
  <si>
    <t>UJT</t>
  </si>
  <si>
    <t>UPM</t>
  </si>
  <si>
    <t>UTKR</t>
  </si>
  <si>
    <t>UTS</t>
  </si>
  <si>
    <t>WHMJ</t>
  </si>
  <si>
    <t>YND</t>
  </si>
  <si>
    <t>ZAZ</t>
  </si>
  <si>
    <t>ZHS</t>
  </si>
  <si>
    <t>ZLNM</t>
  </si>
  <si>
    <t>ZMD</t>
  </si>
  <si>
    <t>ZYH</t>
  </si>
  <si>
    <t>AAF</t>
  </si>
  <si>
    <t>ADD</t>
  </si>
  <si>
    <t>ADR</t>
  </si>
  <si>
    <t>AHA</t>
  </si>
  <si>
    <t>AHC</t>
  </si>
  <si>
    <t>AJK</t>
  </si>
  <si>
    <t>AKDB</t>
  </si>
  <si>
    <t>AKDR</t>
  </si>
  <si>
    <t>ALSM</t>
  </si>
  <si>
    <t>ANNH</t>
  </si>
  <si>
    <t>ANT</t>
  </si>
  <si>
    <t>AOH</t>
  </si>
  <si>
    <t>AQJ</t>
  </si>
  <si>
    <t>ARA</t>
  </si>
  <si>
    <t>AROY</t>
  </si>
  <si>
    <t>ARPD</t>
  </si>
  <si>
    <t>ASMN</t>
  </si>
  <si>
    <t>AWK</t>
  </si>
  <si>
    <t>CABS</t>
  </si>
  <si>
    <t>CAKM</t>
  </si>
  <si>
    <t>CAPN</t>
  </si>
  <si>
    <t>CESF</t>
  </si>
  <si>
    <t>CKMH</t>
  </si>
  <si>
    <t>CMHH</t>
  </si>
  <si>
    <t>CNZR</t>
  </si>
  <si>
    <t>CPTH</t>
  </si>
  <si>
    <t>CQAE</t>
  </si>
  <si>
    <t>CRHB</t>
  </si>
  <si>
    <t>CSAB</t>
  </si>
  <si>
    <t>CSSA</t>
  </si>
  <si>
    <t>CSSN</t>
  </si>
  <si>
    <t>CSYR</t>
  </si>
  <si>
    <t>DPRN</t>
  </si>
  <si>
    <t>FDM</t>
  </si>
  <si>
    <t>FDZ</t>
  </si>
  <si>
    <t>FMK</t>
  </si>
  <si>
    <t>HBN</t>
  </si>
  <si>
    <t>IRZ</t>
  </si>
  <si>
    <t>KBS</t>
  </si>
  <si>
    <t>LMI</t>
  </si>
  <si>
    <t>MAF</t>
  </si>
  <si>
    <t>MCW</t>
  </si>
  <si>
    <t>MHM</t>
  </si>
  <si>
    <t>MHY</t>
  </si>
  <si>
    <t>MLH</t>
  </si>
  <si>
    <t>MTOT</t>
  </si>
  <si>
    <t>MZFZ</t>
  </si>
  <si>
    <t>MZW</t>
  </si>
  <si>
    <t>NFS</t>
  </si>
  <si>
    <t>NMP</t>
  </si>
  <si>
    <t>NQM</t>
  </si>
  <si>
    <t>NTN</t>
  </si>
  <si>
    <t>NUR</t>
  </si>
  <si>
    <t>NWT</t>
  </si>
  <si>
    <t>PRC</t>
  </si>
  <si>
    <t>RAO</t>
  </si>
  <si>
    <t>RDS</t>
  </si>
  <si>
    <t>RFQ</t>
  </si>
  <si>
    <t>RSYR</t>
  </si>
  <si>
    <t>RZR</t>
  </si>
  <si>
    <t>SEF</t>
  </si>
  <si>
    <t>SHBZ</t>
  </si>
  <si>
    <t>SHJR</t>
  </si>
  <si>
    <t>SJM</t>
  </si>
  <si>
    <t>SLAR</t>
  </si>
  <si>
    <t>SMDS</t>
  </si>
  <si>
    <t>SMKD</t>
  </si>
  <si>
    <t>SSMT</t>
  </si>
  <si>
    <t>THR</t>
  </si>
  <si>
    <t>TNZ</t>
  </si>
  <si>
    <t>WBH</t>
  </si>
  <si>
    <t>WLV</t>
  </si>
  <si>
    <t>ZBH</t>
  </si>
  <si>
    <t>ZIZE</t>
  </si>
  <si>
    <t>SAS</t>
  </si>
  <si>
    <t>SDTS</t>
  </si>
  <si>
    <t>SUI</t>
  </si>
  <si>
    <t>TJH</t>
  </si>
  <si>
    <t>TJW</t>
  </si>
  <si>
    <t>UMS</t>
  </si>
  <si>
    <t>STV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</si>
</sst>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-&quot;dd&quot;-&quot;yyyy"/>
    <numFmt numFmtId="165" formatCode="&quot;Theory:&quot;  ##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EFEFEF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  <font>
      <u/>
      <color rgb="FFFFFFFF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  <font/>
    <font>
      <color theme="0"/>
      <name val="Arial"/>
    </font>
    <font>
      <b/>
      <sz val="18.0"/>
      <color theme="1"/>
      <name val="Nunito"/>
    </font>
    <font>
      <b/>
      <sz val="14.0"/>
      <color theme="1"/>
      <name val="Nunito"/>
    </font>
    <font>
      <color theme="1"/>
      <name val="Nunito"/>
    </font>
    <font>
      <b/>
      <color theme="1"/>
      <name val="Nunito"/>
    </font>
    <font>
      <b/>
      <sz val="14.0"/>
      <color theme="1"/>
      <name val="Arial"/>
    </font>
    <font>
      <b/>
      <color theme="0"/>
      <name val="Arial"/>
    </font>
    <font>
      <u/>
      <color rgb="FF0000FF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</fills>
  <borders count="45">
    <border/>
    <border>
      <right style="thick">
        <color rgb="FF000000"/>
      </right>
    </border>
    <border>
      <right style="medium">
        <color rgb="FF000000"/>
      </right>
    </border>
    <border>
      <bottom style="thick">
        <color rgb="FFFF0000"/>
      </bottom>
    </border>
    <border>
      <left style="thin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n">
        <color rgb="FFFFFFFF"/>
      </right>
      <bottom style="medium">
        <color rgb="FFFFFFFF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FFFFFF"/>
      </bottom>
    </border>
    <border>
      <left style="thick">
        <color rgb="FF000000"/>
      </left>
      <right style="medium">
        <color rgb="FFFFFFFF"/>
      </right>
      <top style="thick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ck">
        <color rgb="FF000000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thick">
        <color rgb="FF000000"/>
      </top>
      <bottom style="medium">
        <color rgb="FFFFFFFF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medium">
        <color rgb="FFFFFFFF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thick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thin">
        <color rgb="FFFFFFFF"/>
      </right>
      <top style="medium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3" fontId="4" numFmtId="0" xfId="0" applyFill="1" applyFont="1"/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6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4" fontId="7" numFmtId="0" xfId="0" applyAlignment="1" applyFill="1" applyFont="1">
      <alignment horizontal="center" vertical="bottom"/>
    </xf>
    <xf borderId="0" fillId="4" fontId="7" numFmtId="0" xfId="0" applyAlignment="1" applyFont="1">
      <alignment horizontal="center" readingOrder="0" vertical="bottom"/>
    </xf>
    <xf borderId="0" fillId="4" fontId="7" numFmtId="0" xfId="0" applyAlignment="1" applyFont="1">
      <alignment horizontal="center" readingOrder="0" vertical="center"/>
    </xf>
    <xf borderId="2" fillId="3" fontId="7" numFmtId="0" xfId="0" applyAlignment="1" applyBorder="1" applyFont="1">
      <alignment horizontal="center" vertical="bottom"/>
    </xf>
    <xf borderId="0" fillId="3" fontId="7" numFmtId="0" xfId="0" applyAlignment="1" applyFont="1">
      <alignment horizontal="center" vertical="bottom"/>
    </xf>
    <xf borderId="2" fillId="3" fontId="7" numFmtId="0" xfId="0" applyAlignment="1" applyBorder="1" applyFont="1">
      <alignment horizontal="center" shrinkToFit="0" vertical="bottom" wrapText="0"/>
    </xf>
    <xf borderId="0" fillId="3" fontId="7" numFmtId="0" xfId="0" applyAlignment="1" applyFont="1">
      <alignment horizontal="center" vertical="center"/>
    </xf>
    <xf borderId="2" fillId="3" fontId="7" numFmtId="0" xfId="0" applyAlignment="1" applyBorder="1" applyFont="1">
      <alignment horizontal="center" shrinkToFit="0" vertical="center" wrapText="1"/>
    </xf>
    <xf borderId="2" fillId="5" fontId="8" numFmtId="0" xfId="0" applyAlignment="1" applyBorder="1" applyFill="1" applyFont="1">
      <alignment horizontal="center" vertical="bottom"/>
    </xf>
    <xf borderId="0" fillId="5" fontId="8" numFmtId="0" xfId="0" applyAlignment="1" applyFont="1">
      <alignment horizontal="center" vertical="bottom"/>
    </xf>
    <xf borderId="2" fillId="5" fontId="8" numFmtId="0" xfId="0" applyAlignment="1" applyBorder="1" applyFont="1">
      <alignment shrinkToFit="0" vertical="bottom" wrapText="0"/>
    </xf>
    <xf borderId="0" fillId="5" fontId="8" numFmtId="0" xfId="0" applyAlignment="1" applyFont="1">
      <alignment horizontal="center" vertical="center"/>
    </xf>
    <xf borderId="2" fillId="5" fontId="8" numFmtId="0" xfId="0" applyAlignment="1" applyBorder="1" applyFont="1">
      <alignment shrinkToFit="0" vertical="center" wrapText="1"/>
    </xf>
    <xf borderId="2" fillId="3" fontId="8" numFmtId="0" xfId="0" applyAlignment="1" applyBorder="1" applyFont="1">
      <alignment horizontal="center" vertical="bottom"/>
    </xf>
    <xf borderId="0" fillId="3" fontId="8" numFmtId="0" xfId="0" applyAlignment="1" applyFont="1">
      <alignment horizontal="center" vertical="bottom"/>
    </xf>
    <xf borderId="2" fillId="3" fontId="8" numFmtId="0" xfId="0" applyAlignment="1" applyBorder="1" applyFont="1">
      <alignment shrinkToFit="0" vertical="bottom" wrapText="0"/>
    </xf>
    <xf borderId="0" fillId="3" fontId="8" numFmtId="0" xfId="0" applyAlignment="1" applyFont="1">
      <alignment horizontal="center" vertical="center"/>
    </xf>
    <xf borderId="2" fillId="3" fontId="8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/>
    </xf>
    <xf borderId="3" fillId="2" fontId="7" numFmtId="0" xfId="0" applyAlignment="1" applyBorder="1" applyFont="1">
      <alignment readingOrder="0" vertical="bottom"/>
    </xf>
    <xf borderId="3" fillId="0" fontId="9" numFmtId="0" xfId="0" applyBorder="1" applyFont="1"/>
    <xf borderId="0" fillId="0" fontId="10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5" fillId="0" fontId="11" numFmtId="0" xfId="0" applyAlignment="1" applyBorder="1" applyFont="1">
      <alignment horizontal="center" vertical="bottom"/>
    </xf>
    <xf borderId="6" fillId="0" fontId="9" numFmtId="0" xfId="0" applyBorder="1" applyFont="1"/>
    <xf borderId="7" fillId="0" fontId="9" numFmtId="0" xfId="0" applyBorder="1" applyFont="1"/>
    <xf borderId="8" fillId="0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12" numFmtId="0" xfId="0" applyAlignment="1" applyBorder="1" applyFont="1">
      <alignment horizontal="center" vertical="bottom"/>
    </xf>
    <xf borderId="11" fillId="0" fontId="9" numFmtId="0" xfId="0" applyBorder="1" applyFont="1"/>
    <xf borderId="12" fillId="0" fontId="9" numFmtId="0" xfId="0" applyBorder="1" applyFont="1"/>
    <xf borderId="13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4" fillId="0" fontId="13" numFmtId="165" xfId="0" applyAlignment="1" applyBorder="1" applyFont="1" applyNumberFormat="1">
      <alignment vertical="bottom"/>
    </xf>
    <xf borderId="15" fillId="0" fontId="14" numFmtId="0" xfId="0" applyAlignment="1" applyBorder="1" applyFont="1">
      <alignment vertical="bottom"/>
    </xf>
    <xf borderId="15" fillId="0" fontId="8" numFmtId="0" xfId="0" applyAlignment="1" applyBorder="1" applyFont="1">
      <alignment vertical="bottom"/>
    </xf>
    <xf borderId="15" fillId="0" fontId="13" numFmtId="0" xfId="0" applyAlignment="1" applyBorder="1" applyFont="1">
      <alignment readingOrder="0" vertical="bottom"/>
    </xf>
    <xf borderId="15" fillId="0" fontId="14" numFmtId="0" xfId="0" applyAlignment="1" applyBorder="1" applyFont="1">
      <alignment readingOrder="0" vertical="bottom"/>
    </xf>
    <xf borderId="16" fillId="0" fontId="8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7" fillId="0" fontId="13" numFmtId="165" xfId="0" applyAlignment="1" applyBorder="1" applyFont="1" applyNumberFormat="1">
      <alignment vertical="bottom"/>
    </xf>
    <xf borderId="18" fillId="0" fontId="14" numFmtId="0" xfId="0" applyAlignment="1" applyBorder="1" applyFont="1">
      <alignment vertical="bottom"/>
    </xf>
    <xf borderId="18" fillId="0" fontId="8" numFmtId="0" xfId="0" applyAlignment="1" applyBorder="1" applyFont="1">
      <alignment vertical="bottom"/>
    </xf>
    <xf borderId="18" fillId="0" fontId="13" numFmtId="0" xfId="0" applyAlignment="1" applyBorder="1" applyFont="1">
      <alignment vertical="bottom"/>
    </xf>
    <xf borderId="18" fillId="0" fontId="14" numFmtId="0" xfId="0" applyAlignment="1" applyBorder="1" applyFont="1">
      <alignment readingOrder="0" vertical="bottom"/>
    </xf>
    <xf borderId="19" fillId="0" fontId="8" numFmtId="0" xfId="0" applyAlignment="1" applyBorder="1" applyFont="1">
      <alignment vertical="bottom"/>
    </xf>
    <xf borderId="20" fillId="0" fontId="13" numFmtId="165" xfId="0" applyAlignment="1" applyBorder="1" applyFont="1" applyNumberFormat="1">
      <alignment vertical="bottom"/>
    </xf>
    <xf borderId="21" fillId="0" fontId="14" numFmtId="0" xfId="0" applyAlignment="1" applyBorder="1" applyFont="1">
      <alignment vertical="bottom"/>
    </xf>
    <xf borderId="21" fillId="0" fontId="8" numFmtId="0" xfId="0" applyAlignment="1" applyBorder="1" applyFont="1">
      <alignment vertical="bottom"/>
    </xf>
    <xf borderId="21" fillId="0" fontId="13" numFmtId="0" xfId="0" applyAlignment="1" applyBorder="1" applyFont="1">
      <alignment vertical="bottom"/>
    </xf>
    <xf borderId="22" fillId="0" fontId="8" numFmtId="0" xfId="0" applyAlignment="1" applyBorder="1" applyFont="1">
      <alignment vertical="bottom"/>
    </xf>
    <xf borderId="23" fillId="0" fontId="8" numFmtId="0" xfId="0" applyAlignment="1" applyBorder="1" applyFont="1">
      <alignment vertical="bottom"/>
    </xf>
    <xf borderId="24" fillId="0" fontId="8" numFmtId="0" xfId="0" applyAlignment="1" applyBorder="1" applyFont="1">
      <alignment vertical="bottom"/>
    </xf>
    <xf borderId="25" fillId="0" fontId="8" numFmtId="165" xfId="0" applyAlignment="1" applyBorder="1" applyFont="1" applyNumberFormat="1">
      <alignment vertical="bottom"/>
    </xf>
    <xf borderId="25" fillId="0" fontId="8" numFmtId="0" xfId="0" applyAlignment="1" applyBorder="1" applyFont="1">
      <alignment vertical="bottom"/>
    </xf>
    <xf borderId="24" fillId="0" fontId="8" numFmtId="0" xfId="0" applyAlignment="1" applyBorder="1" applyFont="1">
      <alignment vertical="bottom"/>
    </xf>
    <xf borderId="26" fillId="0" fontId="8" numFmtId="0" xfId="0" applyAlignment="1" applyBorder="1" applyFont="1">
      <alignment vertical="bottom"/>
    </xf>
    <xf borderId="27" fillId="0" fontId="15" numFmtId="49" xfId="0" applyAlignment="1" applyBorder="1" applyFont="1" applyNumberFormat="1">
      <alignment horizontal="center" vertical="center"/>
    </xf>
    <xf borderId="28" fillId="0" fontId="7" numFmtId="49" xfId="0" applyAlignment="1" applyBorder="1" applyFont="1" applyNumberFormat="1">
      <alignment horizontal="center" vertical="center"/>
    </xf>
    <xf borderId="28" fillId="0" fontId="7" numFmtId="49" xfId="0" applyAlignment="1" applyBorder="1" applyFont="1" applyNumberFormat="1">
      <alignment horizontal="center" readingOrder="0" vertical="center"/>
    </xf>
    <xf borderId="29" fillId="0" fontId="7" numFmtId="49" xfId="0" applyAlignment="1" applyBorder="1" applyFont="1" applyNumberFormat="1">
      <alignment horizontal="center" readingOrder="0" vertical="center"/>
    </xf>
    <xf borderId="0" fillId="0" fontId="16" numFmtId="49" xfId="0" applyAlignment="1" applyFont="1" applyNumberFormat="1">
      <alignment horizontal="center" vertical="center"/>
    </xf>
    <xf borderId="30" fillId="0" fontId="7" numFmtId="0" xfId="0" applyAlignment="1" applyBorder="1" applyFont="1">
      <alignment horizontal="center" readingOrder="0" vertical="center"/>
    </xf>
    <xf borderId="31" fillId="0" fontId="8" numFmtId="0" xfId="0" applyAlignment="1" applyBorder="1" applyFont="1">
      <alignment horizontal="center" vertical="center"/>
    </xf>
    <xf borderId="32" fillId="0" fontId="8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34" fillId="0" fontId="8" numFmtId="0" xfId="0" applyAlignment="1" applyBorder="1" applyFont="1">
      <alignment horizontal="center" vertical="center"/>
    </xf>
    <xf borderId="35" fillId="0" fontId="8" numFmtId="0" xfId="0" applyAlignment="1" applyBorder="1" applyFont="1">
      <alignment horizontal="center" vertical="center"/>
    </xf>
    <xf borderId="36" fillId="0" fontId="8" numFmtId="0" xfId="0" applyAlignment="1" applyBorder="1" applyFont="1">
      <alignment horizontal="center" vertical="center"/>
    </xf>
    <xf borderId="37" fillId="0" fontId="7" numFmtId="0" xfId="0" applyAlignment="1" applyBorder="1" applyFont="1">
      <alignment horizontal="center" readingOrder="0" vertical="center"/>
    </xf>
    <xf borderId="38" fillId="0" fontId="8" numFmtId="0" xfId="0" applyAlignment="1" applyBorder="1" applyFont="1">
      <alignment horizontal="center" vertical="center"/>
    </xf>
    <xf borderId="39" fillId="0" fontId="8" numFmtId="0" xfId="0" applyAlignment="1" applyBorder="1" applyFont="1">
      <alignment horizontal="center" vertical="center"/>
    </xf>
    <xf borderId="40" fillId="0" fontId="8" numFmtId="0" xfId="0" applyAlignment="1" applyBorder="1" applyFont="1">
      <alignment horizontal="center" vertical="center"/>
    </xf>
    <xf borderId="41" fillId="0" fontId="8" numFmtId="0" xfId="0" applyAlignment="1" applyBorder="1" applyFont="1">
      <alignment horizontal="left" readingOrder="0" vertical="center"/>
    </xf>
    <xf borderId="41" fillId="0" fontId="9" numFmtId="0" xfId="0" applyBorder="1" applyFont="1"/>
    <xf borderId="42" fillId="0" fontId="9" numFmtId="0" xfId="0" applyBorder="1" applyFont="1"/>
    <xf borderId="43" fillId="0" fontId="8" numFmtId="0" xfId="0" applyAlignment="1" applyBorder="1" applyFont="1">
      <alignment horizontal="left" readingOrder="0" vertical="center"/>
    </xf>
    <xf borderId="43" fillId="0" fontId="9" numFmtId="0" xfId="0" applyBorder="1" applyFont="1"/>
    <xf borderId="44" fillId="0" fontId="9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7" numFmtId="0" xfId="0" applyFont="1"/>
    <xf borderId="30" fillId="6" fontId="7" numFmtId="0" xfId="0" applyAlignment="1" applyBorder="1" applyFill="1" applyFont="1">
      <alignment horizontal="center" readingOrder="0" shrinkToFit="0" vertical="center" wrapText="1"/>
    </xf>
    <xf borderId="31" fillId="6" fontId="8" numFmtId="0" xfId="0" applyAlignment="1" applyBorder="1" applyFont="1">
      <alignment horizontal="center" shrinkToFit="0" vertical="center" wrapText="1"/>
    </xf>
    <xf borderId="32" fillId="6" fontId="8" numFmtId="0" xfId="0" applyAlignment="1" applyBorder="1" applyFont="1">
      <alignment horizontal="center" shrinkToFit="0" vertical="center" wrapText="1"/>
    </xf>
    <xf borderId="33" fillId="6" fontId="8" numFmtId="0" xfId="0" applyAlignment="1" applyBorder="1" applyFont="1">
      <alignment horizontal="center" shrinkToFit="0" vertical="center" wrapText="1"/>
    </xf>
    <xf borderId="0" fillId="7" fontId="10" numFmtId="0" xfId="0" applyAlignment="1" applyFill="1" applyFont="1">
      <alignment horizontal="center" vertical="center"/>
    </xf>
    <xf borderId="30" fillId="0" fontId="7" numFmtId="0" xfId="0" applyAlignment="1" applyBorder="1" applyFont="1">
      <alignment horizontal="center" readingOrder="0" shrinkToFit="0" vertical="center" wrapText="1"/>
    </xf>
    <xf borderId="34" fillId="0" fontId="8" numFmtId="0" xfId="0" applyAlignment="1" applyBorder="1" applyFont="1">
      <alignment horizontal="center" shrinkToFit="0" vertical="center" wrapText="1"/>
    </xf>
    <xf borderId="35" fillId="0" fontId="8" numFmtId="0" xfId="0" applyAlignment="1" applyBorder="1" applyFont="1">
      <alignment horizontal="center" shrinkToFit="0" vertical="center" wrapText="1"/>
    </xf>
    <xf borderId="36" fillId="0" fontId="8" numFmtId="0" xfId="0" applyAlignment="1" applyBorder="1" applyFont="1">
      <alignment horizontal="center" shrinkToFit="0" vertical="center" wrapText="1"/>
    </xf>
    <xf borderId="37" fillId="6" fontId="7" numFmtId="0" xfId="0" applyAlignment="1" applyBorder="1" applyFont="1">
      <alignment horizontal="center" readingOrder="0" shrinkToFit="0" vertical="center" wrapText="1"/>
    </xf>
    <xf borderId="38" fillId="6" fontId="8" numFmtId="0" xfId="0" applyAlignment="1" applyBorder="1" applyFont="1">
      <alignment horizontal="center" shrinkToFit="0" vertical="center" wrapText="1"/>
    </xf>
    <xf borderId="39" fillId="6" fontId="8" numFmtId="0" xfId="0" applyAlignment="1" applyBorder="1" applyFont="1">
      <alignment horizontal="center" shrinkToFit="0" vertical="center" wrapText="1"/>
    </xf>
    <xf borderId="40" fillId="6" fontId="8" numFmtId="0" xfId="0" applyAlignment="1" applyBorder="1" applyFont="1">
      <alignment horizontal="center" shrinkToFit="0" vertical="center" wrapText="1"/>
    </xf>
    <xf borderId="43" fillId="0" fontId="18" numFmtId="0" xfId="0" applyAlignment="1" applyBorder="1" applyFont="1">
      <alignment horizontal="left" readingOrder="0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3">
    <tableStyle count="3" pivot="0" name="Tabular-style">
      <tableStyleElement dxfId="1" type="headerRow"/>
      <tableStyleElement dxfId="2" type="firstRowStripe"/>
      <tableStyleElement dxfId="3" type="secondRowStripe"/>
    </tableStyle>
    <tableStyle count="3" pivot="0" name="FacultyList-style">
      <tableStyleElement dxfId="1" type="headerRow"/>
      <tableStyleElement dxfId="2" type="firstRowStripe"/>
      <tableStyleElement dxfId="3" type="secondRowStripe"/>
    </tableStyle>
    <tableStyle count="3" pivot="0" name="ExamDates-style">
      <tableStyleElement dxfId="1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242" Type="http://schemas.openxmlformats.org/officeDocument/2006/relationships/worksheet" Target="worksheets/sheet238.xml"/><Relationship Id="rId120" Type="http://schemas.openxmlformats.org/officeDocument/2006/relationships/worksheet" Target="worksheets/sheet116.xml"/><Relationship Id="rId241" Type="http://schemas.openxmlformats.org/officeDocument/2006/relationships/worksheet" Target="worksheets/sheet237.xml"/><Relationship Id="rId240" Type="http://schemas.openxmlformats.org/officeDocument/2006/relationships/worksheet" Target="worksheets/sheet23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239" Type="http://schemas.openxmlformats.org/officeDocument/2006/relationships/worksheet" Target="worksheets/sheet235.xml"/><Relationship Id="rId117" Type="http://schemas.openxmlformats.org/officeDocument/2006/relationships/worksheet" Target="worksheets/sheet113.xml"/><Relationship Id="rId238" Type="http://schemas.openxmlformats.org/officeDocument/2006/relationships/worksheet" Target="worksheets/sheet234.xml"/><Relationship Id="rId116" Type="http://schemas.openxmlformats.org/officeDocument/2006/relationships/worksheet" Target="worksheets/sheet112.xml"/><Relationship Id="rId237" Type="http://schemas.openxmlformats.org/officeDocument/2006/relationships/worksheet" Target="worksheets/sheet233.xml"/><Relationship Id="rId115" Type="http://schemas.openxmlformats.org/officeDocument/2006/relationships/worksheet" Target="worksheets/sheet111.xml"/><Relationship Id="rId236" Type="http://schemas.openxmlformats.org/officeDocument/2006/relationships/worksheet" Target="worksheets/sheet232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230" Type="http://schemas.openxmlformats.org/officeDocument/2006/relationships/worksheet" Target="worksheets/sheet226.xml"/><Relationship Id="rId114" Type="http://schemas.openxmlformats.org/officeDocument/2006/relationships/worksheet" Target="worksheets/sheet110.xml"/><Relationship Id="rId235" Type="http://schemas.openxmlformats.org/officeDocument/2006/relationships/worksheet" Target="worksheets/sheet231.xml"/><Relationship Id="rId113" Type="http://schemas.openxmlformats.org/officeDocument/2006/relationships/worksheet" Target="worksheets/sheet109.xml"/><Relationship Id="rId234" Type="http://schemas.openxmlformats.org/officeDocument/2006/relationships/worksheet" Target="worksheets/sheet230.xml"/><Relationship Id="rId112" Type="http://schemas.openxmlformats.org/officeDocument/2006/relationships/worksheet" Target="worksheets/sheet108.xml"/><Relationship Id="rId233" Type="http://schemas.openxmlformats.org/officeDocument/2006/relationships/worksheet" Target="worksheets/sheet229.xml"/><Relationship Id="rId111" Type="http://schemas.openxmlformats.org/officeDocument/2006/relationships/worksheet" Target="worksheets/sheet107.xml"/><Relationship Id="rId232" Type="http://schemas.openxmlformats.org/officeDocument/2006/relationships/worksheet" Target="worksheets/sheet228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M756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Tabul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G732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aculty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D549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ExamDa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rwa8-dbqfD1LR-4nAHY5HNJpnMhQ1apP" TargetMode="External"/><Relationship Id="rId10" Type="http://schemas.openxmlformats.org/officeDocument/2006/relationships/hyperlink" Target="https://drive.google.com/drive/folders/1XDgy1uhT1E3jiUtsQHiUxRHADGVHjuS6" TargetMode="External"/><Relationship Id="rId13" Type="http://schemas.openxmlformats.org/officeDocument/2006/relationships/hyperlink" Target="https://docs.google.com/spreadsheets/d/1gMDa9KMbcy6Kht9rZ0WzW1s7OJPHAkY1Ji6Ei7h9Hsg/edit?usp=drivesdk" TargetMode="External"/><Relationship Id="rId12" Type="http://schemas.openxmlformats.org/officeDocument/2006/relationships/hyperlink" Target="https://drive.google.com/drive/folders/1kkrYmW_cKCgVnpcBcWoI-KiF3FY2GZ7v" TargetMode="External"/><Relationship Id="rId1" Type="http://schemas.openxmlformats.org/officeDocument/2006/relationships/hyperlink" Target="https://docs.google.com/spreadsheets/d/1iCppLD-GrI1XOp_niPmB_0MLwoju698PmvUiEvvGEYM/edit?usp=drivesdk" TargetMode="External"/><Relationship Id="rId2" Type="http://schemas.openxmlformats.org/officeDocument/2006/relationships/hyperlink" Target="https://docs.google.com/spreadsheets/d/1SuEMkbHknElA7RJfCzr-w8vM-qm1KDf2hFbF_KtAGgY/edit?gid=0" TargetMode="External"/><Relationship Id="rId3" Type="http://schemas.openxmlformats.org/officeDocument/2006/relationships/hyperlink" Target="https://docs.google.com/spreadsheets/d/1x4fOaAU5IIzLVLzBAHYePA8IgFfhTQq_4HKEnLNDRNc/edit?usp=drivesdk" TargetMode="External"/><Relationship Id="rId4" Type="http://schemas.openxmlformats.org/officeDocument/2006/relationships/hyperlink" Target="https://docs.google.com/spreadsheets/d/1r2y83rVfaPr4LyN9DKL0EzpyDW1O70pr54trowPl9Cc/edit?gid=1424409450" TargetMode="External"/><Relationship Id="rId9" Type="http://schemas.openxmlformats.org/officeDocument/2006/relationships/hyperlink" Target="https://docs.google.com/spreadsheets/d/1kFB8emrTBqWDf_NPXYzunXZ-UvgbtwCPUKNVeXZiolY/edit?usp=sharing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s://docs.google.com/spreadsheets/d/1Jjhkc6aJi31bLM5_yKHtFYFPrD7LoHHCPtgGCEKMYyE/edit?usp=drivesdk" TargetMode="External"/><Relationship Id="rId5" Type="http://schemas.openxmlformats.org/officeDocument/2006/relationships/hyperlink" Target="https://docs.google.com/spreadsheets/d/18taRSsF79DxwpFdJF-X88hBWUI5brOA1ODZwl5m02as/edit?usp=drivesdk" TargetMode="External"/><Relationship Id="rId6" Type="http://schemas.openxmlformats.org/officeDocument/2006/relationships/hyperlink" Target="https://docs.google.com/spreadsheets/d/1F82n5dmwfad3GXrmrLoAH7mJy83fSxCmdDEfA0nbn1o/edit?usp=drivesdk" TargetMode="External"/><Relationship Id="rId7" Type="http://schemas.openxmlformats.org/officeDocument/2006/relationships/hyperlink" Target="https://docs.google.com/spreadsheets/d/1iPrUDgZ4Ayf1xU-mcmYLk1YqnSD-2Y0zhPQaAGZIJc0/edit?usp=drivesdk" TargetMode="External"/><Relationship Id="rId8" Type="http://schemas.openxmlformats.org/officeDocument/2006/relationships/hyperlink" Target="https://docs.google.com/spreadsheets/d/1fqVW09z3yx0_mBz4hByag55wEEknTUFSA40qusygFDQ/edit?usp=drivesd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va1jV5HcQSeTZQxe7" TargetMode="External"/><Relationship Id="rId2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hyperlink" Target="http://tinyurl.com/sosbmeet" TargetMode="External"/><Relationship Id="rId2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0.88"/>
    <col customWidth="1" hidden="1" min="2" max="3" width="10.13"/>
    <col customWidth="1" min="4" max="4" width="8.13"/>
    <col customWidth="1" min="5" max="5" width="10.13"/>
    <col customWidth="1" min="6" max="6" width="16.25"/>
    <col customWidth="1" min="7" max="7" width="8.75"/>
    <col customWidth="1" min="8" max="8" width="12.13"/>
    <col customWidth="1" min="9" max="9" width="11.5"/>
    <col customWidth="1" min="10" max="10" width="8.38"/>
    <col customWidth="1" min="11" max="11" width="8.25"/>
    <col customWidth="1" hidden="1" min="12" max="12" width="10.38"/>
    <col customWidth="1" hidden="1" min="13" max="13" width="20.63"/>
  </cols>
  <sheetData>
    <row r="1" hidden="1">
      <c r="A1" s="1" t="s">
        <v>0</v>
      </c>
      <c r="D1" s="2"/>
      <c r="E1" s="3"/>
      <c r="F1" s="3"/>
      <c r="G1" s="4"/>
      <c r="H1" s="3"/>
      <c r="I1" s="3"/>
      <c r="J1" s="3"/>
      <c r="K1" s="3"/>
      <c r="L1" s="3"/>
      <c r="M1" s="3"/>
    </row>
    <row r="2">
      <c r="A2" s="5" t="str">
        <f>IFERROR(__xludf.DUMMYFUNCTION("QUERY(IMPORTRANGE(Links!B7,""Theory_Distribute_Release!B:V""),""SELECT Col1, Col14, Col15, Col16, Col3, Col4, Col5, Col6, Col7, Col8, Col9 WHERE Col1 IS NOT NULL"",0)"),"Course")</f>
        <v>Course</v>
      </c>
      <c r="B2" s="6" t="str">
        <f>IFERROR(__xludf.DUMMYFUNCTION("""COMPUTED_VALUE"""),"Theory Equivalent")</f>
        <v>Theory Equivalent</v>
      </c>
      <c r="C2" s="5" t="str">
        <f>IFERROR(__xludf.DUMMYFUNCTION("""COMPUTED_VALUE"""),"Lab Equivalent")</f>
        <v>Lab Equivalent</v>
      </c>
      <c r="D2" s="5" t="str">
        <f>IFERROR(__xludf.DUMMYFUNCTION("""COMPUTED_VALUE"""),"Theory Initial")</f>
        <v>Theory Initial</v>
      </c>
      <c r="E2" s="5" t="str">
        <f>IFERROR(__xludf.DUMMYFUNCTION("""COMPUTED_VALUE"""),"Theory Day")</f>
        <v>Theory Day</v>
      </c>
      <c r="F2" s="5" t="str">
        <f>IFERROR(__xludf.DUMMYFUNCTION("""COMPUTED_VALUE"""),"Theory Time
(1hr 20min)")</f>
        <v>Theory Time
(1hr 20min)</v>
      </c>
      <c r="G2" s="7" t="str">
        <f>IFERROR(__xludf.DUMMYFUNCTION("""COMPUTED_VALUE"""),"Theory Room")</f>
        <v>Theory Room</v>
      </c>
      <c r="H2" s="5" t="str">
        <f>IFERROR(__xludf.DUMMYFUNCTION("""COMPUTED_VALUE"""),"Lab Faculty")</f>
        <v>Lab Faculty</v>
      </c>
      <c r="I2" s="5" t="str">
        <f>IFERROR(__xludf.DUMMYFUNCTION("""COMPUTED_VALUE"""),"Lab Day")</f>
        <v>Lab Day</v>
      </c>
      <c r="J2" s="5" t="str">
        <f>IFERROR(__xludf.DUMMYFUNCTION("""COMPUTED_VALUE"""),"Lab Time (3hr)")</f>
        <v>Lab Time (3hr)</v>
      </c>
      <c r="K2" s="5" t="str">
        <f>IFERROR(__xludf.DUMMYFUNCTION("""COMPUTED_VALUE"""),"Lab Room")</f>
        <v>Lab Room</v>
      </c>
      <c r="L2" s="5"/>
      <c r="M2" s="5"/>
    </row>
    <row r="3">
      <c r="A3" s="5" t="str">
        <f>IFERROR(__xludf.DUMMYFUNCTION("""COMPUTED_VALUE"""),"CSE101-01")</f>
        <v>CSE101-01</v>
      </c>
      <c r="B3" s="8"/>
      <c r="C3" s="8"/>
      <c r="D3" s="8" t="str">
        <f>IFERROR(__xludf.DUMMYFUNCTION("""COMPUTED_VALUE"""),"NZRF")</f>
        <v>NZRF</v>
      </c>
      <c r="E3" s="8" t="str">
        <f>IFERROR(__xludf.DUMMYFUNCTION("""COMPUTED_VALUE"""),"MON+WED")</f>
        <v>MON+WED</v>
      </c>
      <c r="F3" s="8" t="str">
        <f>IFERROR(__xludf.DUMMYFUNCTION("""COMPUTED_VALUE"""),"2:00 PM")</f>
        <v>2:00 PM</v>
      </c>
      <c r="G3" s="9" t="str">
        <f>IFERROR(__xludf.DUMMYFUNCTION("""COMPUTED_VALUE"""),"10B-13C")</f>
        <v>10B-13C</v>
      </c>
      <c r="H3" s="8" t="str">
        <f>IFERROR(__xludf.DUMMYFUNCTION("""COMPUTED_VALUE"""),"SBHN,CESF")</f>
        <v>SBHN,CESF</v>
      </c>
      <c r="I3" s="8" t="str">
        <f>IFERROR(__xludf.DUMMYFUNCTION("""COMPUTED_VALUE"""),"SUN")</f>
        <v>SUN</v>
      </c>
      <c r="J3" s="8" t="str">
        <f>IFERROR(__xludf.DUMMYFUNCTION("""COMPUTED_VALUE"""),"11:00 AM")</f>
        <v>11:00 AM</v>
      </c>
      <c r="K3" s="8" t="str">
        <f>IFERROR(__xludf.DUMMYFUNCTION("""COMPUTED_VALUE"""),"FT11-04L")</f>
        <v>FT11-04L</v>
      </c>
      <c r="L3" s="8"/>
      <c r="M3" s="10" t="str">
        <f>IFERROR(VLOOKUP(D3,FacultyList!B:G,6,FALSE),"")</f>
        <v>niaz.ashraf@bracu.ac.bd</v>
      </c>
    </row>
    <row r="4">
      <c r="A4" s="5" t="str">
        <f>IFERROR(__xludf.DUMMYFUNCTION("""COMPUTED_VALUE"""),"CSE101-02")</f>
        <v>CSE101-02</v>
      </c>
      <c r="B4" s="8"/>
      <c r="C4" s="8"/>
      <c r="D4" s="8" t="str">
        <f>IFERROR(__xludf.DUMMYFUNCTION("""COMPUTED_VALUE"""),"RBR")</f>
        <v>RBR</v>
      </c>
      <c r="E4" s="8" t="str">
        <f>IFERROR(__xludf.DUMMYFUNCTION("""COMPUTED_VALUE"""),"MON+WED")</f>
        <v>MON+WED</v>
      </c>
      <c r="F4" s="8" t="str">
        <f>IFERROR(__xludf.DUMMYFUNCTION("""COMPUTED_VALUE"""),"11:00 AM")</f>
        <v>11:00 AM</v>
      </c>
      <c r="G4" s="9" t="str">
        <f>IFERROR(__xludf.DUMMYFUNCTION("""COMPUTED_VALUE"""),"09D-17C")</f>
        <v>09D-17C</v>
      </c>
      <c r="H4" s="8" t="str">
        <f>IFERROR(__xludf.DUMMYFUNCTION("""COMPUTED_VALUE"""),"CESF,AQJ")</f>
        <v>CESF,AQJ</v>
      </c>
      <c r="I4" s="8" t="str">
        <f>IFERROR(__xludf.DUMMYFUNCTION("""COMPUTED_VALUE"""),"TUE")</f>
        <v>TUE</v>
      </c>
      <c r="J4" s="8" t="str">
        <f>IFERROR(__xludf.DUMMYFUNCTION("""COMPUTED_VALUE"""),"11:00 AM")</f>
        <v>11:00 AM</v>
      </c>
      <c r="K4" s="8" t="str">
        <f>IFERROR(__xludf.DUMMYFUNCTION("""COMPUTED_VALUE"""),"FT11-03L")</f>
        <v>FT11-03L</v>
      </c>
      <c r="L4" s="8"/>
      <c r="M4" s="10" t="str">
        <f>IFERROR(VLOOKUP(D4,FacultyList!B:G,6,FALSE),"")</f>
        <v>rakin.rabbani@bracu.ac.bd</v>
      </c>
    </row>
    <row r="5">
      <c r="A5" s="5" t="str">
        <f>IFERROR(__xludf.DUMMYFUNCTION("""COMPUTED_VALUE"""),"CSE101-03")</f>
        <v>CSE101-03</v>
      </c>
      <c r="B5" s="8"/>
      <c r="C5" s="8"/>
      <c r="D5" s="8" t="str">
        <f>IFERROR(__xludf.DUMMYFUNCTION("""COMPUTED_VALUE"""),"RBR")</f>
        <v>RBR</v>
      </c>
      <c r="E5" s="8" t="str">
        <f>IFERROR(__xludf.DUMMYFUNCTION("""COMPUTED_VALUE"""),"MON+WED")</f>
        <v>MON+WED</v>
      </c>
      <c r="F5" s="8" t="str">
        <f>IFERROR(__xludf.DUMMYFUNCTION("""COMPUTED_VALUE"""),"12:30 PM")</f>
        <v>12:30 PM</v>
      </c>
      <c r="G5" s="9" t="str">
        <f>IFERROR(__xludf.DUMMYFUNCTION("""COMPUTED_VALUE"""),"09D-17C")</f>
        <v>09D-17C</v>
      </c>
      <c r="H5" s="8" t="str">
        <f>IFERROR(__xludf.DUMMYFUNCTION("""COMPUTED_VALUE"""),"SLAR,CQAE")</f>
        <v>SLAR,CQAE</v>
      </c>
      <c r="I5" s="8" t="str">
        <f>IFERROR(__xludf.DUMMYFUNCTION("""COMPUTED_VALUE"""),"THU")</f>
        <v>THU</v>
      </c>
      <c r="J5" s="8" t="str">
        <f>IFERROR(__xludf.DUMMYFUNCTION("""COMPUTED_VALUE"""),"2:00 PM")</f>
        <v>2:00 PM</v>
      </c>
      <c r="K5" s="8" t="str">
        <f>IFERROR(__xludf.DUMMYFUNCTION("""COMPUTED_VALUE"""),"FT11-04L")</f>
        <v>FT11-04L</v>
      </c>
      <c r="L5" s="8"/>
      <c r="M5" s="10" t="str">
        <f>IFERROR(VLOOKUP(D5,FacultyList!B:G,6,FALSE),"")</f>
        <v>rakin.rabbani@bracu.ac.bd</v>
      </c>
    </row>
    <row r="6">
      <c r="A6" s="5" t="str">
        <f>IFERROR(__xludf.DUMMYFUNCTION("""COMPUTED_VALUE"""),"CSE101-04")</f>
        <v>CSE101-04</v>
      </c>
      <c r="B6" s="8"/>
      <c r="C6" s="8"/>
      <c r="D6" s="8" t="str">
        <f>IFERROR(__xludf.DUMMYFUNCTION("""COMPUTED_VALUE"""),"SBHN")</f>
        <v>SBHN</v>
      </c>
      <c r="E6" s="8" t="str">
        <f>IFERROR(__xludf.DUMMYFUNCTION("""COMPUTED_VALUE"""),"SUN+TUE")</f>
        <v>SUN+TUE</v>
      </c>
      <c r="F6" s="8" t="str">
        <f>IFERROR(__xludf.DUMMYFUNCTION("""COMPUTED_VALUE"""),"2:00 PM")</f>
        <v>2:00 PM</v>
      </c>
      <c r="G6" s="9" t="str">
        <f>IFERROR(__xludf.DUMMYFUNCTION("""COMPUTED_VALUE"""),"09H-35C")</f>
        <v>09H-35C</v>
      </c>
      <c r="H6" s="8" t="str">
        <f>IFERROR(__xludf.DUMMYFUNCTION("""COMPUTED_VALUE"""),"RBR,TRZA")</f>
        <v>RBR,TRZA</v>
      </c>
      <c r="I6" s="8" t="str">
        <f>IFERROR(__xludf.DUMMYFUNCTION("""COMPUTED_VALUE"""),"MON")</f>
        <v>MON</v>
      </c>
      <c r="J6" s="8" t="str">
        <f>IFERROR(__xludf.DUMMYFUNCTION("""COMPUTED_VALUE"""),"2:00 PM")</f>
        <v>2:00 PM</v>
      </c>
      <c r="K6" s="8" t="str">
        <f>IFERROR(__xludf.DUMMYFUNCTION("""COMPUTED_VALUE"""),"FT11-04L")</f>
        <v>FT11-04L</v>
      </c>
      <c r="L6" s="8"/>
      <c r="M6" s="10" t="str">
        <f>IFERROR(VLOOKUP(D6,FacultyList!B:G,6,FALSE),"")</f>
        <v>sabbir.hossain@bracu.ac.bd</v>
      </c>
    </row>
    <row r="7">
      <c r="A7" s="5" t="str">
        <f>IFERROR(__xludf.DUMMYFUNCTION("""COMPUTED_VALUE"""),"CSE101-05")</f>
        <v>CSE101-05</v>
      </c>
      <c r="B7" s="8"/>
      <c r="C7" s="8"/>
      <c r="D7" s="8" t="str">
        <f>IFERROR(__xludf.DUMMYFUNCTION("""COMPUTED_VALUE"""),"SBHN")</f>
        <v>SBHN</v>
      </c>
      <c r="E7" s="8" t="str">
        <f>IFERROR(__xludf.DUMMYFUNCTION("""COMPUTED_VALUE"""),"SUN+TUE")</f>
        <v>SUN+TUE</v>
      </c>
      <c r="F7" s="8" t="str">
        <f>IFERROR(__xludf.DUMMYFUNCTION("""COMPUTED_VALUE"""),"3:30 PM")</f>
        <v>3:30 PM</v>
      </c>
      <c r="G7" s="9" t="str">
        <f>IFERROR(__xludf.DUMMYFUNCTION("""COMPUTED_VALUE"""),"09H-35C")</f>
        <v>09H-35C</v>
      </c>
      <c r="H7" s="8" t="str">
        <f>IFERROR(__xludf.DUMMYFUNCTION("""COMPUTED_VALUE"""),"SBHN,SLAR")</f>
        <v>SBHN,SLAR</v>
      </c>
      <c r="I7" s="8" t="str">
        <f>IFERROR(__xludf.DUMMYFUNCTION("""COMPUTED_VALUE"""),"WED")</f>
        <v>WED</v>
      </c>
      <c r="J7" s="8" t="str">
        <f>IFERROR(__xludf.DUMMYFUNCTION("""COMPUTED_VALUE"""),"11:00 AM")</f>
        <v>11:00 AM</v>
      </c>
      <c r="K7" s="8" t="str">
        <f>IFERROR(__xludf.DUMMYFUNCTION("""COMPUTED_VALUE"""),"FT11-04L")</f>
        <v>FT11-04L</v>
      </c>
      <c r="L7" s="8"/>
      <c r="M7" s="10" t="str">
        <f>IFERROR(VLOOKUP(D7,FacultyList!B:G,6,FALSE),"")</f>
        <v>sabbir.hossain@bracu.ac.bd</v>
      </c>
    </row>
    <row r="8">
      <c r="A8" s="5" t="str">
        <f>IFERROR(__xludf.DUMMYFUNCTION("""COMPUTED_VALUE"""),"CSE101-06")</f>
        <v>CSE101-06</v>
      </c>
      <c r="B8" s="8"/>
      <c r="C8" s="8"/>
      <c r="D8" s="8" t="str">
        <f>IFERROR(__xludf.DUMMYFUNCTION("""COMPUTED_VALUE"""),"SBHN")</f>
        <v>SBHN</v>
      </c>
      <c r="E8" s="8" t="str">
        <f>IFERROR(__xludf.DUMMYFUNCTION("""COMPUTED_VALUE"""),"MON+WED")</f>
        <v>MON+WED</v>
      </c>
      <c r="F8" s="8" t="str">
        <f>IFERROR(__xludf.DUMMYFUNCTION("""COMPUTED_VALUE"""),"2:00 PM")</f>
        <v>2:00 PM</v>
      </c>
      <c r="G8" s="9" t="str">
        <f>IFERROR(__xludf.DUMMYFUNCTION("""COMPUTED_VALUE"""),"09D-17C")</f>
        <v>09D-17C</v>
      </c>
      <c r="H8" s="8" t="str">
        <f>IFERROR(__xludf.DUMMYFUNCTION("""COMPUTED_VALUE"""),"SLAR,CQAE")</f>
        <v>SLAR,CQAE</v>
      </c>
      <c r="I8" s="8" t="str">
        <f>IFERROR(__xludf.DUMMYFUNCTION("""COMPUTED_VALUE"""),"SAT")</f>
        <v>SAT</v>
      </c>
      <c r="J8" s="8" t="str">
        <f>IFERROR(__xludf.DUMMYFUNCTION("""COMPUTED_VALUE"""),"8:00 AM")</f>
        <v>8:00 AM</v>
      </c>
      <c r="K8" s="8" t="str">
        <f>IFERROR(__xludf.DUMMYFUNCTION("""COMPUTED_VALUE"""),"FT11-03L")</f>
        <v>FT11-03L</v>
      </c>
      <c r="L8" s="8"/>
      <c r="M8" s="10" t="str">
        <f>IFERROR(VLOOKUP(D8,FacultyList!B:G,6,FALSE),"")</f>
        <v>sabbir.hossain@bracu.ac.bd</v>
      </c>
    </row>
    <row r="9">
      <c r="A9" s="5" t="str">
        <f>IFERROR(__xludf.DUMMYFUNCTION("""COMPUTED_VALUE"""),"CSE103-01")</f>
        <v>CSE103-01</v>
      </c>
      <c r="B9" s="8"/>
      <c r="C9" s="8"/>
      <c r="D9" s="8" t="str">
        <f>IFERROR(__xludf.DUMMYFUNCTION("""COMPUTED_VALUE"""),"XXX")</f>
        <v>XXX</v>
      </c>
      <c r="E9" s="8" t="str">
        <f>IFERROR(__xludf.DUMMYFUNCTION("""COMPUTED_VALUE"""),"XXX")</f>
        <v>XXX</v>
      </c>
      <c r="F9" s="8" t="str">
        <f>IFERROR(__xludf.DUMMYFUNCTION("""COMPUTED_VALUE"""),"11:00 AM")</f>
        <v>11:00 AM</v>
      </c>
      <c r="G9" s="9" t="str">
        <f>IFERROR(__xludf.DUMMYFUNCTION("""COMPUTED_VALUE"""),"XXX")</f>
        <v>XXX</v>
      </c>
      <c r="H9" s="8" t="str">
        <f>IFERROR(__xludf.DUMMYFUNCTION("""COMPUTED_VALUE"""),"FDM,SLAR")</f>
        <v>FDM,SLAR</v>
      </c>
      <c r="I9" s="8" t="str">
        <f>IFERROR(__xludf.DUMMYFUNCTION("""COMPUTED_VALUE"""),"SAT")</f>
        <v>SAT</v>
      </c>
      <c r="J9" s="8" t="str">
        <f>IFERROR(__xludf.DUMMYFUNCTION("""COMPUTED_VALUE"""),"2:00 PM")</f>
        <v>2:00 PM</v>
      </c>
      <c r="K9" s="8" t="str">
        <f>IFERROR(__xludf.DUMMYFUNCTION("""COMPUTED_VALUE"""),"11B-20L")</f>
        <v>11B-20L</v>
      </c>
      <c r="L9" s="8"/>
      <c r="M9" s="10" t="str">
        <f>IFERROR(VLOOKUP(D9,FacultyList!B:G,6,FALSE),"")</f>
        <v/>
      </c>
    </row>
    <row r="10">
      <c r="A10" s="5" t="str">
        <f>IFERROR(__xludf.DUMMYFUNCTION("""COMPUTED_VALUE"""),"CSE110-01")</f>
        <v>CSE110-01</v>
      </c>
      <c r="B10" s="8"/>
      <c r="C10" s="8"/>
      <c r="D10" s="8" t="str">
        <f>IFERROR(__xludf.DUMMYFUNCTION("""COMPUTED_VALUE"""),"MSI")</f>
        <v>MSI</v>
      </c>
      <c r="E10" s="8" t="str">
        <f>IFERROR(__xludf.DUMMYFUNCTION("""COMPUTED_VALUE"""),"MON+WED")</f>
        <v>MON+WED</v>
      </c>
      <c r="F10" s="8" t="str">
        <f>IFERROR(__xludf.DUMMYFUNCTION("""COMPUTED_VALUE"""),"3:30 PM")</f>
        <v>3:30 PM</v>
      </c>
      <c r="G10" s="9" t="str">
        <f>IFERROR(__xludf.DUMMYFUNCTION("""COMPUTED_VALUE"""),"10A-04C")</f>
        <v>10A-04C</v>
      </c>
      <c r="H10" s="8" t="str">
        <f>IFERROR(__xludf.DUMMYFUNCTION("""COMPUTED_VALUE"""),"AOH,ANNH")</f>
        <v>AOH,ANNH</v>
      </c>
      <c r="I10" s="8" t="str">
        <f>IFERROR(__xludf.DUMMYFUNCTION("""COMPUTED_VALUE"""),"THU")</f>
        <v>THU</v>
      </c>
      <c r="J10" s="8" t="str">
        <f>IFERROR(__xludf.DUMMYFUNCTION("""COMPUTED_VALUE"""),"8:00 AM")</f>
        <v>8:00 AM</v>
      </c>
      <c r="K10" s="8" t="str">
        <f>IFERROR(__xludf.DUMMYFUNCTION("""COMPUTED_VALUE"""),"09B-08L")</f>
        <v>09B-08L</v>
      </c>
      <c r="L10" s="8"/>
      <c r="M10" s="10" t="str">
        <f>IFERROR(VLOOKUP(D10,FacultyList!B:G,6,FALSE),"")</f>
        <v>md.saiful.islam@bracu.ac.bd</v>
      </c>
    </row>
    <row r="11">
      <c r="A11" s="5" t="str">
        <f>IFERROR(__xludf.DUMMYFUNCTION("""COMPUTED_VALUE"""),"CSE110-02")</f>
        <v>CSE110-02</v>
      </c>
      <c r="B11" s="8"/>
      <c r="C11" s="8"/>
      <c r="D11" s="8" t="str">
        <f>IFERROR(__xludf.DUMMYFUNCTION("""COMPUTED_VALUE"""),"MSI")</f>
        <v>MSI</v>
      </c>
      <c r="E11" s="8" t="str">
        <f>IFERROR(__xludf.DUMMYFUNCTION("""COMPUTED_VALUE"""),"SUN+TUE")</f>
        <v>SUN+TUE</v>
      </c>
      <c r="F11" s="8" t="str">
        <f>IFERROR(__xludf.DUMMYFUNCTION("""COMPUTED_VALUE"""),"11:00 AM")</f>
        <v>11:00 AM</v>
      </c>
      <c r="G11" s="9" t="str">
        <f>IFERROR(__xludf.DUMMYFUNCTION("""COMPUTED_VALUE"""),"10A-10C")</f>
        <v>10A-10C</v>
      </c>
      <c r="H11" s="8" t="str">
        <f>IFERROR(__xludf.DUMMYFUNCTION("""COMPUTED_VALUE"""),"MSI,SMUR")</f>
        <v>MSI,SMUR</v>
      </c>
      <c r="I11" s="8" t="str">
        <f>IFERROR(__xludf.DUMMYFUNCTION("""COMPUTED_VALUE"""),"WED")</f>
        <v>WED</v>
      </c>
      <c r="J11" s="8" t="str">
        <f>IFERROR(__xludf.DUMMYFUNCTION("""COMPUTED_VALUE"""),"8:00 AM")</f>
        <v>8:00 AM</v>
      </c>
      <c r="K11" s="8" t="str">
        <f>IFERROR(__xludf.DUMMYFUNCTION("""COMPUTED_VALUE"""),"09B-08L")</f>
        <v>09B-08L</v>
      </c>
      <c r="L11" s="8"/>
      <c r="M11" s="10" t="str">
        <f>IFERROR(VLOOKUP(D11,FacultyList!B:G,6,FALSE),"")</f>
        <v>md.saiful.islam@bracu.ac.bd</v>
      </c>
    </row>
    <row r="12">
      <c r="A12" s="5" t="str">
        <f>IFERROR(__xludf.DUMMYFUNCTION("""COMPUTED_VALUE"""),"CSE110-03")</f>
        <v>CSE110-03</v>
      </c>
      <c r="B12" s="8"/>
      <c r="C12" s="8"/>
      <c r="D12" s="8" t="str">
        <f>IFERROR(__xludf.DUMMYFUNCTION("""COMPUTED_VALUE"""),"MSI")</f>
        <v>MSI</v>
      </c>
      <c r="E12" s="8" t="str">
        <f>IFERROR(__xludf.DUMMYFUNCTION("""COMPUTED_VALUE"""),"SUN+TUE")</f>
        <v>SUN+TUE</v>
      </c>
      <c r="F12" s="8" t="str">
        <f>IFERROR(__xludf.DUMMYFUNCTION("""COMPUTED_VALUE"""),"12:30 PM")</f>
        <v>12:30 PM</v>
      </c>
      <c r="G12" s="9" t="str">
        <f>IFERROR(__xludf.DUMMYFUNCTION("""COMPUTED_VALUE"""),"10A-10C")</f>
        <v>10A-10C</v>
      </c>
      <c r="H12" s="8" t="str">
        <f>IFERROR(__xludf.DUMMYFUNCTION("""COMPUTED_VALUE"""),"SMUR,RKBM")</f>
        <v>SMUR,RKBM</v>
      </c>
      <c r="I12" s="8" t="str">
        <f>IFERROR(__xludf.DUMMYFUNCTION("""COMPUTED_VALUE"""),"WED")</f>
        <v>WED</v>
      </c>
      <c r="J12" s="8" t="str">
        <f>IFERROR(__xludf.DUMMYFUNCTION("""COMPUTED_VALUE"""),"11:00 AM")</f>
        <v>11:00 AM</v>
      </c>
      <c r="K12" s="8" t="str">
        <f>IFERROR(__xludf.DUMMYFUNCTION("""COMPUTED_VALUE"""),"09B-08L")</f>
        <v>09B-08L</v>
      </c>
      <c r="L12" s="8"/>
      <c r="M12" s="10" t="str">
        <f>IFERROR(VLOOKUP(D12,FacultyList!B:G,6,FALSE),"")</f>
        <v>md.saiful.islam@bracu.ac.bd</v>
      </c>
    </row>
    <row r="13">
      <c r="A13" s="5" t="str">
        <f>IFERROR(__xludf.DUMMYFUNCTION("""COMPUTED_VALUE"""),"CSE110-04")</f>
        <v>CSE110-04</v>
      </c>
      <c r="B13" s="8"/>
      <c r="C13" s="8"/>
      <c r="D13" s="8" t="str">
        <f>IFERROR(__xludf.DUMMYFUNCTION("""COMPUTED_VALUE"""),"MSI")</f>
        <v>MSI</v>
      </c>
      <c r="E13" s="8" t="str">
        <f>IFERROR(__xludf.DUMMYFUNCTION("""COMPUTED_VALUE"""),"SUN+TUE")</f>
        <v>SUN+TUE</v>
      </c>
      <c r="F13" s="8" t="str">
        <f>IFERROR(__xludf.DUMMYFUNCTION("""COMPUTED_VALUE"""),"3:30 PM")</f>
        <v>3:30 PM</v>
      </c>
      <c r="G13" s="9" t="str">
        <f>IFERROR(__xludf.DUMMYFUNCTION("""COMPUTED_VALUE"""),"10A-10C")</f>
        <v>10A-10C</v>
      </c>
      <c r="H13" s="8" t="str">
        <f>IFERROR(__xludf.DUMMYFUNCTION("""COMPUTED_VALUE"""),"MSI,CAKM")</f>
        <v>MSI,CAKM</v>
      </c>
      <c r="I13" s="8" t="str">
        <f>IFERROR(__xludf.DUMMYFUNCTION("""COMPUTED_VALUE"""),"WED")</f>
        <v>WED</v>
      </c>
      <c r="J13" s="8" t="str">
        <f>IFERROR(__xludf.DUMMYFUNCTION("""COMPUTED_VALUE"""),"11:00 AM")</f>
        <v>11:00 AM</v>
      </c>
      <c r="K13" s="8" t="str">
        <f>IFERROR(__xludf.DUMMYFUNCTION("""COMPUTED_VALUE"""),"09B-10L")</f>
        <v>09B-10L</v>
      </c>
      <c r="L13" s="8"/>
      <c r="M13" s="10" t="str">
        <f>IFERROR(VLOOKUP(D13,FacultyList!B:G,6,FALSE),"")</f>
        <v>md.saiful.islam@bracu.ac.bd</v>
      </c>
    </row>
    <row r="14">
      <c r="A14" s="5" t="str">
        <f>IFERROR(__xludf.DUMMYFUNCTION("""COMPUTED_VALUE"""),"CSE110-05")</f>
        <v>CSE110-05</v>
      </c>
      <c r="B14" s="8"/>
      <c r="C14" s="8"/>
      <c r="D14" s="8" t="str">
        <f>IFERROR(__xludf.DUMMYFUNCTION("""COMPUTED_VALUE"""),"TAW")</f>
        <v>TAW</v>
      </c>
      <c r="E14" s="8" t="str">
        <f>IFERROR(__xludf.DUMMYFUNCTION("""COMPUTED_VALUE"""),"MON+WED")</f>
        <v>MON+WED</v>
      </c>
      <c r="F14" s="8" t="str">
        <f>IFERROR(__xludf.DUMMYFUNCTION("""COMPUTED_VALUE"""),"11:00 AM")</f>
        <v>11:00 AM</v>
      </c>
      <c r="G14" s="9" t="str">
        <f>IFERROR(__xludf.DUMMYFUNCTION("""COMPUTED_VALUE"""),"10A-05C")</f>
        <v>10A-05C</v>
      </c>
      <c r="H14" s="8" t="str">
        <f>IFERROR(__xludf.DUMMYFUNCTION("""COMPUTED_VALUE"""),"MAF,AOH")</f>
        <v>MAF,AOH</v>
      </c>
      <c r="I14" s="8" t="str">
        <f>IFERROR(__xludf.DUMMYFUNCTION("""COMPUTED_VALUE"""),"THU")</f>
        <v>THU</v>
      </c>
      <c r="J14" s="8" t="str">
        <f>IFERROR(__xludf.DUMMYFUNCTION("""COMPUTED_VALUE"""),"11:00 AM")</f>
        <v>11:00 AM</v>
      </c>
      <c r="K14" s="8" t="str">
        <f>IFERROR(__xludf.DUMMYFUNCTION("""COMPUTED_VALUE"""),"09B-08L")</f>
        <v>09B-08L</v>
      </c>
      <c r="L14" s="8"/>
      <c r="M14" s="10" t="str">
        <f>IFERROR(VLOOKUP(D14,FacultyList!B:G,6,FALSE),"")</f>
        <v>tawhid.anwar@bracu.ac.bd</v>
      </c>
    </row>
    <row r="15">
      <c r="A15" s="5" t="str">
        <f>IFERROR(__xludf.DUMMYFUNCTION("""COMPUTED_VALUE"""),"CSE110-06")</f>
        <v>CSE110-06</v>
      </c>
      <c r="B15" s="8"/>
      <c r="C15" s="8"/>
      <c r="D15" s="8" t="str">
        <f>IFERROR(__xludf.DUMMYFUNCTION("""COMPUTED_VALUE"""),"ADU")</f>
        <v>ADU</v>
      </c>
      <c r="E15" s="8" t="str">
        <f>IFERROR(__xludf.DUMMYFUNCTION("""COMPUTED_VALUE"""),"SUN+TUE")</f>
        <v>SUN+TUE</v>
      </c>
      <c r="F15" s="8" t="str">
        <f>IFERROR(__xludf.DUMMYFUNCTION("""COMPUTED_VALUE"""),"12:30 PM")</f>
        <v>12:30 PM</v>
      </c>
      <c r="G15" s="9" t="str">
        <f>IFERROR(__xludf.DUMMYFUNCTION("""COMPUTED_VALUE"""),"09H-33C")</f>
        <v>09H-33C</v>
      </c>
      <c r="H15" s="8" t="str">
        <f>IFERROR(__xludf.DUMMYFUNCTION("""COMPUTED_VALUE"""),"ANNH,MVH")</f>
        <v>ANNH,MVH</v>
      </c>
      <c r="I15" s="8" t="str">
        <f>IFERROR(__xludf.DUMMYFUNCTION("""COMPUTED_VALUE"""),"WED")</f>
        <v>WED</v>
      </c>
      <c r="J15" s="8" t="str">
        <f>IFERROR(__xludf.DUMMYFUNCTION("""COMPUTED_VALUE"""),"8:00 AM")</f>
        <v>8:00 AM</v>
      </c>
      <c r="K15" s="8" t="str">
        <f>IFERROR(__xludf.DUMMYFUNCTION("""COMPUTED_VALUE"""),"09B-09L")</f>
        <v>09B-09L</v>
      </c>
      <c r="L15" s="8"/>
      <c r="M15" s="10" t="str">
        <f>IFERROR(VLOOKUP(D15,FacultyList!B:G,6,FALSE),"")</f>
        <v>ahmed.ruhan@bracu.ac.bd</v>
      </c>
    </row>
    <row r="16">
      <c r="A16" s="5" t="str">
        <f>IFERROR(__xludf.DUMMYFUNCTION("""COMPUTED_VALUE"""),"CSE110-07")</f>
        <v>CSE110-07</v>
      </c>
      <c r="B16" s="8"/>
      <c r="C16" s="8"/>
      <c r="D16" s="8" t="str">
        <f>IFERROR(__xludf.DUMMYFUNCTION("""COMPUTED_VALUE"""),"RAK")</f>
        <v>RAK</v>
      </c>
      <c r="E16" s="8" t="str">
        <f>IFERROR(__xludf.DUMMYFUNCTION("""COMPUTED_VALUE"""),"SUN+TUE")</f>
        <v>SUN+TUE</v>
      </c>
      <c r="F16" s="8" t="str">
        <f>IFERROR(__xludf.DUMMYFUNCTION("""COMPUTED_VALUE"""),"8:00 AM")</f>
        <v>8:00 AM</v>
      </c>
      <c r="G16" s="9" t="str">
        <f>IFERROR(__xludf.DUMMYFUNCTION("""COMPUTED_VALUE"""),"10A-05C")</f>
        <v>10A-05C</v>
      </c>
      <c r="H16" s="8" t="str">
        <f>IFERROR(__xludf.DUMMYFUNCTION("""COMPUTED_VALUE"""),"NQM,NTN")</f>
        <v>NQM,NTN</v>
      </c>
      <c r="I16" s="8" t="str">
        <f>IFERROR(__xludf.DUMMYFUNCTION("""COMPUTED_VALUE"""),"THU")</f>
        <v>THU</v>
      </c>
      <c r="J16" s="8" t="str">
        <f>IFERROR(__xludf.DUMMYFUNCTION("""COMPUTED_VALUE"""),"11:00 AM")</f>
        <v>11:00 AM</v>
      </c>
      <c r="K16" s="8" t="str">
        <f>IFERROR(__xludf.DUMMYFUNCTION("""COMPUTED_VALUE"""),"09B-09L")</f>
        <v>09B-09L</v>
      </c>
      <c r="L16" s="8"/>
      <c r="M16" s="10" t="str">
        <f>IFERROR(VLOOKUP(D16,FacultyList!B:G,6,FALSE),"")</f>
        <v>rubayat.ahmed@bracu.ac.bd</v>
      </c>
    </row>
    <row r="17">
      <c r="A17" s="5" t="str">
        <f>IFERROR(__xludf.DUMMYFUNCTION("""COMPUTED_VALUE"""),"CSE110-08")</f>
        <v>CSE110-08</v>
      </c>
      <c r="B17" s="8"/>
      <c r="C17" s="8"/>
      <c r="D17" s="8" t="str">
        <f>IFERROR(__xludf.DUMMYFUNCTION("""COMPUTED_VALUE"""),"AOH")</f>
        <v>AOH</v>
      </c>
      <c r="E17" s="8" t="str">
        <f>IFERROR(__xludf.DUMMYFUNCTION("""COMPUTED_VALUE"""),"SUN+TUE")</f>
        <v>SUN+TUE</v>
      </c>
      <c r="F17" s="8" t="str">
        <f>IFERROR(__xludf.DUMMYFUNCTION("""COMPUTED_VALUE"""),"3:30 PM")</f>
        <v>3:30 PM</v>
      </c>
      <c r="G17" s="9" t="str">
        <f>IFERROR(__xludf.DUMMYFUNCTION("""COMPUTED_VALUE"""),"09A-07C")</f>
        <v>09A-07C</v>
      </c>
      <c r="H17" s="8" t="str">
        <f>IFERROR(__xludf.DUMMYFUNCTION("""COMPUTED_VALUE"""),"AFA,KNI")</f>
        <v>AFA,KNI</v>
      </c>
      <c r="I17" s="8" t="str">
        <f>IFERROR(__xludf.DUMMYFUNCTION("""COMPUTED_VALUE"""),"WED")</f>
        <v>WED</v>
      </c>
      <c r="J17" s="8" t="str">
        <f>IFERROR(__xludf.DUMMYFUNCTION("""COMPUTED_VALUE"""),"11:00 AM")</f>
        <v>11:00 AM</v>
      </c>
      <c r="K17" s="8" t="str">
        <f>IFERROR(__xludf.DUMMYFUNCTION("""COMPUTED_VALUE"""),"09B-09L")</f>
        <v>09B-09L</v>
      </c>
      <c r="L17" s="8"/>
      <c r="M17" s="10" t="str">
        <f>IFERROR(VLOOKUP(D17,FacultyList!B:G,6,FALSE),"")</f>
        <v>ext.abu.hasme@bracu.ac.bd</v>
      </c>
    </row>
    <row r="18">
      <c r="A18" s="5" t="str">
        <f>IFERROR(__xludf.DUMMYFUNCTION("""COMPUTED_VALUE"""),"CSE110-09")</f>
        <v>CSE110-09</v>
      </c>
      <c r="B18" s="8"/>
      <c r="C18" s="8"/>
      <c r="D18" s="8" t="str">
        <f>IFERROR(__xludf.DUMMYFUNCTION("""COMPUTED_VALUE"""),"KNI")</f>
        <v>KNI</v>
      </c>
      <c r="E18" s="8" t="str">
        <f>IFERROR(__xludf.DUMMYFUNCTION("""COMPUTED_VALUE"""),"MON+WED")</f>
        <v>MON+WED</v>
      </c>
      <c r="F18" s="8" t="str">
        <f>IFERROR(__xludf.DUMMYFUNCTION("""COMPUTED_VALUE"""),"2:00 PM")</f>
        <v>2:00 PM</v>
      </c>
      <c r="G18" s="9" t="str">
        <f>IFERROR(__xludf.DUMMYFUNCTION("""COMPUTED_VALUE"""),"09H-34C")</f>
        <v>09H-34C</v>
      </c>
      <c r="H18" s="8" t="str">
        <f>IFERROR(__xludf.DUMMYFUNCTION("""COMPUTED_VALUE"""),"ANNH,CAYR")</f>
        <v>ANNH,CAYR</v>
      </c>
      <c r="I18" s="8" t="str">
        <f>IFERROR(__xludf.DUMMYFUNCTION("""COMPUTED_VALUE"""),"THU")</f>
        <v>THU</v>
      </c>
      <c r="J18" s="8" t="str">
        <f>IFERROR(__xludf.DUMMYFUNCTION("""COMPUTED_VALUE"""),"2:00 PM")</f>
        <v>2:00 PM</v>
      </c>
      <c r="K18" s="8" t="str">
        <f>IFERROR(__xludf.DUMMYFUNCTION("""COMPUTED_VALUE"""),"09B-08L")</f>
        <v>09B-08L</v>
      </c>
      <c r="L18" s="8"/>
      <c r="M18" s="10" t="str">
        <f>IFERROR(VLOOKUP(D18,FacultyList!B:G,6,FALSE),"")</f>
        <v>nazia.iqbal@bracu.ac.bd</v>
      </c>
    </row>
    <row r="19">
      <c r="A19" s="5" t="str">
        <f>IFERROR(__xludf.DUMMYFUNCTION("""COMPUTED_VALUE"""),"CSE110-10")</f>
        <v>CSE110-10</v>
      </c>
      <c r="B19" s="8"/>
      <c r="C19" s="8"/>
      <c r="D19" s="8" t="str">
        <f>IFERROR(__xludf.DUMMYFUNCTION("""COMPUTED_VALUE"""),"KNI")</f>
        <v>KNI</v>
      </c>
      <c r="E19" s="8" t="str">
        <f>IFERROR(__xludf.DUMMYFUNCTION("""COMPUTED_VALUE"""),"MON+WED")</f>
        <v>MON+WED</v>
      </c>
      <c r="F19" s="8" t="str">
        <f>IFERROR(__xludf.DUMMYFUNCTION("""COMPUTED_VALUE"""),"3:30 PM")</f>
        <v>3:30 PM</v>
      </c>
      <c r="G19" s="9" t="str">
        <f>IFERROR(__xludf.DUMMYFUNCTION("""COMPUTED_VALUE"""),"09H-34C")</f>
        <v>09H-34C</v>
      </c>
      <c r="H19" s="8" t="str">
        <f>IFERROR(__xludf.DUMMYFUNCTION("""COMPUTED_VALUE"""),"WLV,ANT")</f>
        <v>WLV,ANT</v>
      </c>
      <c r="I19" s="8" t="str">
        <f>IFERROR(__xludf.DUMMYFUNCTION("""COMPUTED_VALUE"""),"THU")</f>
        <v>THU</v>
      </c>
      <c r="J19" s="8" t="str">
        <f>IFERROR(__xludf.DUMMYFUNCTION("""COMPUTED_VALUE"""),"8:00 AM")</f>
        <v>8:00 AM</v>
      </c>
      <c r="K19" s="8" t="str">
        <f>IFERROR(__xludf.DUMMYFUNCTION("""COMPUTED_VALUE"""),"09B-09L")</f>
        <v>09B-09L</v>
      </c>
      <c r="L19" s="8"/>
      <c r="M19" s="10" t="str">
        <f>IFERROR(VLOOKUP(D19,FacultyList!B:G,6,FALSE),"")</f>
        <v>nazia.iqbal@bracu.ac.bd</v>
      </c>
    </row>
    <row r="20">
      <c r="A20" s="5" t="str">
        <f>IFERROR(__xludf.DUMMYFUNCTION("""COMPUTED_VALUE"""),"CSE110-11")</f>
        <v>CSE110-11</v>
      </c>
      <c r="B20" s="8"/>
      <c r="C20" s="8"/>
      <c r="D20" s="8" t="str">
        <f>IFERROR(__xludf.DUMMYFUNCTION("""COMPUTED_VALUE"""),"MAU")</f>
        <v>MAU</v>
      </c>
      <c r="E20" s="8" t="str">
        <f>IFERROR(__xludf.DUMMYFUNCTION("""COMPUTED_VALUE"""),"SUN+TUE")</f>
        <v>SUN+TUE</v>
      </c>
      <c r="F20" s="8" t="str">
        <f>IFERROR(__xludf.DUMMYFUNCTION("""COMPUTED_VALUE"""),"9:30 AM")</f>
        <v>9:30 AM</v>
      </c>
      <c r="G20" s="9" t="str">
        <f>IFERROR(__xludf.DUMMYFUNCTION("""COMPUTED_VALUE"""),"09A-03C")</f>
        <v>09A-03C</v>
      </c>
      <c r="H20" s="8" t="str">
        <f>IFERROR(__xludf.DUMMYFUNCTION("""COMPUTED_VALUE"""),"WLV,DFD")</f>
        <v>WLV,DFD</v>
      </c>
      <c r="I20" s="8" t="str">
        <f>IFERROR(__xludf.DUMMYFUNCTION("""COMPUTED_VALUE"""),"THU")</f>
        <v>THU</v>
      </c>
      <c r="J20" s="8" t="str">
        <f>IFERROR(__xludf.DUMMYFUNCTION("""COMPUTED_VALUE"""),"2:00 PM")</f>
        <v>2:00 PM</v>
      </c>
      <c r="K20" s="8" t="str">
        <f>IFERROR(__xludf.DUMMYFUNCTION("""COMPUTED_VALUE"""),"09B-09L")</f>
        <v>09B-09L</v>
      </c>
      <c r="L20" s="8"/>
      <c r="M20" s="10" t="str">
        <f>IFERROR(VLOOKUP(D20,FacultyList!B:G,6,FALSE),"")</f>
        <v>marshia.nujhat@bracu.ac.bd</v>
      </c>
    </row>
    <row r="21">
      <c r="A21" s="5" t="str">
        <f>IFERROR(__xludf.DUMMYFUNCTION("""COMPUTED_VALUE"""),"CSE110-12")</f>
        <v>CSE110-12</v>
      </c>
      <c r="B21" s="8"/>
      <c r="C21" s="8"/>
      <c r="D21" s="8" t="str">
        <f>IFERROR(__xludf.DUMMYFUNCTION("""COMPUTED_VALUE"""),"ADU")</f>
        <v>ADU</v>
      </c>
      <c r="E21" s="8" t="str">
        <f>IFERROR(__xludf.DUMMYFUNCTION("""COMPUTED_VALUE"""),"SUN+TUE")</f>
        <v>SUN+TUE</v>
      </c>
      <c r="F21" s="8" t="str">
        <f>IFERROR(__xludf.DUMMYFUNCTION("""COMPUTED_VALUE"""),"11:00 AM")</f>
        <v>11:00 AM</v>
      </c>
      <c r="G21" s="9" t="str">
        <f>IFERROR(__xludf.DUMMYFUNCTION("""COMPUTED_VALUE"""),"09H-33C")</f>
        <v>09H-33C</v>
      </c>
      <c r="H21" s="8" t="str">
        <f>IFERROR(__xludf.DUMMYFUNCTION("""COMPUTED_VALUE"""),"CSAB,CAKM")</f>
        <v>CSAB,CAKM</v>
      </c>
      <c r="I21" s="8" t="str">
        <f>IFERROR(__xludf.DUMMYFUNCTION("""COMPUTED_VALUE"""),"THU")</f>
        <v>THU</v>
      </c>
      <c r="J21" s="8" t="str">
        <f>IFERROR(__xludf.DUMMYFUNCTION("""COMPUTED_VALUE"""),"2:00 PM")</f>
        <v>2:00 PM</v>
      </c>
      <c r="K21" s="8" t="str">
        <f>IFERROR(__xludf.DUMMYFUNCTION("""COMPUTED_VALUE"""),"09B-10L")</f>
        <v>09B-10L</v>
      </c>
      <c r="L21" s="8"/>
      <c r="M21" s="10" t="str">
        <f>IFERROR(VLOOKUP(D21,FacultyList!B:G,6,FALSE),"")</f>
        <v>ahmed.ruhan@bracu.ac.bd</v>
      </c>
    </row>
    <row r="22">
      <c r="A22" s="5" t="str">
        <f>IFERROR(__xludf.DUMMYFUNCTION("""COMPUTED_VALUE"""),"CSE110-13")</f>
        <v>CSE110-13</v>
      </c>
      <c r="B22" s="8"/>
      <c r="C22" s="8"/>
      <c r="D22" s="8" t="str">
        <f>IFERROR(__xludf.DUMMYFUNCTION("""COMPUTED_VALUE"""),"MVH")</f>
        <v>MVH</v>
      </c>
      <c r="E22" s="8" t="str">
        <f>IFERROR(__xludf.DUMMYFUNCTION("""COMPUTED_VALUE"""),"SAT+THU")</f>
        <v>SAT+THU</v>
      </c>
      <c r="F22" s="8" t="str">
        <f>IFERROR(__xludf.DUMMYFUNCTION("""COMPUTED_VALUE"""),"11:00 AM")</f>
        <v>11:00 AM</v>
      </c>
      <c r="G22" s="9" t="str">
        <f>IFERROR(__xludf.DUMMYFUNCTION("""COMPUTED_VALUE"""),"07H-27C")</f>
        <v>07H-27C</v>
      </c>
      <c r="H22" s="8" t="str">
        <f>IFERROR(__xludf.DUMMYFUNCTION("""COMPUTED_VALUE"""),"NTN,RKBM")</f>
        <v>NTN,RKBM</v>
      </c>
      <c r="I22" s="8" t="str">
        <f>IFERROR(__xludf.DUMMYFUNCTION("""COMPUTED_VALUE"""),"WED")</f>
        <v>WED</v>
      </c>
      <c r="J22" s="8" t="str">
        <f>IFERROR(__xludf.DUMMYFUNCTION("""COMPUTED_VALUE"""),"8:00 AM")</f>
        <v>8:00 AM</v>
      </c>
      <c r="K22" s="8" t="str">
        <f>IFERROR(__xludf.DUMMYFUNCTION("""COMPUTED_VALUE"""),"09B-10L")</f>
        <v>09B-10L</v>
      </c>
      <c r="L22" s="8"/>
      <c r="M22" s="10" t="str">
        <f>IFERROR(VLOOKUP(D22,FacultyList!B:G,6,FALSE),"")</f>
        <v>mohammad.naveed@bracu.ac.bd</v>
      </c>
    </row>
    <row r="23">
      <c r="A23" s="5" t="str">
        <f>IFERROR(__xludf.DUMMYFUNCTION("""COMPUTED_VALUE"""),"CSE110-14")</f>
        <v>CSE110-14</v>
      </c>
      <c r="B23" s="8"/>
      <c r="C23" s="8"/>
      <c r="D23" s="8" t="str">
        <f>IFERROR(__xludf.DUMMYFUNCTION("""COMPUTED_VALUE"""),"MVH")</f>
        <v>MVH</v>
      </c>
      <c r="E23" s="8" t="str">
        <f>IFERROR(__xludf.DUMMYFUNCTION("""COMPUTED_VALUE"""),"SAT+THU")</f>
        <v>SAT+THU</v>
      </c>
      <c r="F23" s="8" t="str">
        <f>IFERROR(__xludf.DUMMYFUNCTION("""COMPUTED_VALUE"""),"12:30 PM")</f>
        <v>12:30 PM</v>
      </c>
      <c r="G23" s="9" t="str">
        <f>IFERROR(__xludf.DUMMYFUNCTION("""COMPUTED_VALUE"""),"07H-27C")</f>
        <v>07H-27C</v>
      </c>
      <c r="H23" s="8" t="str">
        <f>IFERROR(__xludf.DUMMYFUNCTION("""COMPUTED_VALUE"""),"WLV,MVH")</f>
        <v>WLV,MVH</v>
      </c>
      <c r="I23" s="8" t="str">
        <f>IFERROR(__xludf.DUMMYFUNCTION("""COMPUTED_VALUE"""),"WED")</f>
        <v>WED</v>
      </c>
      <c r="J23" s="8" t="str">
        <f>IFERROR(__xludf.DUMMYFUNCTION("""COMPUTED_VALUE"""),"2:00 PM")</f>
        <v>2:00 PM</v>
      </c>
      <c r="K23" s="8" t="str">
        <f>IFERROR(__xludf.DUMMYFUNCTION("""COMPUTED_VALUE"""),"09B-09L")</f>
        <v>09B-09L</v>
      </c>
      <c r="L23" s="8"/>
      <c r="M23" s="10" t="str">
        <f>IFERROR(VLOOKUP(D23,FacultyList!B:G,6,FALSE),"")</f>
        <v>mohammad.naveed@bracu.ac.bd</v>
      </c>
    </row>
    <row r="24">
      <c r="A24" s="5" t="str">
        <f>IFERROR(__xludf.DUMMYFUNCTION("""COMPUTED_VALUE"""),"CSE110-15")</f>
        <v>CSE110-15</v>
      </c>
      <c r="B24" s="8"/>
      <c r="C24" s="8"/>
      <c r="D24" s="8" t="str">
        <f>IFERROR(__xludf.DUMMYFUNCTION("""COMPUTED_VALUE"""),"ATY")</f>
        <v>ATY</v>
      </c>
      <c r="E24" s="8" t="str">
        <f>IFERROR(__xludf.DUMMYFUNCTION("""COMPUTED_VALUE"""),"MON+WED")</f>
        <v>MON+WED</v>
      </c>
      <c r="F24" s="8" t="str">
        <f>IFERROR(__xludf.DUMMYFUNCTION("""COMPUTED_VALUE"""),"12:30 PM")</f>
        <v>12:30 PM</v>
      </c>
      <c r="G24" s="9" t="str">
        <f>IFERROR(__xludf.DUMMYFUNCTION("""COMPUTED_VALUE"""),"09A-05C")</f>
        <v>09A-05C</v>
      </c>
      <c r="H24" s="8" t="str">
        <f>IFERROR(__xludf.DUMMYFUNCTION("""COMPUTED_VALUE"""),"CAKM,CSAB")</f>
        <v>CAKM,CSAB</v>
      </c>
      <c r="I24" s="8" t="str">
        <f>IFERROR(__xludf.DUMMYFUNCTION("""COMPUTED_VALUE"""),"THU")</f>
        <v>THU</v>
      </c>
      <c r="J24" s="8" t="str">
        <f>IFERROR(__xludf.DUMMYFUNCTION("""COMPUTED_VALUE"""),"8:00 AM")</f>
        <v>8:00 AM</v>
      </c>
      <c r="K24" s="8" t="str">
        <f>IFERROR(__xludf.DUMMYFUNCTION("""COMPUTED_VALUE"""),"09B-11L")</f>
        <v>09B-11L</v>
      </c>
      <c r="L24" s="8"/>
      <c r="M24" s="10" t="str">
        <f>IFERROR(VLOOKUP(D24,FacultyList!B:G,6,FALSE),"")</f>
        <v>ateya.ahmed@bracu.ac.bd</v>
      </c>
    </row>
    <row r="25">
      <c r="A25" s="5" t="str">
        <f>IFERROR(__xludf.DUMMYFUNCTION("""COMPUTED_VALUE"""),"CSE110-16")</f>
        <v>CSE110-16</v>
      </c>
      <c r="B25" s="8"/>
      <c r="C25" s="8"/>
      <c r="D25" s="8" t="str">
        <f>IFERROR(__xludf.DUMMYFUNCTION("""COMPUTED_VALUE"""),"ANT")</f>
        <v>ANT</v>
      </c>
      <c r="E25" s="8" t="str">
        <f>IFERROR(__xludf.DUMMYFUNCTION("""COMPUTED_VALUE"""),"MON+WED")</f>
        <v>MON+WED</v>
      </c>
      <c r="F25" s="8" t="str">
        <f>IFERROR(__xludf.DUMMYFUNCTION("""COMPUTED_VALUE"""),"8:00 AM")</f>
        <v>8:00 AM</v>
      </c>
      <c r="G25" s="9" t="str">
        <f>IFERROR(__xludf.DUMMYFUNCTION("""COMPUTED_VALUE"""),"09H-34C")</f>
        <v>09H-34C</v>
      </c>
      <c r="H25" s="8" t="str">
        <f>IFERROR(__xludf.DUMMYFUNCTION("""COMPUTED_VALUE"""),"ANNH,SLAR")</f>
        <v>ANNH,SLAR</v>
      </c>
      <c r="I25" s="8" t="str">
        <f>IFERROR(__xludf.DUMMYFUNCTION("""COMPUTED_VALUE"""),"THU")</f>
        <v>THU</v>
      </c>
      <c r="J25" s="8" t="str">
        <f>IFERROR(__xludf.DUMMYFUNCTION("""COMPUTED_VALUE"""),"11:00 AM")</f>
        <v>11:00 AM</v>
      </c>
      <c r="K25" s="8" t="str">
        <f>IFERROR(__xludf.DUMMYFUNCTION("""COMPUTED_VALUE"""),"09B-11L")</f>
        <v>09B-11L</v>
      </c>
      <c r="L25" s="8"/>
      <c r="M25" s="10" t="str">
        <f>IFERROR(VLOOKUP(D25,FacultyList!B:G,6,FALSE),"")</f>
        <v>ext.anika.tasnim@bracu.ac.bd</v>
      </c>
    </row>
    <row r="26">
      <c r="A26" s="5" t="str">
        <f>IFERROR(__xludf.DUMMYFUNCTION("""COMPUTED_VALUE"""),"CSE110-17")</f>
        <v>CSE110-17</v>
      </c>
      <c r="B26" s="8"/>
      <c r="C26" s="8"/>
      <c r="D26" s="8" t="str">
        <f>IFERROR(__xludf.DUMMYFUNCTION("""COMPUTED_VALUE"""),"YND")</f>
        <v>YND</v>
      </c>
      <c r="E26" s="8" t="str">
        <f>IFERROR(__xludf.DUMMYFUNCTION("""COMPUTED_VALUE"""),"MON+WED")</f>
        <v>MON+WED</v>
      </c>
      <c r="F26" s="8" t="str">
        <f>IFERROR(__xludf.DUMMYFUNCTION("""COMPUTED_VALUE"""),"11:00 AM")</f>
        <v>11:00 AM</v>
      </c>
      <c r="G26" s="9" t="str">
        <f>IFERROR(__xludf.DUMMYFUNCTION("""COMPUTED_VALUE"""),"09A-05C")</f>
        <v>09A-05C</v>
      </c>
      <c r="H26" s="8" t="str">
        <f>IFERROR(__xludf.DUMMYFUNCTION("""COMPUTED_VALUE"""),"ANV,CNFH")</f>
        <v>ANV,CNFH</v>
      </c>
      <c r="I26" s="8" t="str">
        <f>IFERROR(__xludf.DUMMYFUNCTION("""COMPUTED_VALUE"""),"THU")</f>
        <v>THU</v>
      </c>
      <c r="J26" s="8" t="str">
        <f>IFERROR(__xludf.DUMMYFUNCTION("""COMPUTED_VALUE"""),"11:00 AM")</f>
        <v>11:00 AM</v>
      </c>
      <c r="K26" s="8" t="str">
        <f>IFERROR(__xludf.DUMMYFUNCTION("""COMPUTED_VALUE"""),"09F-27L")</f>
        <v>09F-27L</v>
      </c>
      <c r="L26" s="8"/>
      <c r="M26" s="10" t="str">
        <f>IFERROR(VLOOKUP(D26,FacultyList!B:G,6,FALSE),"")</f>
        <v>yasmin.nadia@bracu.ac.bd</v>
      </c>
    </row>
    <row r="27">
      <c r="A27" s="5" t="str">
        <f>IFERROR(__xludf.DUMMYFUNCTION("""COMPUTED_VALUE"""),"CSE111-01")</f>
        <v>CSE111-01</v>
      </c>
      <c r="B27" s="8"/>
      <c r="C27" s="8"/>
      <c r="D27" s="8" t="str">
        <f>IFERROR(__xludf.DUMMYFUNCTION("""COMPUTED_VALUE"""),"ANK")</f>
        <v>ANK</v>
      </c>
      <c r="E27" s="8" t="str">
        <f>IFERROR(__xludf.DUMMYFUNCTION("""COMPUTED_VALUE"""),"MON+WED")</f>
        <v>MON+WED</v>
      </c>
      <c r="F27" s="8" t="str">
        <f>IFERROR(__xludf.DUMMYFUNCTION("""COMPUTED_VALUE"""),"2:00 PM")</f>
        <v>2:00 PM</v>
      </c>
      <c r="G27" s="9" t="str">
        <f>IFERROR(__xludf.DUMMYFUNCTION("""COMPUTED_VALUE"""),"09H-33C")</f>
        <v>09H-33C</v>
      </c>
      <c r="H27" s="8" t="str">
        <f>IFERROR(__xludf.DUMMYFUNCTION("""COMPUTED_VALUE"""),"AIB,ATY")</f>
        <v>AIB,ATY</v>
      </c>
      <c r="I27" s="8" t="str">
        <f>IFERROR(__xludf.DUMMYFUNCTION("""COMPUTED_VALUE"""),"TUE")</f>
        <v>TUE</v>
      </c>
      <c r="J27" s="8" t="str">
        <f>IFERROR(__xludf.DUMMYFUNCTION("""COMPUTED_VALUE"""),"11:00 AM")</f>
        <v>11:00 AM</v>
      </c>
      <c r="K27" s="8" t="str">
        <f>IFERROR(__xludf.DUMMYFUNCTION("""COMPUTED_VALUE"""),"09B-08L")</f>
        <v>09B-08L</v>
      </c>
      <c r="L27" s="8"/>
      <c r="M27" s="10" t="str">
        <f>IFERROR(VLOOKUP(D27,FacultyList!B:G,6,FALSE),"")</f>
        <v>abdullah.alnakib@bracu.ac.bd</v>
      </c>
    </row>
    <row r="28">
      <c r="A28" s="5" t="str">
        <f>IFERROR(__xludf.DUMMYFUNCTION("""COMPUTED_VALUE"""),"CSE111-02")</f>
        <v>CSE111-02</v>
      </c>
      <c r="B28" s="8"/>
      <c r="C28" s="8"/>
      <c r="D28" s="8" t="str">
        <f>IFERROR(__xludf.DUMMYFUNCTION("""COMPUTED_VALUE"""),"TAW")</f>
        <v>TAW</v>
      </c>
      <c r="E28" s="8" t="str">
        <f>IFERROR(__xludf.DUMMYFUNCTION("""COMPUTED_VALUE"""),"SUN+TUE")</f>
        <v>SUN+TUE</v>
      </c>
      <c r="F28" s="8" t="str">
        <f>IFERROR(__xludf.DUMMYFUNCTION("""COMPUTED_VALUE"""),"11:00 AM")</f>
        <v>11:00 AM</v>
      </c>
      <c r="G28" s="9" t="str">
        <f>IFERROR(__xludf.DUMMYFUNCTION("""COMPUTED_VALUE"""),"10A-05C")</f>
        <v>10A-05C</v>
      </c>
      <c r="H28" s="8" t="str">
        <f>IFERROR(__xludf.DUMMYFUNCTION("""COMPUTED_VALUE"""),"TAW,AOH")</f>
        <v>TAW,AOH</v>
      </c>
      <c r="I28" s="8" t="str">
        <f>IFERROR(__xludf.DUMMYFUNCTION("""COMPUTED_VALUE"""),"WED")</f>
        <v>WED</v>
      </c>
      <c r="J28" s="8" t="str">
        <f>IFERROR(__xludf.DUMMYFUNCTION("""COMPUTED_VALUE"""),"2:00 PM")</f>
        <v>2:00 PM</v>
      </c>
      <c r="K28" s="8" t="str">
        <f>IFERROR(__xludf.DUMMYFUNCTION("""COMPUTED_VALUE"""),"12F-32L")</f>
        <v>12F-32L</v>
      </c>
      <c r="L28" s="8"/>
      <c r="M28" s="10" t="str">
        <f>IFERROR(VLOOKUP(D28,FacultyList!B:G,6,FALSE),"")</f>
        <v>tawhid.anwar@bracu.ac.bd</v>
      </c>
    </row>
    <row r="29">
      <c r="A29" s="5" t="str">
        <f>IFERROR(__xludf.DUMMYFUNCTION("""COMPUTED_VALUE"""),"CSE111-03")</f>
        <v>CSE111-03</v>
      </c>
      <c r="B29" s="8"/>
      <c r="C29" s="8"/>
      <c r="D29" s="8" t="str">
        <f>IFERROR(__xludf.DUMMYFUNCTION("""COMPUTED_VALUE"""),"TAW")</f>
        <v>TAW</v>
      </c>
      <c r="E29" s="8" t="str">
        <f>IFERROR(__xludf.DUMMYFUNCTION("""COMPUTED_VALUE"""),"SUN+TUE")</f>
        <v>SUN+TUE</v>
      </c>
      <c r="F29" s="8" t="str">
        <f>IFERROR(__xludf.DUMMYFUNCTION("""COMPUTED_VALUE"""),"12:30 PM")</f>
        <v>12:30 PM</v>
      </c>
      <c r="G29" s="9" t="str">
        <f>IFERROR(__xludf.DUMMYFUNCTION("""COMPUTED_VALUE"""),"10A-05C")</f>
        <v>10A-05C</v>
      </c>
      <c r="H29" s="8" t="str">
        <f>IFERROR(__xludf.DUMMYFUNCTION("""COMPUTED_VALUE"""),"CAKM,HBN")</f>
        <v>CAKM,HBN</v>
      </c>
      <c r="I29" s="8" t="str">
        <f>IFERROR(__xludf.DUMMYFUNCTION("""COMPUTED_VALUE"""),"WED")</f>
        <v>WED</v>
      </c>
      <c r="J29" s="8" t="str">
        <f>IFERROR(__xludf.DUMMYFUNCTION("""COMPUTED_VALUE"""),"2:00 PM")</f>
        <v>2:00 PM</v>
      </c>
      <c r="K29" s="8" t="str">
        <f>IFERROR(__xludf.DUMMYFUNCTION("""COMPUTED_VALUE"""),"12D-27L")</f>
        <v>12D-27L</v>
      </c>
      <c r="L29" s="8"/>
      <c r="M29" s="10" t="str">
        <f>IFERROR(VLOOKUP(D29,FacultyList!B:G,6,FALSE),"")</f>
        <v>tawhid.anwar@bracu.ac.bd</v>
      </c>
    </row>
    <row r="30">
      <c r="A30" s="5" t="str">
        <f>IFERROR(__xludf.DUMMYFUNCTION("""COMPUTED_VALUE"""),"CSE111-04")</f>
        <v>CSE111-04</v>
      </c>
      <c r="B30" s="8"/>
      <c r="C30" s="8"/>
      <c r="D30" s="8" t="str">
        <f>IFERROR(__xludf.DUMMYFUNCTION("""COMPUTED_VALUE"""),"TAW")</f>
        <v>TAW</v>
      </c>
      <c r="E30" s="8" t="str">
        <f>IFERROR(__xludf.DUMMYFUNCTION("""COMPUTED_VALUE"""),"MON+WED")</f>
        <v>MON+WED</v>
      </c>
      <c r="F30" s="8" t="str">
        <f>IFERROR(__xludf.DUMMYFUNCTION("""COMPUTED_VALUE"""),"12:30 PM")</f>
        <v>12:30 PM</v>
      </c>
      <c r="G30" s="9" t="str">
        <f>IFERROR(__xludf.DUMMYFUNCTION("""COMPUTED_VALUE"""),"10A-05C")</f>
        <v>10A-05C</v>
      </c>
      <c r="H30" s="8" t="str">
        <f>IFERROR(__xludf.DUMMYFUNCTION("""COMPUTED_VALUE"""),"TAW,RKBM")</f>
        <v>TAW,RKBM</v>
      </c>
      <c r="I30" s="8" t="str">
        <f>IFERROR(__xludf.DUMMYFUNCTION("""COMPUTED_VALUE"""),"THU")</f>
        <v>THU</v>
      </c>
      <c r="J30" s="8" t="str">
        <f>IFERROR(__xludf.DUMMYFUNCTION("""COMPUTED_VALUE"""),"11:00 AM")</f>
        <v>11:00 AM</v>
      </c>
      <c r="K30" s="8" t="str">
        <f>IFERROR(__xludf.DUMMYFUNCTION("""COMPUTED_VALUE"""),"12F-32L")</f>
        <v>12F-32L</v>
      </c>
      <c r="L30" s="8"/>
      <c r="M30" s="10" t="str">
        <f>IFERROR(VLOOKUP(D30,FacultyList!B:G,6,FALSE),"")</f>
        <v>tawhid.anwar@bracu.ac.bd</v>
      </c>
    </row>
    <row r="31">
      <c r="A31" s="5" t="str">
        <f>IFERROR(__xludf.DUMMYFUNCTION("""COMPUTED_VALUE"""),"CSE111-05")</f>
        <v>CSE111-05</v>
      </c>
      <c r="B31" s="8"/>
      <c r="C31" s="8"/>
      <c r="D31" s="8" t="str">
        <f>IFERROR(__xludf.DUMMYFUNCTION("""COMPUTED_VALUE"""),"ADU")</f>
        <v>ADU</v>
      </c>
      <c r="E31" s="8" t="str">
        <f>IFERROR(__xludf.DUMMYFUNCTION("""COMPUTED_VALUE"""),"MON+WED")</f>
        <v>MON+WED</v>
      </c>
      <c r="F31" s="8" t="str">
        <f>IFERROR(__xludf.DUMMYFUNCTION("""COMPUTED_VALUE"""),"8:00 AM")</f>
        <v>8:00 AM</v>
      </c>
      <c r="G31" s="9" t="str">
        <f>IFERROR(__xludf.DUMMYFUNCTION("""COMPUTED_VALUE"""),"10B-13C")</f>
        <v>10B-13C</v>
      </c>
      <c r="H31" s="8" t="str">
        <f>IFERROR(__xludf.DUMMYFUNCTION("""COMPUTED_VALUE"""),"HBN,AOH")</f>
        <v>HBN,AOH</v>
      </c>
      <c r="I31" s="8" t="str">
        <f>IFERROR(__xludf.DUMMYFUNCTION("""COMPUTED_VALUE"""),"TUE")</f>
        <v>TUE</v>
      </c>
      <c r="J31" s="8" t="str">
        <f>IFERROR(__xludf.DUMMYFUNCTION("""COMPUTED_VALUE"""),"8:00 AM")</f>
        <v>8:00 AM</v>
      </c>
      <c r="K31" s="8" t="str">
        <f>IFERROR(__xludf.DUMMYFUNCTION("""COMPUTED_VALUE"""),"09B-09L")</f>
        <v>09B-09L</v>
      </c>
      <c r="L31" s="8"/>
      <c r="M31" s="10" t="str">
        <f>IFERROR(VLOOKUP(D31,FacultyList!B:G,6,FALSE),"")</f>
        <v>ahmed.ruhan@bracu.ac.bd</v>
      </c>
    </row>
    <row r="32">
      <c r="A32" s="5" t="str">
        <f>IFERROR(__xludf.DUMMYFUNCTION("""COMPUTED_VALUE"""),"CSE111-06")</f>
        <v>CSE111-06</v>
      </c>
      <c r="B32" s="8"/>
      <c r="C32" s="8"/>
      <c r="D32" s="8" t="str">
        <f>IFERROR(__xludf.DUMMYFUNCTION("""COMPUTED_VALUE"""),"ADU")</f>
        <v>ADU</v>
      </c>
      <c r="E32" s="8" t="str">
        <f>IFERROR(__xludf.DUMMYFUNCTION("""COMPUTED_VALUE"""),"MON+WED")</f>
        <v>MON+WED</v>
      </c>
      <c r="F32" s="8" t="str">
        <f>IFERROR(__xludf.DUMMYFUNCTION("""COMPUTED_VALUE"""),"9:30 AM")</f>
        <v>9:30 AM</v>
      </c>
      <c r="G32" s="9" t="str">
        <f>IFERROR(__xludf.DUMMYFUNCTION("""COMPUTED_VALUE"""),"10B-13C")</f>
        <v>10B-13C</v>
      </c>
      <c r="H32" s="8" t="str">
        <f>IFERROR(__xludf.DUMMYFUNCTION("""COMPUTED_VALUE"""),"FGZ,AVB")</f>
        <v>FGZ,AVB</v>
      </c>
      <c r="I32" s="8" t="str">
        <f>IFERROR(__xludf.DUMMYFUNCTION("""COMPUTED_VALUE"""),"TUE")</f>
        <v>TUE</v>
      </c>
      <c r="J32" s="8" t="str">
        <f>IFERROR(__xludf.DUMMYFUNCTION("""COMPUTED_VALUE"""),"11:00 AM")</f>
        <v>11:00 AM</v>
      </c>
      <c r="K32" s="8" t="str">
        <f>IFERROR(__xludf.DUMMYFUNCTION("""COMPUTED_VALUE"""),"09B-09L")</f>
        <v>09B-09L</v>
      </c>
      <c r="L32" s="8"/>
      <c r="M32" s="10" t="str">
        <f>IFERROR(VLOOKUP(D32,FacultyList!B:G,6,FALSE),"")</f>
        <v>ahmed.ruhan@bracu.ac.bd</v>
      </c>
    </row>
    <row r="33">
      <c r="A33" s="5" t="str">
        <f>IFERROR(__xludf.DUMMYFUNCTION("""COMPUTED_VALUE"""),"CSE111-07")</f>
        <v>CSE111-07</v>
      </c>
      <c r="B33" s="8"/>
      <c r="C33" s="8"/>
      <c r="D33" s="8" t="str">
        <f>IFERROR(__xludf.DUMMYFUNCTION("""COMPUTED_VALUE"""),"RKBM")</f>
        <v>RKBM</v>
      </c>
      <c r="E33" s="8" t="str">
        <f>IFERROR(__xludf.DUMMYFUNCTION("""COMPUTED_VALUE"""),"SUN+TUE")</f>
        <v>SUN+TUE</v>
      </c>
      <c r="F33" s="8" t="str">
        <f>IFERROR(__xludf.DUMMYFUNCTION("""COMPUTED_VALUE"""),"2:00 PM")</f>
        <v>2:00 PM</v>
      </c>
      <c r="G33" s="9" t="str">
        <f>IFERROR(__xludf.DUMMYFUNCTION("""COMPUTED_VALUE"""),"08H-22C")</f>
        <v>08H-22C</v>
      </c>
      <c r="H33" s="8" t="str">
        <f>IFERROR(__xludf.DUMMYFUNCTION("""COMPUTED_VALUE"""),"AFA,CRHB")</f>
        <v>AFA,CRHB</v>
      </c>
      <c r="I33" s="8" t="str">
        <f>IFERROR(__xludf.DUMMYFUNCTION("""COMPUTED_VALUE"""),"WED")</f>
        <v>WED</v>
      </c>
      <c r="J33" s="8" t="str">
        <f>IFERROR(__xludf.DUMMYFUNCTION("""COMPUTED_VALUE"""),"2:00 PM")</f>
        <v>2:00 PM</v>
      </c>
      <c r="K33" s="8" t="str">
        <f>IFERROR(__xludf.DUMMYFUNCTION("""COMPUTED_VALUE"""),"09B-11L")</f>
        <v>09B-11L</v>
      </c>
      <c r="L33" s="8"/>
      <c r="M33" s="10" t="str">
        <f>IFERROR(VLOOKUP(D33,FacultyList!B:G,6,FALSE),"")</f>
        <v>mohammad.rakibul@bracu.ac.bd</v>
      </c>
    </row>
    <row r="34">
      <c r="A34" s="5" t="str">
        <f>IFERROR(__xludf.DUMMYFUNCTION("""COMPUTED_VALUE"""),"CSE111-08")</f>
        <v>CSE111-08</v>
      </c>
      <c r="B34" s="8"/>
      <c r="C34" s="8"/>
      <c r="D34" s="8" t="str">
        <f>IFERROR(__xludf.DUMMYFUNCTION("""COMPUTED_VALUE"""),"KNI")</f>
        <v>KNI</v>
      </c>
      <c r="E34" s="8" t="str">
        <f>IFERROR(__xludf.DUMMYFUNCTION("""COMPUTED_VALUE"""),"SUN+TUE")</f>
        <v>SUN+TUE</v>
      </c>
      <c r="F34" s="8" t="str">
        <f>IFERROR(__xludf.DUMMYFUNCTION("""COMPUTED_VALUE"""),"11:00 AM")</f>
        <v>11:00 AM</v>
      </c>
      <c r="G34" s="9" t="str">
        <f>IFERROR(__xludf.DUMMYFUNCTION("""COMPUTED_VALUE"""),"08H-22C")</f>
        <v>08H-22C</v>
      </c>
      <c r="H34" s="8" t="str">
        <f>IFERROR(__xludf.DUMMYFUNCTION("""COMPUTED_VALUE"""),"TMD,ADU")</f>
        <v>TMD,ADU</v>
      </c>
      <c r="I34" s="8" t="str">
        <f>IFERROR(__xludf.DUMMYFUNCTION("""COMPUTED_VALUE"""),"WED")</f>
        <v>WED</v>
      </c>
      <c r="J34" s="8" t="str">
        <f>IFERROR(__xludf.DUMMYFUNCTION("""COMPUTED_VALUE"""),"11:00 AM")</f>
        <v>11:00 AM</v>
      </c>
      <c r="K34" s="8" t="str">
        <f>IFERROR(__xludf.DUMMYFUNCTION("""COMPUTED_VALUE"""),"09B-11L")</f>
        <v>09B-11L</v>
      </c>
      <c r="L34" s="8"/>
      <c r="M34" s="10" t="str">
        <f>IFERROR(VLOOKUP(D34,FacultyList!B:G,6,FALSE),"")</f>
        <v>nazia.iqbal@bracu.ac.bd</v>
      </c>
    </row>
    <row r="35">
      <c r="A35" s="5" t="str">
        <f>IFERROR(__xludf.DUMMYFUNCTION("""COMPUTED_VALUE"""),"CSE111-09")</f>
        <v>CSE111-09</v>
      </c>
      <c r="B35" s="8"/>
      <c r="C35" s="8"/>
      <c r="D35" s="8" t="str">
        <f>IFERROR(__xludf.DUMMYFUNCTION("""COMPUTED_VALUE"""),"KNI")</f>
        <v>KNI</v>
      </c>
      <c r="E35" s="8" t="str">
        <f>IFERROR(__xludf.DUMMYFUNCTION("""COMPUTED_VALUE"""),"SUN+TUE")</f>
        <v>SUN+TUE</v>
      </c>
      <c r="F35" s="8" t="str">
        <f>IFERROR(__xludf.DUMMYFUNCTION("""COMPUTED_VALUE"""),"12:30 PM")</f>
        <v>12:30 PM</v>
      </c>
      <c r="G35" s="9" t="str">
        <f>IFERROR(__xludf.DUMMYFUNCTION("""COMPUTED_VALUE"""),"08H-22C")</f>
        <v>08H-22C</v>
      </c>
      <c r="H35" s="8" t="str">
        <f>IFERROR(__xludf.DUMMYFUNCTION("""COMPUTED_VALUE"""),"ANV,CNFH")</f>
        <v>ANV,CNFH</v>
      </c>
      <c r="I35" s="8" t="str">
        <f>IFERROR(__xludf.DUMMYFUNCTION("""COMPUTED_VALUE"""),"TUE")</f>
        <v>TUE</v>
      </c>
      <c r="J35" s="8" t="str">
        <f>IFERROR(__xludf.DUMMYFUNCTION("""COMPUTED_VALUE"""),"8:00 AM")</f>
        <v>8:00 AM</v>
      </c>
      <c r="K35" s="8" t="str">
        <f>IFERROR(__xludf.DUMMYFUNCTION("""COMPUTED_VALUE"""),"09B-08L")</f>
        <v>09B-08L</v>
      </c>
      <c r="L35" s="8"/>
      <c r="M35" s="10" t="str">
        <f>IFERROR(VLOOKUP(D35,FacultyList!B:G,6,FALSE),"")</f>
        <v>nazia.iqbal@bracu.ac.bd</v>
      </c>
    </row>
    <row r="36">
      <c r="A36" s="5" t="str">
        <f>IFERROR(__xludf.DUMMYFUNCTION("""COMPUTED_VALUE"""),"CSE111-10")</f>
        <v>CSE111-10</v>
      </c>
      <c r="B36" s="8"/>
      <c r="C36" s="8"/>
      <c r="D36" s="8" t="str">
        <f>IFERROR(__xludf.DUMMYFUNCTION("""COMPUTED_VALUE"""),"AIB")</f>
        <v>AIB</v>
      </c>
      <c r="E36" s="8" t="str">
        <f>IFERROR(__xludf.DUMMYFUNCTION("""COMPUTED_VALUE"""),"SUN+TUE")</f>
        <v>SUN+TUE</v>
      </c>
      <c r="F36" s="8" t="str">
        <f>IFERROR(__xludf.DUMMYFUNCTION("""COMPUTED_VALUE"""),"8:00 AM")</f>
        <v>8:00 AM</v>
      </c>
      <c r="G36" s="9" t="str">
        <f>IFERROR(__xludf.DUMMYFUNCTION("""COMPUTED_VALUE"""),"10A-04C")</f>
        <v>10A-04C</v>
      </c>
      <c r="H36" s="8" t="str">
        <f>IFERROR(__xludf.DUMMYFUNCTION("""COMPUTED_VALUE"""),"AVB,QUZA")</f>
        <v>AVB,QUZA</v>
      </c>
      <c r="I36" s="8" t="str">
        <f>IFERROR(__xludf.DUMMYFUNCTION("""COMPUTED_VALUE"""),"WED")</f>
        <v>WED</v>
      </c>
      <c r="J36" s="8" t="str">
        <f>IFERROR(__xludf.DUMMYFUNCTION("""COMPUTED_VALUE"""),"8:00 AM")</f>
        <v>8:00 AM</v>
      </c>
      <c r="K36" s="8" t="str">
        <f>IFERROR(__xludf.DUMMYFUNCTION("""COMPUTED_VALUE"""),"09E-21L")</f>
        <v>09E-21L</v>
      </c>
      <c r="L36" s="8"/>
      <c r="M36" s="10" t="str">
        <f>IFERROR(VLOOKUP(D36,FacultyList!B:G,6,FALSE),"")</f>
        <v>abu.ibrahim@bracu.ac.bd</v>
      </c>
    </row>
    <row r="37">
      <c r="A37" s="5" t="str">
        <f>IFERROR(__xludf.DUMMYFUNCTION("""COMPUTED_VALUE"""),"CSE111-11")</f>
        <v>CSE111-11</v>
      </c>
      <c r="B37" s="8"/>
      <c r="C37" s="8"/>
      <c r="D37" s="8" t="str">
        <f>IFERROR(__xludf.DUMMYFUNCTION("""COMPUTED_VALUE"""),"AIB")</f>
        <v>AIB</v>
      </c>
      <c r="E37" s="8" t="str">
        <f>IFERROR(__xludf.DUMMYFUNCTION("""COMPUTED_VALUE"""),"SUN+TUE")</f>
        <v>SUN+TUE</v>
      </c>
      <c r="F37" s="8" t="str">
        <f>IFERROR(__xludf.DUMMYFUNCTION("""COMPUTED_VALUE"""),"9:30 AM")</f>
        <v>9:30 AM</v>
      </c>
      <c r="G37" s="9" t="str">
        <f>IFERROR(__xludf.DUMMYFUNCTION("""COMPUTED_VALUE"""),"10A-04C")</f>
        <v>10A-04C</v>
      </c>
      <c r="H37" s="8" t="str">
        <f>IFERROR(__xludf.DUMMYFUNCTION("""COMPUTED_VALUE"""),"AVB,FEK")</f>
        <v>AVB,FEK</v>
      </c>
      <c r="I37" s="8" t="str">
        <f>IFERROR(__xludf.DUMMYFUNCTION("""COMPUTED_VALUE"""),"WED")</f>
        <v>WED</v>
      </c>
      <c r="J37" s="8" t="str">
        <f>IFERROR(__xludf.DUMMYFUNCTION("""COMPUTED_VALUE"""),"11:00 AM")</f>
        <v>11:00 AM</v>
      </c>
      <c r="K37" s="8" t="str">
        <f>IFERROR(__xludf.DUMMYFUNCTION("""COMPUTED_VALUE"""),"09E-21L")</f>
        <v>09E-21L</v>
      </c>
      <c r="L37" s="8"/>
      <c r="M37" s="10" t="str">
        <f>IFERROR(VLOOKUP(D37,FacultyList!B:G,6,FALSE),"")</f>
        <v>abu.ibrahim@bracu.ac.bd</v>
      </c>
    </row>
    <row r="38">
      <c r="A38" s="5" t="str">
        <f>IFERROR(__xludf.DUMMYFUNCTION("""COMPUTED_VALUE"""),"CSE111-13")</f>
        <v>CSE111-13</v>
      </c>
      <c r="B38" s="8"/>
      <c r="C38" s="8"/>
      <c r="D38" s="8" t="str">
        <f>IFERROR(__xludf.DUMMYFUNCTION("""COMPUTED_VALUE"""),"RKBM")</f>
        <v>RKBM</v>
      </c>
      <c r="E38" s="8" t="str">
        <f>IFERROR(__xludf.DUMMYFUNCTION("""COMPUTED_VALUE"""),"SUN+TUE")</f>
        <v>SUN+TUE</v>
      </c>
      <c r="F38" s="8" t="str">
        <f>IFERROR(__xludf.DUMMYFUNCTION("""COMPUTED_VALUE"""),"3:30 PM")</f>
        <v>3:30 PM</v>
      </c>
      <c r="G38" s="9" t="str">
        <f>IFERROR(__xludf.DUMMYFUNCTION("""COMPUTED_VALUE"""),"08H-22C")</f>
        <v>08H-22C</v>
      </c>
      <c r="H38" s="8" t="str">
        <f>IFERROR(__xludf.DUMMYFUNCTION("""COMPUTED_VALUE"""),"ATY,CSSA")</f>
        <v>ATY,CSSA</v>
      </c>
      <c r="I38" s="8" t="str">
        <f>IFERROR(__xludf.DUMMYFUNCTION("""COMPUTED_VALUE"""),"WED")</f>
        <v>WED</v>
      </c>
      <c r="J38" s="8" t="str">
        <f>IFERROR(__xludf.DUMMYFUNCTION("""COMPUTED_VALUE"""),"2:00 PM")</f>
        <v>2:00 PM</v>
      </c>
      <c r="K38" s="8" t="str">
        <f>IFERROR(__xludf.DUMMYFUNCTION("""COMPUTED_VALUE"""),"09E-21L")</f>
        <v>09E-21L</v>
      </c>
      <c r="L38" s="8"/>
      <c r="M38" s="10" t="str">
        <f>IFERROR(VLOOKUP(D38,FacultyList!B:G,6,FALSE),"")</f>
        <v>mohammad.rakibul@bracu.ac.bd</v>
      </c>
    </row>
    <row r="39">
      <c r="A39" s="5" t="str">
        <f>IFERROR(__xludf.DUMMYFUNCTION("""COMPUTED_VALUE"""),"CSE111-14")</f>
        <v>CSE111-14</v>
      </c>
      <c r="B39" s="8"/>
      <c r="C39" s="8"/>
      <c r="D39" s="8" t="str">
        <f>IFERROR(__xludf.DUMMYFUNCTION("""COMPUTED_VALUE"""),"AFA")</f>
        <v>AFA</v>
      </c>
      <c r="E39" s="8" t="str">
        <f>IFERROR(__xludf.DUMMYFUNCTION("""COMPUTED_VALUE"""),"SAT+THU")</f>
        <v>SAT+THU</v>
      </c>
      <c r="F39" s="8" t="str">
        <f>IFERROR(__xludf.DUMMYFUNCTION("""COMPUTED_VALUE"""),"11:00 AM")</f>
        <v>11:00 AM</v>
      </c>
      <c r="G39" s="9" t="str">
        <f>IFERROR(__xludf.DUMMYFUNCTION("""COMPUTED_VALUE"""),"09A-02C")</f>
        <v>09A-02C</v>
      </c>
      <c r="H39" s="8" t="str">
        <f>IFERROR(__xludf.DUMMYFUNCTION("""COMPUTED_VALUE"""),"CNFH,AOH")</f>
        <v>CNFH,AOH</v>
      </c>
      <c r="I39" s="8" t="str">
        <f>IFERROR(__xludf.DUMMYFUNCTION("""COMPUTED_VALUE"""),"WED")</f>
        <v>WED</v>
      </c>
      <c r="J39" s="8" t="str">
        <f>IFERROR(__xludf.DUMMYFUNCTION("""COMPUTED_VALUE"""),"8:00 AM")</f>
        <v>8:00 AM</v>
      </c>
      <c r="K39" s="8" t="str">
        <f>IFERROR(__xludf.DUMMYFUNCTION("""COMPUTED_VALUE"""),"09B-11L")</f>
        <v>09B-11L</v>
      </c>
      <c r="L39" s="8"/>
      <c r="M39" s="10" t="str">
        <f>IFERROR(VLOOKUP(D39,FacultyList!B:G,6,FALSE),"")</f>
        <v>afroza.akther@bracu.ac.bd</v>
      </c>
    </row>
    <row r="40">
      <c r="A40" s="5" t="str">
        <f>IFERROR(__xludf.DUMMYFUNCTION("""COMPUTED_VALUE"""),"CSE111-15")</f>
        <v>CSE111-15</v>
      </c>
      <c r="B40" s="8"/>
      <c r="C40" s="8"/>
      <c r="D40" s="8" t="str">
        <f>IFERROR(__xludf.DUMMYFUNCTION("""COMPUTED_VALUE"""),"MAU")</f>
        <v>MAU</v>
      </c>
      <c r="E40" s="8" t="str">
        <f>IFERROR(__xludf.DUMMYFUNCTION("""COMPUTED_VALUE"""),"MON+WED")</f>
        <v>MON+WED</v>
      </c>
      <c r="F40" s="8" t="str">
        <f>IFERROR(__xludf.DUMMYFUNCTION("""COMPUTED_VALUE"""),"9:30 AM")</f>
        <v>9:30 AM</v>
      </c>
      <c r="G40" s="9" t="str">
        <f>IFERROR(__xludf.DUMMYFUNCTION("""COMPUTED_VALUE"""),"09A-03C")</f>
        <v>09A-03C</v>
      </c>
      <c r="H40" s="8" t="str">
        <f>IFERROR(__xludf.DUMMYFUNCTION("""COMPUTED_VALUE"""),"AFA,AVB")</f>
        <v>AFA,AVB</v>
      </c>
      <c r="I40" s="8" t="str">
        <f>IFERROR(__xludf.DUMMYFUNCTION("""COMPUTED_VALUE"""),"TUE")</f>
        <v>TUE</v>
      </c>
      <c r="J40" s="8" t="str">
        <f>IFERROR(__xludf.DUMMYFUNCTION("""COMPUTED_VALUE"""),"8:00 AM")</f>
        <v>8:00 AM</v>
      </c>
      <c r="K40" s="8" t="str">
        <f>IFERROR(__xludf.DUMMYFUNCTION("""COMPUTED_VALUE"""),"09B-10L")</f>
        <v>09B-10L</v>
      </c>
      <c r="L40" s="8"/>
      <c r="M40" s="10" t="str">
        <f>IFERROR(VLOOKUP(D40,FacultyList!B:G,6,FALSE),"")</f>
        <v>marshia.nujhat@bracu.ac.bd</v>
      </c>
    </row>
    <row r="41">
      <c r="A41" s="5" t="str">
        <f>IFERROR(__xludf.DUMMYFUNCTION("""COMPUTED_VALUE"""),"CSE111-16")</f>
        <v>CSE111-16</v>
      </c>
      <c r="B41" s="8"/>
      <c r="C41" s="8"/>
      <c r="D41" s="8" t="str">
        <f>IFERROR(__xludf.DUMMYFUNCTION("""COMPUTED_VALUE"""),"MAU")</f>
        <v>MAU</v>
      </c>
      <c r="E41" s="8" t="str">
        <f>IFERROR(__xludf.DUMMYFUNCTION("""COMPUTED_VALUE"""),"MON+WED")</f>
        <v>MON+WED</v>
      </c>
      <c r="F41" s="8" t="str">
        <f>IFERROR(__xludf.DUMMYFUNCTION("""COMPUTED_VALUE"""),"11:00 AM")</f>
        <v>11:00 AM</v>
      </c>
      <c r="G41" s="9" t="str">
        <f>IFERROR(__xludf.DUMMYFUNCTION("""COMPUTED_VALUE"""),"09A-03C")</f>
        <v>09A-03C</v>
      </c>
      <c r="H41" s="8" t="str">
        <f>IFERROR(__xludf.DUMMYFUNCTION("""COMPUTED_VALUE"""),"ANK,AFA")</f>
        <v>ANK,AFA</v>
      </c>
      <c r="I41" s="8" t="str">
        <f>IFERROR(__xludf.DUMMYFUNCTION("""COMPUTED_VALUE"""),"TUE")</f>
        <v>TUE</v>
      </c>
      <c r="J41" s="8" t="str">
        <f>IFERROR(__xludf.DUMMYFUNCTION("""COMPUTED_VALUE"""),"11:00 AM")</f>
        <v>11:00 AM</v>
      </c>
      <c r="K41" s="8" t="str">
        <f>IFERROR(__xludf.DUMMYFUNCTION("""COMPUTED_VALUE"""),"09B-10L")</f>
        <v>09B-10L</v>
      </c>
      <c r="L41" s="8"/>
      <c r="M41" s="10" t="str">
        <f>IFERROR(VLOOKUP(D41,FacultyList!B:G,6,FALSE),"")</f>
        <v>marshia.nujhat@bracu.ac.bd</v>
      </c>
    </row>
    <row r="42">
      <c r="A42" s="5" t="str">
        <f>IFERROR(__xludf.DUMMYFUNCTION("""COMPUTED_VALUE"""),"CSE111-17")</f>
        <v>CSE111-17</v>
      </c>
      <c r="B42" s="8"/>
      <c r="C42" s="8"/>
      <c r="D42" s="8" t="str">
        <f>IFERROR(__xludf.DUMMYFUNCTION("""COMPUTED_VALUE"""),"QUZA")</f>
        <v>QUZA</v>
      </c>
      <c r="E42" s="8" t="str">
        <f>IFERROR(__xludf.DUMMYFUNCTION("""COMPUTED_VALUE"""),"MON+WED")</f>
        <v>MON+WED</v>
      </c>
      <c r="F42" s="8" t="str">
        <f>IFERROR(__xludf.DUMMYFUNCTION("""COMPUTED_VALUE"""),"12:30 PM")</f>
        <v>12:30 PM</v>
      </c>
      <c r="G42" s="9" t="str">
        <f>IFERROR(__xludf.DUMMYFUNCTION("""COMPUTED_VALUE"""),"09H-34C")</f>
        <v>09H-34C</v>
      </c>
      <c r="H42" s="8" t="str">
        <f>IFERROR(__xludf.DUMMYFUNCTION("""COMPUTED_VALUE"""),"KNI,YND")</f>
        <v>KNI,YND</v>
      </c>
      <c r="I42" s="8" t="str">
        <f>IFERROR(__xludf.DUMMYFUNCTION("""COMPUTED_VALUE"""),"TUE")</f>
        <v>TUE</v>
      </c>
      <c r="J42" s="8" t="str">
        <f>IFERROR(__xludf.DUMMYFUNCTION("""COMPUTED_VALUE"""),"2:00 PM")</f>
        <v>2:00 PM</v>
      </c>
      <c r="K42" s="8" t="str">
        <f>IFERROR(__xludf.DUMMYFUNCTION("""COMPUTED_VALUE"""),"09B-08L")</f>
        <v>09B-08L</v>
      </c>
      <c r="L42" s="8"/>
      <c r="M42" s="10" t="str">
        <f>IFERROR(VLOOKUP(D42,FacultyList!B:G,6,FALSE),"")</f>
        <v>quazi.ashikur@bracu.ac.bd</v>
      </c>
    </row>
    <row r="43">
      <c r="A43" s="5" t="str">
        <f>IFERROR(__xludf.DUMMYFUNCTION("""COMPUTED_VALUE"""),"CSE220-01")</f>
        <v>CSE220-01</v>
      </c>
      <c r="B43" s="8"/>
      <c r="C43" s="8"/>
      <c r="D43" s="8" t="str">
        <f>IFERROR(__xludf.DUMMYFUNCTION("""COMPUTED_VALUE"""),"RAK")</f>
        <v>RAK</v>
      </c>
      <c r="E43" s="8" t="str">
        <f>IFERROR(__xludf.DUMMYFUNCTION("""COMPUTED_VALUE"""),"SUN+TUE")</f>
        <v>SUN+TUE</v>
      </c>
      <c r="F43" s="8" t="str">
        <f>IFERROR(__xludf.DUMMYFUNCTION("""COMPUTED_VALUE"""),"9:30 AM")</f>
        <v>9:30 AM</v>
      </c>
      <c r="G43" s="9" t="str">
        <f>IFERROR(__xludf.DUMMYFUNCTION("""COMPUTED_VALUE"""),"10A-05C")</f>
        <v>10A-05C</v>
      </c>
      <c r="H43" s="8" t="str">
        <f>IFERROR(__xludf.DUMMYFUNCTION("""COMPUTED_VALUE"""),"ASMN,CESF")</f>
        <v>ASMN,CESF</v>
      </c>
      <c r="I43" s="8" t="str">
        <f>IFERROR(__xludf.DUMMYFUNCTION("""COMPUTED_VALUE"""),"MON")</f>
        <v>MON</v>
      </c>
      <c r="J43" s="8" t="str">
        <f>IFERROR(__xludf.DUMMYFUNCTION("""COMPUTED_VALUE"""),"8:00 AM")</f>
        <v>8:00 AM</v>
      </c>
      <c r="K43" s="8" t="str">
        <f>IFERROR(__xludf.DUMMYFUNCTION("""COMPUTED_VALUE"""),"09B-08L")</f>
        <v>09B-08L</v>
      </c>
      <c r="L43" s="8"/>
      <c r="M43" s="10" t="str">
        <f>IFERROR(VLOOKUP(D43,FacultyList!B:G,6,FALSE),"")</f>
        <v>rubayat.ahmed@bracu.ac.bd</v>
      </c>
    </row>
    <row r="44">
      <c r="A44" s="5" t="str">
        <f>IFERROR(__xludf.DUMMYFUNCTION("""COMPUTED_VALUE"""),"CSE220-02")</f>
        <v>CSE220-02</v>
      </c>
      <c r="B44" s="8"/>
      <c r="C44" s="8"/>
      <c r="D44" s="8" t="str">
        <f>IFERROR(__xludf.DUMMYFUNCTION("""COMPUTED_VALUE"""),"RAK")</f>
        <v>RAK</v>
      </c>
      <c r="E44" s="8" t="str">
        <f>IFERROR(__xludf.DUMMYFUNCTION("""COMPUTED_VALUE"""),"MON+WED")</f>
        <v>MON+WED</v>
      </c>
      <c r="F44" s="8" t="str">
        <f>IFERROR(__xludf.DUMMYFUNCTION("""COMPUTED_VALUE"""),"2:00 PM")</f>
        <v>2:00 PM</v>
      </c>
      <c r="G44" s="9" t="str">
        <f>IFERROR(__xludf.DUMMYFUNCTION("""COMPUTED_VALUE"""),"10A-10C")</f>
        <v>10A-10C</v>
      </c>
      <c r="H44" s="8" t="str">
        <f>IFERROR(__xludf.DUMMYFUNCTION("""COMPUTED_VALUE"""),"ASMN,SKIB")</f>
        <v>ASMN,SKIB</v>
      </c>
      <c r="I44" s="8" t="str">
        <f>IFERROR(__xludf.DUMMYFUNCTION("""COMPUTED_VALUE"""),"SUN")</f>
        <v>SUN</v>
      </c>
      <c r="J44" s="8" t="str">
        <f>IFERROR(__xludf.DUMMYFUNCTION("""COMPUTED_VALUE"""),"8:00 AM")</f>
        <v>8:00 AM</v>
      </c>
      <c r="K44" s="8" t="str">
        <f>IFERROR(__xludf.DUMMYFUNCTION("""COMPUTED_VALUE"""),"09B-09L")</f>
        <v>09B-09L</v>
      </c>
      <c r="L44" s="8"/>
      <c r="M44" s="10" t="str">
        <f>IFERROR(VLOOKUP(D44,FacultyList!B:G,6,FALSE),"")</f>
        <v>rubayat.ahmed@bracu.ac.bd</v>
      </c>
    </row>
    <row r="45">
      <c r="A45" s="5" t="str">
        <f>IFERROR(__xludf.DUMMYFUNCTION("""COMPUTED_VALUE"""),"CSE220-03")</f>
        <v>CSE220-03</v>
      </c>
      <c r="B45" s="8"/>
      <c r="C45" s="8"/>
      <c r="D45" s="8" t="str">
        <f>IFERROR(__xludf.DUMMYFUNCTION("""COMPUTED_VALUE"""),"RAK")</f>
        <v>RAK</v>
      </c>
      <c r="E45" s="8" t="str">
        <f>IFERROR(__xludf.DUMMYFUNCTION("""COMPUTED_VALUE"""),"MON+WED")</f>
        <v>MON+WED</v>
      </c>
      <c r="F45" s="8" t="str">
        <f>IFERROR(__xludf.DUMMYFUNCTION("""COMPUTED_VALUE"""),"3:30 PM")</f>
        <v>3:30 PM</v>
      </c>
      <c r="G45" s="9" t="str">
        <f>IFERROR(__xludf.DUMMYFUNCTION("""COMPUTED_VALUE"""),"10A-10C")</f>
        <v>10A-10C</v>
      </c>
      <c r="H45" s="8" t="str">
        <f>IFERROR(__xludf.DUMMYFUNCTION("""COMPUTED_VALUE"""),"WBH,KKS")</f>
        <v>WBH,KKS</v>
      </c>
      <c r="I45" s="8" t="str">
        <f>IFERROR(__xludf.DUMMYFUNCTION("""COMPUTED_VALUE"""),"SUN")</f>
        <v>SUN</v>
      </c>
      <c r="J45" s="8" t="str">
        <f>IFERROR(__xludf.DUMMYFUNCTION("""COMPUTED_VALUE"""),"11:00 AM")</f>
        <v>11:00 AM</v>
      </c>
      <c r="K45" s="8" t="str">
        <f>IFERROR(__xludf.DUMMYFUNCTION("""COMPUTED_VALUE"""),"09B-09L")</f>
        <v>09B-09L</v>
      </c>
      <c r="L45" s="8"/>
      <c r="M45" s="10" t="str">
        <f>IFERROR(VLOOKUP(D45,FacultyList!B:G,6,FALSE),"")</f>
        <v>rubayat.ahmed@bracu.ac.bd</v>
      </c>
    </row>
    <row r="46">
      <c r="A46" s="5" t="str">
        <f>IFERROR(__xludf.DUMMYFUNCTION("""COMPUTED_VALUE"""),"CSE220-04")</f>
        <v>CSE220-04</v>
      </c>
      <c r="B46" s="8"/>
      <c r="C46" s="8"/>
      <c r="D46" s="8" t="str">
        <f>IFERROR(__xludf.DUMMYFUNCTION("""COMPUTED_VALUE"""),"SHBZ")</f>
        <v>SHBZ</v>
      </c>
      <c r="E46" s="8" t="str">
        <f>IFERROR(__xludf.DUMMYFUNCTION("""COMPUTED_VALUE"""),"SAT+THU")</f>
        <v>SAT+THU</v>
      </c>
      <c r="F46" s="8" t="str">
        <f>IFERROR(__xludf.DUMMYFUNCTION("""COMPUTED_VALUE"""),"8:00 AM")</f>
        <v>8:00 AM</v>
      </c>
      <c r="G46" s="9" t="str">
        <f>IFERROR(__xludf.DUMMYFUNCTION("""COMPUTED_VALUE"""),"10A-05C")</f>
        <v>10A-05C</v>
      </c>
      <c r="H46" s="8" t="str">
        <f>IFERROR(__xludf.DUMMYFUNCTION("""COMPUTED_VALUE"""),"MZG,SWG")</f>
        <v>MZG,SWG</v>
      </c>
      <c r="I46" s="8" t="str">
        <f>IFERROR(__xludf.DUMMYFUNCTION("""COMPUTED_VALUE"""),"MON")</f>
        <v>MON</v>
      </c>
      <c r="J46" s="8" t="str">
        <f>IFERROR(__xludf.DUMMYFUNCTION("""COMPUTED_VALUE"""),"11:00 AM")</f>
        <v>11:00 AM</v>
      </c>
      <c r="K46" s="8" t="str">
        <f>IFERROR(__xludf.DUMMYFUNCTION("""COMPUTED_VALUE"""),"09B-11L")</f>
        <v>09B-11L</v>
      </c>
      <c r="L46" s="8"/>
      <c r="M46" s="10" t="str">
        <f>IFERROR(VLOOKUP(D46,FacultyList!B:G,6,FALSE),"")</f>
        <v>ext.shams.bayzid@bracu.ac.bd</v>
      </c>
    </row>
    <row r="47">
      <c r="A47" s="5" t="str">
        <f>IFERROR(__xludf.DUMMYFUNCTION("""COMPUTED_VALUE"""),"CSE220-05")</f>
        <v>CSE220-05</v>
      </c>
      <c r="B47" s="8"/>
      <c r="C47" s="8"/>
      <c r="D47" s="8" t="str">
        <f>IFERROR(__xludf.DUMMYFUNCTION("""COMPUTED_VALUE"""),"SHBZ")</f>
        <v>SHBZ</v>
      </c>
      <c r="E47" s="8" t="str">
        <f>IFERROR(__xludf.DUMMYFUNCTION("""COMPUTED_VALUE"""),"SAT+THU")</f>
        <v>SAT+THU</v>
      </c>
      <c r="F47" s="8" t="str">
        <f>IFERROR(__xludf.DUMMYFUNCTION("""COMPUTED_VALUE"""),"9:30 AM")</f>
        <v>9:30 AM</v>
      </c>
      <c r="G47" s="9" t="str">
        <f>IFERROR(__xludf.DUMMYFUNCTION("""COMPUTED_VALUE"""),"10A-05C")</f>
        <v>10A-05C</v>
      </c>
      <c r="H47" s="8" t="str">
        <f>IFERROR(__xludf.DUMMYFUNCTION("""COMPUTED_VALUE"""),"CESF,ANT")</f>
        <v>CESF,ANT</v>
      </c>
      <c r="I47" s="8" t="str">
        <f>IFERROR(__xludf.DUMMYFUNCTION("""COMPUTED_VALUE"""),"MON")</f>
        <v>MON</v>
      </c>
      <c r="J47" s="8" t="str">
        <f>IFERROR(__xludf.DUMMYFUNCTION("""COMPUTED_VALUE"""),"2:00 PM")</f>
        <v>2:00 PM</v>
      </c>
      <c r="K47" s="8" t="str">
        <f>IFERROR(__xludf.DUMMYFUNCTION("""COMPUTED_VALUE"""),"09B-11L")</f>
        <v>09B-11L</v>
      </c>
      <c r="L47" s="8"/>
      <c r="M47" s="10" t="str">
        <f>IFERROR(VLOOKUP(D47,FacultyList!B:G,6,FALSE),"")</f>
        <v>ext.shams.bayzid@bracu.ac.bd</v>
      </c>
    </row>
    <row r="48">
      <c r="A48" s="5" t="str">
        <f>IFERROR(__xludf.DUMMYFUNCTION("""COMPUTED_VALUE"""),"CSE220-06")</f>
        <v>CSE220-06</v>
      </c>
      <c r="B48" s="8"/>
      <c r="C48" s="8"/>
      <c r="D48" s="8" t="str">
        <f>IFERROR(__xludf.DUMMYFUNCTION("""COMPUTED_VALUE"""),"MAHR")</f>
        <v>MAHR</v>
      </c>
      <c r="E48" s="8" t="str">
        <f>IFERROR(__xludf.DUMMYFUNCTION("""COMPUTED_VALUE"""),"SUN+TUE")</f>
        <v>SUN+TUE</v>
      </c>
      <c r="F48" s="8" t="str">
        <f>IFERROR(__xludf.DUMMYFUNCTION("""COMPUTED_VALUE"""),"8:00 AM")</f>
        <v>8:00 AM</v>
      </c>
      <c r="G48" s="9" t="str">
        <f>IFERROR(__xludf.DUMMYFUNCTION("""COMPUTED_VALUE"""),"10B-13C")</f>
        <v>10B-13C</v>
      </c>
      <c r="H48" s="8" t="str">
        <f>IFERROR(__xludf.DUMMYFUNCTION("""COMPUTED_VALUE"""),"RAK,AYO")</f>
        <v>RAK,AYO</v>
      </c>
      <c r="I48" s="8" t="str">
        <f>IFERROR(__xludf.DUMMYFUNCTION("""COMPUTED_VALUE"""),"MON")</f>
        <v>MON</v>
      </c>
      <c r="J48" s="8" t="str">
        <f>IFERROR(__xludf.DUMMYFUNCTION("""COMPUTED_VALUE"""),"11:00 AM")</f>
        <v>11:00 AM</v>
      </c>
      <c r="K48" s="8" t="str">
        <f>IFERROR(__xludf.DUMMYFUNCTION("""COMPUTED_VALUE"""),"09B-08L")</f>
        <v>09B-08L</v>
      </c>
      <c r="L48" s="8"/>
      <c r="M48" s="10" t="str">
        <f>IFERROR(VLOOKUP(D48,FacultyList!B:G,6,FALSE),"")</f>
        <v>mahrin.tasfe@bracu.ac.bd</v>
      </c>
    </row>
    <row r="49">
      <c r="A49" s="5" t="str">
        <f>IFERROR(__xludf.DUMMYFUNCTION("""COMPUTED_VALUE"""),"CSE220-07")</f>
        <v>CSE220-07</v>
      </c>
      <c r="B49" s="8"/>
      <c r="C49" s="8"/>
      <c r="D49" s="8" t="str">
        <f>IFERROR(__xludf.DUMMYFUNCTION("""COMPUTED_VALUE"""),"MAHR")</f>
        <v>MAHR</v>
      </c>
      <c r="E49" s="8" t="str">
        <f>IFERROR(__xludf.DUMMYFUNCTION("""COMPUTED_VALUE"""),"SUN+TUE")</f>
        <v>SUN+TUE</v>
      </c>
      <c r="F49" s="8" t="str">
        <f>IFERROR(__xludf.DUMMYFUNCTION("""COMPUTED_VALUE"""),"9:30 AM")</f>
        <v>9:30 AM</v>
      </c>
      <c r="G49" s="9" t="str">
        <f>IFERROR(__xludf.DUMMYFUNCTION("""COMPUTED_VALUE"""),"10B-13C")</f>
        <v>10B-13C</v>
      </c>
      <c r="H49" s="8" t="str">
        <f>IFERROR(__xludf.DUMMYFUNCTION("""COMPUTED_VALUE"""),"ASMN,ATY")</f>
        <v>ASMN,ATY</v>
      </c>
      <c r="I49" s="8" t="str">
        <f>IFERROR(__xludf.DUMMYFUNCTION("""COMPUTED_VALUE"""),"MON")</f>
        <v>MON</v>
      </c>
      <c r="J49" s="8" t="str">
        <f>IFERROR(__xludf.DUMMYFUNCTION("""COMPUTED_VALUE"""),"2:00 PM")</f>
        <v>2:00 PM</v>
      </c>
      <c r="K49" s="8" t="str">
        <f>IFERROR(__xludf.DUMMYFUNCTION("""COMPUTED_VALUE"""),"09B-08L")</f>
        <v>09B-08L</v>
      </c>
      <c r="L49" s="8"/>
      <c r="M49" s="10" t="str">
        <f>IFERROR(VLOOKUP(D49,FacultyList!B:G,6,FALSE),"")</f>
        <v>mahrin.tasfe@bracu.ac.bd</v>
      </c>
    </row>
    <row r="50">
      <c r="A50" s="5" t="str">
        <f>IFERROR(__xludf.DUMMYFUNCTION("""COMPUTED_VALUE"""),"CSE220-08")</f>
        <v>CSE220-08</v>
      </c>
      <c r="B50" s="8"/>
      <c r="C50" s="8"/>
      <c r="D50" s="8" t="str">
        <f>IFERROR(__xludf.DUMMYFUNCTION("""COMPUTED_VALUE"""),"KKS")</f>
        <v>KKS</v>
      </c>
      <c r="E50" s="8" t="str">
        <f>IFERROR(__xludf.DUMMYFUNCTION("""COMPUTED_VALUE"""),"SAT+THU")</f>
        <v>SAT+THU</v>
      </c>
      <c r="F50" s="8" t="str">
        <f>IFERROR(__xludf.DUMMYFUNCTION("""COMPUTED_VALUE"""),"2:00 PM")</f>
        <v>2:00 PM</v>
      </c>
      <c r="G50" s="9" t="str">
        <f>IFERROR(__xludf.DUMMYFUNCTION("""COMPUTED_VALUE"""),"10B-15C")</f>
        <v>10B-15C</v>
      </c>
      <c r="H50" s="8" t="str">
        <f>IFERROR(__xludf.DUMMYFUNCTION("""COMPUTED_VALUE"""),"RAK,SKIB")</f>
        <v>RAK,SKIB</v>
      </c>
      <c r="I50" s="8" t="str">
        <f>IFERROR(__xludf.DUMMYFUNCTION("""COMPUTED_VALUE"""),"SUN")</f>
        <v>SUN</v>
      </c>
      <c r="J50" s="8" t="str">
        <f>IFERROR(__xludf.DUMMYFUNCTION("""COMPUTED_VALUE"""),"2:00 PM")</f>
        <v>2:00 PM</v>
      </c>
      <c r="K50" s="8" t="str">
        <f>IFERROR(__xludf.DUMMYFUNCTION("""COMPUTED_VALUE"""),"09B-09L")</f>
        <v>09B-09L</v>
      </c>
      <c r="L50" s="8"/>
      <c r="M50" s="10" t="str">
        <f>IFERROR(VLOOKUP(D50,FacultyList!B:G,6,FALSE),"")</f>
        <v>md.khaliduzzaman@bracu.ac.bd</v>
      </c>
    </row>
    <row r="51">
      <c r="A51" s="5" t="str">
        <f>IFERROR(__xludf.DUMMYFUNCTION("""COMPUTED_VALUE"""),"CSE220-09")</f>
        <v>CSE220-09</v>
      </c>
      <c r="B51" s="8"/>
      <c r="C51" s="8"/>
      <c r="D51" s="8" t="str">
        <f>IFERROR(__xludf.DUMMYFUNCTION("""COMPUTED_VALUE"""),"MAHR")</f>
        <v>MAHR</v>
      </c>
      <c r="E51" s="8" t="str">
        <f>IFERROR(__xludf.DUMMYFUNCTION("""COMPUTED_VALUE"""),"SAT+THU")</f>
        <v>SAT+THU</v>
      </c>
      <c r="F51" s="8" t="str">
        <f>IFERROR(__xludf.DUMMYFUNCTION("""COMPUTED_VALUE"""),"11:00 AM")</f>
        <v>11:00 AM</v>
      </c>
      <c r="G51" s="9" t="str">
        <f>IFERROR(__xludf.DUMMYFUNCTION("""COMPUTED_VALUE"""),"08H-22C")</f>
        <v>08H-22C</v>
      </c>
      <c r="H51" s="8" t="str">
        <f>IFERROR(__xludf.DUMMYFUNCTION("""COMPUTED_VALUE"""),"RFTS,ASMN")</f>
        <v>RFTS,ASMN</v>
      </c>
      <c r="I51" s="8" t="str">
        <f>IFERROR(__xludf.DUMMYFUNCTION("""COMPUTED_VALUE"""),"SUN")</f>
        <v>SUN</v>
      </c>
      <c r="J51" s="8" t="str">
        <f>IFERROR(__xludf.DUMMYFUNCTION("""COMPUTED_VALUE"""),"11:00 AM")</f>
        <v>11:00 AM</v>
      </c>
      <c r="K51" s="8" t="str">
        <f>IFERROR(__xludf.DUMMYFUNCTION("""COMPUTED_VALUE"""),"09B-08L")</f>
        <v>09B-08L</v>
      </c>
      <c r="L51" s="8"/>
      <c r="M51" s="10" t="str">
        <f>IFERROR(VLOOKUP(D51,FacultyList!B:G,6,FALSE),"")</f>
        <v>mahrin.tasfe@bracu.ac.bd</v>
      </c>
    </row>
    <row r="52">
      <c r="A52" s="5" t="str">
        <f>IFERROR(__xludf.DUMMYFUNCTION("""COMPUTED_VALUE"""),"CSE220-10")</f>
        <v>CSE220-10</v>
      </c>
      <c r="B52" s="8"/>
      <c r="C52" s="8"/>
      <c r="D52" s="8" t="str">
        <f>IFERROR(__xludf.DUMMYFUNCTION("""COMPUTED_VALUE"""),"MAHR")</f>
        <v>MAHR</v>
      </c>
      <c r="E52" s="8" t="str">
        <f>IFERROR(__xludf.DUMMYFUNCTION("""COMPUTED_VALUE"""),"SAT+THU")</f>
        <v>SAT+THU</v>
      </c>
      <c r="F52" s="8" t="str">
        <f>IFERROR(__xludf.DUMMYFUNCTION("""COMPUTED_VALUE"""),"12:30 PM")</f>
        <v>12:30 PM</v>
      </c>
      <c r="G52" s="9" t="str">
        <f>IFERROR(__xludf.DUMMYFUNCTION("""COMPUTED_VALUE"""),"08H-22C")</f>
        <v>08H-22C</v>
      </c>
      <c r="H52" s="8" t="str">
        <f>IFERROR(__xludf.DUMMYFUNCTION("""COMPUTED_VALUE"""),"CSSN,AJK")</f>
        <v>CSSN,AJK</v>
      </c>
      <c r="I52" s="8" t="str">
        <f>IFERROR(__xludf.DUMMYFUNCTION("""COMPUTED_VALUE"""),"SUN")</f>
        <v>SUN</v>
      </c>
      <c r="J52" s="8" t="str">
        <f>IFERROR(__xludf.DUMMYFUNCTION("""COMPUTED_VALUE"""),"2:00 PM")</f>
        <v>2:00 PM</v>
      </c>
      <c r="K52" s="8" t="str">
        <f>IFERROR(__xludf.DUMMYFUNCTION("""COMPUTED_VALUE"""),"09B-08L")</f>
        <v>09B-08L</v>
      </c>
      <c r="L52" s="8"/>
      <c r="M52" s="10" t="str">
        <f>IFERROR(VLOOKUP(D52,FacultyList!B:G,6,FALSE),"")</f>
        <v>mahrin.tasfe@bracu.ac.bd</v>
      </c>
    </row>
    <row r="53">
      <c r="A53" s="5" t="str">
        <f>IFERROR(__xludf.DUMMYFUNCTION("""COMPUTED_VALUE"""),"CSE220-11")</f>
        <v>CSE220-11</v>
      </c>
      <c r="B53" s="8"/>
      <c r="C53" s="8"/>
      <c r="D53" s="8" t="str">
        <f>IFERROR(__xludf.DUMMYFUNCTION("""COMPUTED_VALUE"""),"MUNR")</f>
        <v>MUNR</v>
      </c>
      <c r="E53" s="8" t="str">
        <f>IFERROR(__xludf.DUMMYFUNCTION("""COMPUTED_VALUE"""),"MON+WED")</f>
        <v>MON+WED</v>
      </c>
      <c r="F53" s="8" t="str">
        <f>IFERROR(__xludf.DUMMYFUNCTION("""COMPUTED_VALUE"""),"11:00 AM")</f>
        <v>11:00 AM</v>
      </c>
      <c r="G53" s="9" t="str">
        <f>IFERROR(__xludf.DUMMYFUNCTION("""COMPUTED_VALUE"""),"09H-33C")</f>
        <v>09H-33C</v>
      </c>
      <c r="H53" s="8" t="str">
        <f>IFERROR(__xludf.DUMMYFUNCTION("""COMPUTED_VALUE"""),"MZG,ANT")</f>
        <v>MZG,ANT</v>
      </c>
      <c r="I53" s="8" t="str">
        <f>IFERROR(__xludf.DUMMYFUNCTION("""COMPUTED_VALUE"""),"SUN")</f>
        <v>SUN</v>
      </c>
      <c r="J53" s="8" t="str">
        <f>IFERROR(__xludf.DUMMYFUNCTION("""COMPUTED_VALUE"""),"8:00 AM")</f>
        <v>8:00 AM</v>
      </c>
      <c r="K53" s="8" t="str">
        <f>IFERROR(__xludf.DUMMYFUNCTION("""COMPUTED_VALUE"""),"09B-10L")</f>
        <v>09B-10L</v>
      </c>
      <c r="L53" s="8"/>
      <c r="M53" s="10" t="str">
        <f>IFERROR(VLOOKUP(D53,FacultyList!B:G,6,FALSE),"")</f>
        <v>abm.muntasir@bracu.ac.bd</v>
      </c>
    </row>
    <row r="54">
      <c r="A54" s="5" t="str">
        <f>IFERROR(__xludf.DUMMYFUNCTION("""COMPUTED_VALUE"""),"CSE220-12")</f>
        <v>CSE220-12</v>
      </c>
      <c r="B54" s="8"/>
      <c r="C54" s="8"/>
      <c r="D54" s="8" t="str">
        <f>IFERROR(__xludf.DUMMYFUNCTION("""COMPUTED_VALUE"""),"AIB")</f>
        <v>AIB</v>
      </c>
      <c r="E54" s="8" t="str">
        <f>IFERROR(__xludf.DUMMYFUNCTION("""COMPUTED_VALUE"""),"MON+WED")</f>
        <v>MON+WED</v>
      </c>
      <c r="F54" s="8" t="str">
        <f>IFERROR(__xludf.DUMMYFUNCTION("""COMPUTED_VALUE"""),"11:00 AM")</f>
        <v>11:00 AM</v>
      </c>
      <c r="G54" s="9" t="str">
        <f>IFERROR(__xludf.DUMMYFUNCTION("""COMPUTED_VALUE"""),"09H-32C")</f>
        <v>09H-32C</v>
      </c>
      <c r="H54" s="8" t="str">
        <f>IFERROR(__xludf.DUMMYFUNCTION("""COMPUTED_VALUE"""),"AIB,FDM")</f>
        <v>AIB,FDM</v>
      </c>
      <c r="I54" s="8" t="str">
        <f>IFERROR(__xludf.DUMMYFUNCTION("""COMPUTED_VALUE"""),"SUN")</f>
        <v>SUN</v>
      </c>
      <c r="J54" s="8" t="str">
        <f>IFERROR(__xludf.DUMMYFUNCTION("""COMPUTED_VALUE"""),"11:00 AM")</f>
        <v>11:00 AM</v>
      </c>
      <c r="K54" s="8" t="str">
        <f>IFERROR(__xludf.DUMMYFUNCTION("""COMPUTED_VALUE"""),"09B-10L")</f>
        <v>09B-10L</v>
      </c>
      <c r="L54" s="8"/>
      <c r="M54" s="10" t="str">
        <f>IFERROR(VLOOKUP(D54,FacultyList!B:G,6,FALSE),"")</f>
        <v>abu.ibrahim@bracu.ac.bd</v>
      </c>
    </row>
    <row r="55">
      <c r="A55" s="5" t="str">
        <f>IFERROR(__xludf.DUMMYFUNCTION("""COMPUTED_VALUE"""),"CSE220-13")</f>
        <v>CSE220-13</v>
      </c>
      <c r="B55" s="8"/>
      <c r="C55" s="8"/>
      <c r="D55" s="8" t="str">
        <f>IFERROR(__xludf.DUMMYFUNCTION("""COMPUTED_VALUE"""),"AIB")</f>
        <v>AIB</v>
      </c>
      <c r="E55" s="8" t="str">
        <f>IFERROR(__xludf.DUMMYFUNCTION("""COMPUTED_VALUE"""),"MON+WED")</f>
        <v>MON+WED</v>
      </c>
      <c r="F55" s="8" t="str">
        <f>IFERROR(__xludf.DUMMYFUNCTION("""COMPUTED_VALUE"""),"12:30 PM")</f>
        <v>12:30 PM</v>
      </c>
      <c r="G55" s="9" t="str">
        <f>IFERROR(__xludf.DUMMYFUNCTION("""COMPUTED_VALUE"""),"09H-32C")</f>
        <v>09H-32C</v>
      </c>
      <c r="H55" s="8" t="str">
        <f>IFERROR(__xludf.DUMMYFUNCTION("""COMPUTED_VALUE"""),"AJA,MRIA")</f>
        <v>AJA,MRIA</v>
      </c>
      <c r="I55" s="8" t="str">
        <f>IFERROR(__xludf.DUMMYFUNCTION("""COMPUTED_VALUE"""),"SUN")</f>
        <v>SUN</v>
      </c>
      <c r="J55" s="8" t="str">
        <f>IFERROR(__xludf.DUMMYFUNCTION("""COMPUTED_VALUE"""),"2:00 PM")</f>
        <v>2:00 PM</v>
      </c>
      <c r="K55" s="8" t="str">
        <f>IFERROR(__xludf.DUMMYFUNCTION("""COMPUTED_VALUE"""),"09B-10L")</f>
        <v>09B-10L</v>
      </c>
      <c r="L55" s="8"/>
      <c r="M55" s="10" t="str">
        <f>IFERROR(VLOOKUP(D55,FacultyList!B:G,6,FALSE),"")</f>
        <v>abu.ibrahim@bracu.ac.bd</v>
      </c>
    </row>
    <row r="56">
      <c r="A56" s="5" t="str">
        <f>IFERROR(__xludf.DUMMYFUNCTION("""COMPUTED_VALUE"""),"CSE220-14")</f>
        <v>CSE220-14</v>
      </c>
      <c r="B56" s="8"/>
      <c r="C56" s="8"/>
      <c r="D56" s="8" t="str">
        <f>IFERROR(__xludf.DUMMYFUNCTION("""COMPUTED_VALUE"""),"SWG")</f>
        <v>SWG</v>
      </c>
      <c r="E56" s="8" t="str">
        <f>IFERROR(__xludf.DUMMYFUNCTION("""COMPUTED_VALUE"""),"MON+WED")</f>
        <v>MON+WED</v>
      </c>
      <c r="F56" s="8" t="str">
        <f>IFERROR(__xludf.DUMMYFUNCTION("""COMPUTED_VALUE"""),"9:30 AM")</f>
        <v>9:30 AM</v>
      </c>
      <c r="G56" s="9" t="str">
        <f>IFERROR(__xludf.DUMMYFUNCTION("""COMPUTED_VALUE"""),"09H-32C")</f>
        <v>09H-32C</v>
      </c>
      <c r="H56" s="8" t="str">
        <f>IFERROR(__xludf.DUMMYFUNCTION("""COMPUTED_VALUE"""),"ZMD,IRZ")</f>
        <v>ZMD,IRZ</v>
      </c>
      <c r="I56" s="8" t="str">
        <f>IFERROR(__xludf.DUMMYFUNCTION("""COMPUTED_VALUE"""),"SUN")</f>
        <v>SUN</v>
      </c>
      <c r="J56" s="8" t="str">
        <f>IFERROR(__xludf.DUMMYFUNCTION("""COMPUTED_VALUE"""),"8:00 AM")</f>
        <v>8:00 AM</v>
      </c>
      <c r="K56" s="8" t="str">
        <f>IFERROR(__xludf.DUMMYFUNCTION("""COMPUTED_VALUE"""),"09B-11L")</f>
        <v>09B-11L</v>
      </c>
      <c r="L56" s="8"/>
      <c r="M56" s="10" t="str">
        <f>IFERROR(VLOOKUP(D56,FacultyList!B:G,6,FALSE),"")</f>
        <v>swattic.ghose@bracu.ac.bd</v>
      </c>
    </row>
    <row r="57">
      <c r="A57" s="5" t="str">
        <f>IFERROR(__xludf.DUMMYFUNCTION("""COMPUTED_VALUE"""),"CSE220-15")</f>
        <v>CSE220-15</v>
      </c>
      <c r="B57" s="8"/>
      <c r="C57" s="8"/>
      <c r="D57" s="8" t="str">
        <f>IFERROR(__xludf.DUMMYFUNCTION("""COMPUTED_VALUE"""),"SWG")</f>
        <v>SWG</v>
      </c>
      <c r="E57" s="8" t="str">
        <f>IFERROR(__xludf.DUMMYFUNCTION("""COMPUTED_VALUE"""),"MON+WED")</f>
        <v>MON+WED</v>
      </c>
      <c r="F57" s="8" t="str">
        <f>IFERROR(__xludf.DUMMYFUNCTION("""COMPUTED_VALUE"""),"2:00 PM")</f>
        <v>2:00 PM</v>
      </c>
      <c r="G57" s="9" t="str">
        <f>IFERROR(__xludf.DUMMYFUNCTION("""COMPUTED_VALUE"""),"09H-32C")</f>
        <v>09H-32C</v>
      </c>
      <c r="H57" s="8" t="str">
        <f>IFERROR(__xludf.DUMMYFUNCTION("""COMPUTED_VALUE"""),"SLAR,MZG")</f>
        <v>SLAR,MZG</v>
      </c>
      <c r="I57" s="8" t="str">
        <f>IFERROR(__xludf.DUMMYFUNCTION("""COMPUTED_VALUE"""),"SUN")</f>
        <v>SUN</v>
      </c>
      <c r="J57" s="8" t="str">
        <f>IFERROR(__xludf.DUMMYFUNCTION("""COMPUTED_VALUE"""),"11:00 AM")</f>
        <v>11:00 AM</v>
      </c>
      <c r="K57" s="8" t="str">
        <f>IFERROR(__xludf.DUMMYFUNCTION("""COMPUTED_VALUE"""),"09B-11L")</f>
        <v>09B-11L</v>
      </c>
      <c r="L57" s="8"/>
      <c r="M57" s="10" t="str">
        <f>IFERROR(VLOOKUP(D57,FacultyList!B:G,6,FALSE),"")</f>
        <v>swattic.ghose@bracu.ac.bd</v>
      </c>
    </row>
    <row r="58">
      <c r="A58" s="5" t="str">
        <f>IFERROR(__xludf.DUMMYFUNCTION("""COMPUTED_VALUE"""),"CSE220-16")</f>
        <v>CSE220-16</v>
      </c>
      <c r="B58" s="8"/>
      <c r="C58" s="8"/>
      <c r="D58" s="8" t="str">
        <f>IFERROR(__xludf.DUMMYFUNCTION("""COMPUTED_VALUE"""),"KKS")</f>
        <v>KKS</v>
      </c>
      <c r="E58" s="8" t="str">
        <f>IFERROR(__xludf.DUMMYFUNCTION("""COMPUTED_VALUE"""),"SUN+TUE")</f>
        <v>SUN+TUE</v>
      </c>
      <c r="F58" s="8" t="str">
        <f>IFERROR(__xludf.DUMMYFUNCTION("""COMPUTED_VALUE"""),"2:00 PM")</f>
        <v>2:00 PM</v>
      </c>
      <c r="G58" s="9" t="str">
        <f>IFERROR(__xludf.DUMMYFUNCTION("""COMPUTED_VALUE"""),"09C-13C")</f>
        <v>09C-13C</v>
      </c>
      <c r="H58" s="8" t="str">
        <f>IFERROR(__xludf.DUMMYFUNCTION("""COMPUTED_VALUE"""),"AJA,MRIA")</f>
        <v>AJA,MRIA</v>
      </c>
      <c r="I58" s="8" t="str">
        <f>IFERROR(__xludf.DUMMYFUNCTION("""COMPUTED_VALUE"""),"MON")</f>
        <v>MON</v>
      </c>
      <c r="J58" s="8" t="str">
        <f>IFERROR(__xludf.DUMMYFUNCTION("""COMPUTED_VALUE"""),"2:00 PM")</f>
        <v>2:00 PM</v>
      </c>
      <c r="K58" s="8" t="str">
        <f>IFERROR(__xludf.DUMMYFUNCTION("""COMPUTED_VALUE"""),"09B-09L")</f>
        <v>09B-09L</v>
      </c>
      <c r="L58" s="8"/>
      <c r="M58" s="10" t="str">
        <f>IFERROR(VLOOKUP(D58,FacultyList!B:G,6,FALSE),"")</f>
        <v>md.khaliduzzaman@bracu.ac.bd</v>
      </c>
    </row>
    <row r="59">
      <c r="A59" s="5" t="str">
        <f>IFERROR(__xludf.DUMMYFUNCTION("""COMPUTED_VALUE"""),"CSE220-17")</f>
        <v>CSE220-17</v>
      </c>
      <c r="B59" s="8"/>
      <c r="C59" s="8"/>
      <c r="D59" s="8" t="str">
        <f>IFERROR(__xludf.DUMMYFUNCTION("""COMPUTED_VALUE"""),"KKS")</f>
        <v>KKS</v>
      </c>
      <c r="E59" s="8" t="str">
        <f>IFERROR(__xludf.DUMMYFUNCTION("""COMPUTED_VALUE"""),"SUN+TUE")</f>
        <v>SUN+TUE</v>
      </c>
      <c r="F59" s="8" t="str">
        <f>IFERROR(__xludf.DUMMYFUNCTION("""COMPUTED_VALUE"""),"3:30 PM")</f>
        <v>3:30 PM</v>
      </c>
      <c r="G59" s="9" t="str">
        <f>IFERROR(__xludf.DUMMYFUNCTION("""COMPUTED_VALUE"""),"09C-13C")</f>
        <v>09C-13C</v>
      </c>
      <c r="H59" s="8" t="str">
        <f>IFERROR(__xludf.DUMMYFUNCTION("""COMPUTED_VALUE"""),"IRZ,CMHQ")</f>
        <v>IRZ,CMHQ</v>
      </c>
      <c r="I59" s="8" t="str">
        <f>IFERROR(__xludf.DUMMYFUNCTION("""COMPUTED_VALUE"""),"MON")</f>
        <v>MON</v>
      </c>
      <c r="J59" s="8" t="str">
        <f>IFERROR(__xludf.DUMMYFUNCTION("""COMPUTED_VALUE"""),"8:00 AM")</f>
        <v>8:00 AM</v>
      </c>
      <c r="K59" s="8" t="str">
        <f>IFERROR(__xludf.DUMMYFUNCTION("""COMPUTED_VALUE"""),"09B-10L")</f>
        <v>09B-10L</v>
      </c>
      <c r="L59" s="8"/>
      <c r="M59" s="10" t="str">
        <f>IFERROR(VLOOKUP(D59,FacultyList!B:G,6,FALSE),"")</f>
        <v>md.khaliduzzaman@bracu.ac.bd</v>
      </c>
    </row>
    <row r="60">
      <c r="A60" s="5" t="str">
        <f>IFERROR(__xludf.DUMMYFUNCTION("""COMPUTED_VALUE"""),"CSE220-18")</f>
        <v>CSE220-18</v>
      </c>
      <c r="B60" s="8"/>
      <c r="C60" s="8"/>
      <c r="D60" s="8" t="str">
        <f>IFERROR(__xludf.DUMMYFUNCTION("""COMPUTED_VALUE"""),"MNP")</f>
        <v>MNP</v>
      </c>
      <c r="E60" s="8" t="str">
        <f>IFERROR(__xludf.DUMMYFUNCTION("""COMPUTED_VALUE"""),"MON+WED")</f>
        <v>MON+WED</v>
      </c>
      <c r="F60" s="8" t="str">
        <f>IFERROR(__xludf.DUMMYFUNCTION("""COMPUTED_VALUE"""),"8:00 AM")</f>
        <v>8:00 AM</v>
      </c>
      <c r="G60" s="9" t="str">
        <f>IFERROR(__xludf.DUMMYFUNCTION("""COMPUTED_VALUE"""),"09H-32C")</f>
        <v>09H-32C</v>
      </c>
      <c r="H60" s="8" t="str">
        <f>IFERROR(__xludf.DUMMYFUNCTION("""COMPUTED_VALUE"""),"CESF,MAF")</f>
        <v>CESF,MAF</v>
      </c>
      <c r="I60" s="8" t="str">
        <f>IFERROR(__xludf.DUMMYFUNCTION("""COMPUTED_VALUE"""),"SUN")</f>
        <v>SUN</v>
      </c>
      <c r="J60" s="8" t="str">
        <f>IFERROR(__xludf.DUMMYFUNCTION("""COMPUTED_VALUE"""),"2:00 PM")</f>
        <v>2:00 PM</v>
      </c>
      <c r="K60" s="8" t="str">
        <f>IFERROR(__xludf.DUMMYFUNCTION("""COMPUTED_VALUE"""),"09B-11L")</f>
        <v>09B-11L</v>
      </c>
      <c r="L60" s="8"/>
      <c r="M60" s="10" t="str">
        <f>IFERROR(VLOOKUP(D60,FacultyList!B:G,6,FALSE),"")</f>
        <v>mushfique.nasir@bracu.ac.bd</v>
      </c>
    </row>
    <row r="61">
      <c r="A61" s="5" t="str">
        <f>IFERROR(__xludf.DUMMYFUNCTION("""COMPUTED_VALUE"""),"CSE220-19")</f>
        <v>CSE220-19</v>
      </c>
      <c r="B61" s="8"/>
      <c r="C61" s="8"/>
      <c r="D61" s="8" t="str">
        <f>IFERROR(__xludf.DUMMYFUNCTION("""COMPUTED_VALUE"""),"ITTSC")</f>
        <v>ITTSC</v>
      </c>
      <c r="E61" s="8" t="str">
        <f>IFERROR(__xludf.DUMMYFUNCTION("""COMPUTED_VALUE"""),"SUN+TUE")</f>
        <v>SUN+TUE</v>
      </c>
      <c r="F61" s="8" t="str">
        <f>IFERROR(__xludf.DUMMYFUNCTION("""COMPUTED_VALUE"""),"2:00 PM")</f>
        <v>2:00 PM</v>
      </c>
      <c r="G61" s="9" t="str">
        <f>IFERROR(__xludf.DUMMYFUNCTION("""COMPUTED_VALUE"""),"09A-05C")</f>
        <v>09A-05C</v>
      </c>
      <c r="H61" s="8" t="str">
        <f>IFERROR(__xludf.DUMMYFUNCTION("""COMPUTED_VALUE"""),"MNP,ASRF")</f>
        <v>MNP,ASRF</v>
      </c>
      <c r="I61" s="8" t="str">
        <f>IFERROR(__xludf.DUMMYFUNCTION("""COMPUTED_VALUE"""),"MON")</f>
        <v>MON</v>
      </c>
      <c r="J61" s="8" t="str">
        <f>IFERROR(__xludf.DUMMYFUNCTION("""COMPUTED_VALUE"""),"11:00 AM")</f>
        <v>11:00 AM</v>
      </c>
      <c r="K61" s="8" t="str">
        <f>IFERROR(__xludf.DUMMYFUNCTION("""COMPUTED_VALUE"""),"09B-10L")</f>
        <v>09B-10L</v>
      </c>
      <c r="L61" s="8"/>
      <c r="M61" s="10" t="str">
        <f>IFERROR(VLOOKUP(D61,FacultyList!B:G,6,FALSE),"")</f>
        <v>ittehad.chowdhury@bracu.ac.bd</v>
      </c>
    </row>
    <row r="62">
      <c r="A62" s="5" t="str">
        <f>IFERROR(__xludf.DUMMYFUNCTION("""COMPUTED_VALUE"""),"CSE220-20")</f>
        <v>CSE220-20</v>
      </c>
      <c r="B62" s="8"/>
      <c r="C62" s="8"/>
      <c r="D62" s="8" t="str">
        <f>IFERROR(__xludf.DUMMYFUNCTION("""COMPUTED_VALUE"""),"ITTSC")</f>
        <v>ITTSC</v>
      </c>
      <c r="E62" s="8" t="str">
        <f>IFERROR(__xludf.DUMMYFUNCTION("""COMPUTED_VALUE"""),"SUN+TUE")</f>
        <v>SUN+TUE</v>
      </c>
      <c r="F62" s="8" t="str">
        <f>IFERROR(__xludf.DUMMYFUNCTION("""COMPUTED_VALUE"""),"3:30 PM")</f>
        <v>3:30 PM</v>
      </c>
      <c r="G62" s="9" t="str">
        <f>IFERROR(__xludf.DUMMYFUNCTION("""COMPUTED_VALUE"""),"09A-05C")</f>
        <v>09A-05C</v>
      </c>
      <c r="H62" s="8" t="str">
        <f>IFERROR(__xludf.DUMMYFUNCTION("""COMPUTED_VALUE"""),"SKIB,CSSA")</f>
        <v>SKIB,CSSA</v>
      </c>
      <c r="I62" s="8" t="str">
        <f>IFERROR(__xludf.DUMMYFUNCTION("""COMPUTED_VALUE"""),"MON")</f>
        <v>MON</v>
      </c>
      <c r="J62" s="8" t="str">
        <f>IFERROR(__xludf.DUMMYFUNCTION("""COMPUTED_VALUE"""),"2:00 PM")</f>
        <v>2:00 PM</v>
      </c>
      <c r="K62" s="8" t="str">
        <f>IFERROR(__xludf.DUMMYFUNCTION("""COMPUTED_VALUE"""),"09B-10L")</f>
        <v>09B-10L</v>
      </c>
      <c r="L62" s="8"/>
      <c r="M62" s="10" t="str">
        <f>IFERROR(VLOOKUP(D62,FacultyList!B:G,6,FALSE),"")</f>
        <v>ittehad.chowdhury@bracu.ac.bd</v>
      </c>
    </row>
    <row r="63">
      <c r="A63" s="5" t="str">
        <f>IFERROR(__xludf.DUMMYFUNCTION("""COMPUTED_VALUE"""),"CSE220-21")</f>
        <v>CSE220-21</v>
      </c>
      <c r="B63" s="8"/>
      <c r="C63" s="8"/>
      <c r="D63" s="8" t="str">
        <f>IFERROR(__xludf.DUMMYFUNCTION("""COMPUTED_VALUE"""),"HFN")</f>
        <v>HFN</v>
      </c>
      <c r="E63" s="8" t="str">
        <f>IFERROR(__xludf.DUMMYFUNCTION("""COMPUTED_VALUE"""),"SUN+TUE")</f>
        <v>SUN+TUE</v>
      </c>
      <c r="F63" s="8" t="str">
        <f>IFERROR(__xludf.DUMMYFUNCTION("""COMPUTED_VALUE"""),"12:30 PM")</f>
        <v>12:30 PM</v>
      </c>
      <c r="G63" s="9" t="str">
        <f>IFERROR(__xludf.DUMMYFUNCTION("""COMPUTED_VALUE"""),"09A-03C")</f>
        <v>09A-03C</v>
      </c>
      <c r="H63" s="8" t="str">
        <f>IFERROR(__xludf.DUMMYFUNCTION("""COMPUTED_VALUE"""),"MZG,FDM")</f>
        <v>MZG,FDM</v>
      </c>
      <c r="I63" s="8" t="str">
        <f>IFERROR(__xludf.DUMMYFUNCTION("""COMPUTED_VALUE"""),"MON")</f>
        <v>MON</v>
      </c>
      <c r="J63" s="8" t="str">
        <f>IFERROR(__xludf.DUMMYFUNCTION("""COMPUTED_VALUE"""),"8:00 AM")</f>
        <v>8:00 AM</v>
      </c>
      <c r="K63" s="8" t="str">
        <f>IFERROR(__xludf.DUMMYFUNCTION("""COMPUTED_VALUE"""),"09B-11L")</f>
        <v>09B-11L</v>
      </c>
      <c r="L63" s="8"/>
      <c r="M63" s="10" t="str">
        <f>IFERROR(VLOOKUP(D63,FacultyList!B:G,6,FALSE),"")</f>
        <v>araf.noshin@bracu.ac.bd</v>
      </c>
    </row>
    <row r="64">
      <c r="A64" s="5" t="str">
        <f>IFERROR(__xludf.DUMMYFUNCTION("""COMPUTED_VALUE"""),"CSE220-22")</f>
        <v>CSE220-22</v>
      </c>
      <c r="B64" s="8"/>
      <c r="C64" s="8"/>
      <c r="D64" s="8" t="str">
        <f>IFERROR(__xludf.DUMMYFUNCTION("""COMPUTED_VALUE"""),"RFTS")</f>
        <v>RFTS</v>
      </c>
      <c r="E64" s="8" t="str">
        <f>IFERROR(__xludf.DUMMYFUNCTION("""COMPUTED_VALUE"""),"SAT+THU")</f>
        <v>SAT+THU</v>
      </c>
      <c r="F64" s="8" t="str">
        <f>IFERROR(__xludf.DUMMYFUNCTION("""COMPUTED_VALUE"""),"2:00 PM")</f>
        <v>2:00 PM</v>
      </c>
      <c r="G64" s="9" t="str">
        <f>IFERROR(__xludf.DUMMYFUNCTION("""COMPUTED_VALUE"""),"09H-34C")</f>
        <v>09H-34C</v>
      </c>
      <c r="H64" s="8" t="str">
        <f>IFERROR(__xludf.DUMMYFUNCTION("""COMPUTED_VALUE"""),"ASRF,FDM")</f>
        <v>ASRF,FDM</v>
      </c>
      <c r="I64" s="8" t="str">
        <f>IFERROR(__xludf.DUMMYFUNCTION("""COMPUTED_VALUE"""),"SUN")</f>
        <v>SUN</v>
      </c>
      <c r="J64" s="8" t="str">
        <f>IFERROR(__xludf.DUMMYFUNCTION("""COMPUTED_VALUE"""),"8:00 AM")</f>
        <v>8:00 AM</v>
      </c>
      <c r="K64" s="8" t="str">
        <f>IFERROR(__xludf.DUMMYFUNCTION("""COMPUTED_VALUE"""),"09B-08L")</f>
        <v>09B-08L</v>
      </c>
      <c r="L64" s="8"/>
      <c r="M64" s="10" t="str">
        <f>IFERROR(VLOOKUP(D64,FacultyList!B:G,6,FALSE),"")</f>
        <v>rifa.tasfiya@bracu.ac.bd</v>
      </c>
    </row>
    <row r="65">
      <c r="A65" s="5" t="str">
        <f>IFERROR(__xludf.DUMMYFUNCTION("""COMPUTED_VALUE"""),"CSE221-01")</f>
        <v>CSE221-01</v>
      </c>
      <c r="B65" s="8"/>
      <c r="C65" s="8"/>
      <c r="D65" s="8" t="str">
        <f>IFERROR(__xludf.DUMMYFUNCTION("""COMPUTED_VALUE"""),"MMM")</f>
        <v>MMM</v>
      </c>
      <c r="E65" s="8" t="str">
        <f>IFERROR(__xludf.DUMMYFUNCTION("""COMPUTED_VALUE"""),"SAT+THU")</f>
        <v>SAT+THU</v>
      </c>
      <c r="F65" s="8" t="str">
        <f>IFERROR(__xludf.DUMMYFUNCTION("""COMPUTED_VALUE"""),"8:00 AM")</f>
        <v>8:00 AM</v>
      </c>
      <c r="G65" s="9" t="str">
        <f>IFERROR(__xludf.DUMMYFUNCTION("""COMPUTED_VALUE"""),"07D-19C")</f>
        <v>07D-19C</v>
      </c>
      <c r="H65" s="8" t="str">
        <f>IFERROR(__xludf.DUMMYFUNCTION("""COMPUTED_VALUE"""),"ARD,CMHQ")</f>
        <v>ARD,CMHQ</v>
      </c>
      <c r="I65" s="8" t="str">
        <f>IFERROR(__xludf.DUMMYFUNCTION("""COMPUTED_VALUE"""),"SUN")</f>
        <v>SUN</v>
      </c>
      <c r="J65" s="8" t="str">
        <f>IFERROR(__xludf.DUMMYFUNCTION("""COMPUTED_VALUE"""),"8:00 AM")</f>
        <v>8:00 AM</v>
      </c>
      <c r="K65" s="8" t="str">
        <f>IFERROR(__xludf.DUMMYFUNCTION("""COMPUTED_VALUE"""),"09E-21L")</f>
        <v>09E-21L</v>
      </c>
      <c r="L65" s="8"/>
      <c r="M65" s="10" t="str">
        <f>IFERROR(VLOOKUP(D65,FacultyList!B:G,6,FALSE),"")</f>
        <v>mostakim@bracu.ac.bd</v>
      </c>
    </row>
    <row r="66">
      <c r="A66" s="5" t="str">
        <f>IFERROR(__xludf.DUMMYFUNCTION("""COMPUTED_VALUE"""),"CSE221-02")</f>
        <v>CSE221-02</v>
      </c>
      <c r="B66" s="8"/>
      <c r="C66" s="8"/>
      <c r="D66" s="8" t="str">
        <f>IFERROR(__xludf.DUMMYFUNCTION("""COMPUTED_VALUE"""),"IBA")</f>
        <v>IBA</v>
      </c>
      <c r="E66" s="8" t="str">
        <f>IFERROR(__xludf.DUMMYFUNCTION("""COMPUTED_VALUE"""),"SUN+TUE")</f>
        <v>SUN+TUE</v>
      </c>
      <c r="F66" s="8" t="str">
        <f>IFERROR(__xludf.DUMMYFUNCTION("""COMPUTED_VALUE"""),"2:00 PM")</f>
        <v>2:00 PM</v>
      </c>
      <c r="G66" s="9" t="str">
        <f>IFERROR(__xludf.DUMMYFUNCTION("""COMPUTED_VALUE"""),"10B-13C")</f>
        <v>10B-13C</v>
      </c>
      <c r="H66" s="8" t="str">
        <f>IFERROR(__xludf.DUMMYFUNCTION("""COMPUTED_VALUE"""),"ARD,ANV")</f>
        <v>ARD,ANV</v>
      </c>
      <c r="I66" s="8" t="str">
        <f>IFERROR(__xludf.DUMMYFUNCTION("""COMPUTED_VALUE"""),"SAT")</f>
        <v>SAT</v>
      </c>
      <c r="J66" s="8" t="str">
        <f>IFERROR(__xludf.DUMMYFUNCTION("""COMPUTED_VALUE"""),"8:00 AM")</f>
        <v>8:00 AM</v>
      </c>
      <c r="K66" s="8" t="str">
        <f>IFERROR(__xludf.DUMMYFUNCTION("""COMPUTED_VALUE"""),"09B-08L")</f>
        <v>09B-08L</v>
      </c>
      <c r="L66" s="8"/>
      <c r="M66" s="10" t="str">
        <f>IFERROR(VLOOKUP(D66,FacultyList!B:G,6,FALSE),"")</f>
        <v>imran.azad@bracu.ac.bd</v>
      </c>
    </row>
    <row r="67">
      <c r="A67" s="5" t="str">
        <f>IFERROR(__xludf.DUMMYFUNCTION("""COMPUTED_VALUE"""),"CSE221-03")</f>
        <v>CSE221-03</v>
      </c>
      <c r="B67" s="8"/>
      <c r="C67" s="8"/>
      <c r="D67" s="8" t="str">
        <f>IFERROR(__xludf.DUMMYFUNCTION("""COMPUTED_VALUE"""),"IBA")</f>
        <v>IBA</v>
      </c>
      <c r="E67" s="8" t="str">
        <f>IFERROR(__xludf.DUMMYFUNCTION("""COMPUTED_VALUE"""),"SUN+TUE")</f>
        <v>SUN+TUE</v>
      </c>
      <c r="F67" s="8" t="str">
        <f>IFERROR(__xludf.DUMMYFUNCTION("""COMPUTED_VALUE"""),"3:30 PM")</f>
        <v>3:30 PM</v>
      </c>
      <c r="G67" s="9" t="str">
        <f>IFERROR(__xludf.DUMMYFUNCTION("""COMPUTED_VALUE"""),"10B-13C")</f>
        <v>10B-13C</v>
      </c>
      <c r="H67" s="8" t="str">
        <f>IFERROR(__xludf.DUMMYFUNCTION("""COMPUTED_VALUE"""),"ARD,ASRF")</f>
        <v>ARD,ASRF</v>
      </c>
      <c r="I67" s="8" t="str">
        <f>IFERROR(__xludf.DUMMYFUNCTION("""COMPUTED_VALUE"""),"SAT")</f>
        <v>SAT</v>
      </c>
      <c r="J67" s="8" t="str">
        <f>IFERROR(__xludf.DUMMYFUNCTION("""COMPUTED_VALUE"""),"11:00 AM")</f>
        <v>11:00 AM</v>
      </c>
      <c r="K67" s="8" t="str">
        <f>IFERROR(__xludf.DUMMYFUNCTION("""COMPUTED_VALUE"""),"09B-08L")</f>
        <v>09B-08L</v>
      </c>
      <c r="L67" s="8"/>
      <c r="M67" s="10" t="str">
        <f>IFERROR(VLOOKUP(D67,FacultyList!B:G,6,FALSE),"")</f>
        <v>imran.azad@bracu.ac.bd</v>
      </c>
    </row>
    <row r="68">
      <c r="A68" s="5" t="str">
        <f>IFERROR(__xludf.DUMMYFUNCTION("""COMPUTED_VALUE"""),"CSE221-04")</f>
        <v>CSE221-04</v>
      </c>
      <c r="B68" s="8"/>
      <c r="C68" s="8"/>
      <c r="D68" s="8" t="str">
        <f>IFERROR(__xludf.DUMMYFUNCTION("""COMPUTED_VALUE"""),"IBA")</f>
        <v>IBA</v>
      </c>
      <c r="E68" s="8" t="str">
        <f>IFERROR(__xludf.DUMMYFUNCTION("""COMPUTED_VALUE"""),"MON+WED")</f>
        <v>MON+WED</v>
      </c>
      <c r="F68" s="8" t="str">
        <f>IFERROR(__xludf.DUMMYFUNCTION("""COMPUTED_VALUE"""),"2:00 PM")</f>
        <v>2:00 PM</v>
      </c>
      <c r="G68" s="9" t="str">
        <f>IFERROR(__xludf.DUMMYFUNCTION("""COMPUTED_VALUE"""),"10B-15C")</f>
        <v>10B-15C</v>
      </c>
      <c r="H68" s="8" t="str">
        <f>IFERROR(__xludf.DUMMYFUNCTION("""COMPUTED_VALUE"""),"ARD,AYO")</f>
        <v>ARD,AYO</v>
      </c>
      <c r="I68" s="8" t="str">
        <f>IFERROR(__xludf.DUMMYFUNCTION("""COMPUTED_VALUE"""),"SUN")</f>
        <v>SUN</v>
      </c>
      <c r="J68" s="8" t="str">
        <f>IFERROR(__xludf.DUMMYFUNCTION("""COMPUTED_VALUE"""),"11:00 AM")</f>
        <v>11:00 AM</v>
      </c>
      <c r="K68" s="8" t="str">
        <f>IFERROR(__xludf.DUMMYFUNCTION("""COMPUTED_VALUE"""),"09E-21L")</f>
        <v>09E-21L</v>
      </c>
      <c r="L68" s="8"/>
      <c r="M68" s="10" t="str">
        <f>IFERROR(VLOOKUP(D68,FacultyList!B:G,6,FALSE),"")</f>
        <v>imran.azad@bracu.ac.bd</v>
      </c>
    </row>
    <row r="69">
      <c r="A69" s="5" t="str">
        <f>IFERROR(__xludf.DUMMYFUNCTION("""COMPUTED_VALUE"""),"CSE221-05")</f>
        <v>CSE221-05</v>
      </c>
      <c r="B69" s="8"/>
      <c r="C69" s="8"/>
      <c r="D69" s="8" t="str">
        <f>IFERROR(__xludf.DUMMYFUNCTION("""COMPUTED_VALUE"""),"IBA")</f>
        <v>IBA</v>
      </c>
      <c r="E69" s="8" t="str">
        <f>IFERROR(__xludf.DUMMYFUNCTION("""COMPUTED_VALUE"""),"MON+WED")</f>
        <v>MON+WED</v>
      </c>
      <c r="F69" s="8" t="str">
        <f>IFERROR(__xludf.DUMMYFUNCTION("""COMPUTED_VALUE"""),"3:30 PM")</f>
        <v>3:30 PM</v>
      </c>
      <c r="G69" s="9" t="str">
        <f>IFERROR(__xludf.DUMMYFUNCTION("""COMPUTED_VALUE"""),"10B-15C")</f>
        <v>10B-15C</v>
      </c>
      <c r="H69" s="8" t="str">
        <f>IFERROR(__xludf.DUMMYFUNCTION("""COMPUTED_VALUE"""),"CAYR,AYO")</f>
        <v>CAYR,AYO</v>
      </c>
      <c r="I69" s="8" t="str">
        <f>IFERROR(__xludf.DUMMYFUNCTION("""COMPUTED_VALUE"""),"SUN")</f>
        <v>SUN</v>
      </c>
      <c r="J69" s="8" t="str">
        <f>IFERROR(__xludf.DUMMYFUNCTION("""COMPUTED_VALUE"""),"2:00 PM")</f>
        <v>2:00 PM</v>
      </c>
      <c r="K69" s="8" t="str">
        <f>IFERROR(__xludf.DUMMYFUNCTION("""COMPUTED_VALUE"""),"09F-24L")</f>
        <v>09F-24L</v>
      </c>
      <c r="L69" s="8"/>
      <c r="M69" s="10" t="str">
        <f>IFERROR(VLOOKUP(D69,FacultyList!B:G,6,FALSE),"")</f>
        <v>imran.azad@bracu.ac.bd</v>
      </c>
    </row>
    <row r="70">
      <c r="A70" s="5" t="str">
        <f>IFERROR(__xludf.DUMMYFUNCTION("""COMPUTED_VALUE"""),"CSE221-06")</f>
        <v>CSE221-06</v>
      </c>
      <c r="B70" s="8"/>
      <c r="C70" s="8"/>
      <c r="D70" s="8" t="str">
        <f>IFERROR(__xludf.DUMMYFUNCTION("""COMPUTED_VALUE"""),"FGZ")</f>
        <v>FGZ</v>
      </c>
      <c r="E70" s="8" t="str">
        <f>IFERROR(__xludf.DUMMYFUNCTION("""COMPUTED_VALUE"""),"MON+WED")</f>
        <v>MON+WED</v>
      </c>
      <c r="F70" s="8" t="str">
        <f>IFERROR(__xludf.DUMMYFUNCTION("""COMPUTED_VALUE"""),"8:00 AM")</f>
        <v>8:00 AM</v>
      </c>
      <c r="G70" s="9" t="str">
        <f>IFERROR(__xludf.DUMMYFUNCTION("""COMPUTED_VALUE"""),"07H-27C")</f>
        <v>07H-27C</v>
      </c>
      <c r="H70" s="8" t="str">
        <f>IFERROR(__xludf.DUMMYFUNCTION("""COMPUTED_VALUE"""),"ZLNM,TAP")</f>
        <v>ZLNM,TAP</v>
      </c>
      <c r="I70" s="8" t="str">
        <f>IFERROR(__xludf.DUMMYFUNCTION("""COMPUTED_VALUE"""),"SUN")</f>
        <v>SUN</v>
      </c>
      <c r="J70" s="8" t="str">
        <f>IFERROR(__xludf.DUMMYFUNCTION("""COMPUTED_VALUE"""),"8:00 AM")</f>
        <v>8:00 AM</v>
      </c>
      <c r="K70" s="8" t="str">
        <f>IFERROR(__xludf.DUMMYFUNCTION("""COMPUTED_VALUE"""),"09F-25L")</f>
        <v>09F-25L</v>
      </c>
      <c r="L70" s="8"/>
      <c r="M70" s="10" t="str">
        <f>IFERROR(VLOOKUP(D70,FacultyList!B:G,6,FALSE),"")</f>
        <v>fakhruddin.gazzali@bracu.ac.bd</v>
      </c>
    </row>
    <row r="71">
      <c r="A71" s="5" t="str">
        <f>IFERROR(__xludf.DUMMYFUNCTION("""COMPUTED_VALUE"""),"CSE221-07")</f>
        <v>CSE221-07</v>
      </c>
      <c r="B71" s="8"/>
      <c r="C71" s="8"/>
      <c r="D71" s="8" t="str">
        <f>IFERROR(__xludf.DUMMYFUNCTION("""COMPUTED_VALUE"""),"FGZ")</f>
        <v>FGZ</v>
      </c>
      <c r="E71" s="8" t="str">
        <f>IFERROR(__xludf.DUMMYFUNCTION("""COMPUTED_VALUE"""),"MON+WED")</f>
        <v>MON+WED</v>
      </c>
      <c r="F71" s="8" t="str">
        <f>IFERROR(__xludf.DUMMYFUNCTION("""COMPUTED_VALUE"""),"9:30 AM")</f>
        <v>9:30 AM</v>
      </c>
      <c r="G71" s="9" t="str">
        <f>IFERROR(__xludf.DUMMYFUNCTION("""COMPUTED_VALUE"""),"07H-27C")</f>
        <v>07H-27C</v>
      </c>
      <c r="H71" s="8" t="str">
        <f>IFERROR(__xludf.DUMMYFUNCTION("""COMPUTED_VALUE"""),"KKP,MRIA")</f>
        <v>KKP,MRIA</v>
      </c>
      <c r="I71" s="8" t="str">
        <f>IFERROR(__xludf.DUMMYFUNCTION("""COMPUTED_VALUE"""),"SUN")</f>
        <v>SUN</v>
      </c>
      <c r="J71" s="8" t="str">
        <f>IFERROR(__xludf.DUMMYFUNCTION("""COMPUTED_VALUE"""),"11:00 AM")</f>
        <v>11:00 AM</v>
      </c>
      <c r="K71" s="8" t="str">
        <f>IFERROR(__xludf.DUMMYFUNCTION("""COMPUTED_VALUE"""),"09F-25L")</f>
        <v>09F-25L</v>
      </c>
      <c r="L71" s="8"/>
      <c r="M71" s="10" t="str">
        <f>IFERROR(VLOOKUP(D71,FacultyList!B:G,6,FALSE),"")</f>
        <v>fakhruddin.gazzali@bracu.ac.bd</v>
      </c>
    </row>
    <row r="72">
      <c r="A72" s="5" t="str">
        <f>IFERROR(__xludf.DUMMYFUNCTION("""COMPUTED_VALUE"""),"CSE221-08")</f>
        <v>CSE221-08</v>
      </c>
      <c r="B72" s="8"/>
      <c r="C72" s="8"/>
      <c r="D72" s="8" t="str">
        <f>IFERROR(__xludf.DUMMYFUNCTION("""COMPUTED_VALUE"""),"DPU")</f>
        <v>DPU</v>
      </c>
      <c r="E72" s="8" t="str">
        <f>IFERROR(__xludf.DUMMYFUNCTION("""COMPUTED_VALUE"""),"SUN+TUE")</f>
        <v>SUN+TUE</v>
      </c>
      <c r="F72" s="8" t="str">
        <f>IFERROR(__xludf.DUMMYFUNCTION("""COMPUTED_VALUE"""),"8:00 AM")</f>
        <v>8:00 AM</v>
      </c>
      <c r="G72" s="9" t="str">
        <f>IFERROR(__xludf.DUMMYFUNCTION("""COMPUTED_VALUE"""),"09A-06C")</f>
        <v>09A-06C</v>
      </c>
      <c r="H72" s="8" t="str">
        <f>IFERROR(__xludf.DUMMYFUNCTION("""COMPUTED_VALUE"""),"ARD,MZW")</f>
        <v>ARD,MZW</v>
      </c>
      <c r="I72" s="8" t="str">
        <f>IFERROR(__xludf.DUMMYFUNCTION("""COMPUTED_VALUE"""),"SAT")</f>
        <v>SAT</v>
      </c>
      <c r="J72" s="8" t="str">
        <f>IFERROR(__xludf.DUMMYFUNCTION("""COMPUTED_VALUE"""),"2:00 PM")</f>
        <v>2:00 PM</v>
      </c>
      <c r="K72" s="8" t="str">
        <f>IFERROR(__xludf.DUMMYFUNCTION("""COMPUTED_VALUE"""),"09B-08L")</f>
        <v>09B-08L</v>
      </c>
      <c r="L72" s="8"/>
      <c r="M72" s="10" t="str">
        <f>IFERROR(VLOOKUP(D72,FacultyList!B:G,6,FALSE),"")</f>
        <v>shoaib.ahmed@bracu.ac.bd</v>
      </c>
    </row>
    <row r="73">
      <c r="A73" s="5" t="str">
        <f>IFERROR(__xludf.DUMMYFUNCTION("""COMPUTED_VALUE"""),"CSE221-09")</f>
        <v>CSE221-09</v>
      </c>
      <c r="B73" s="8"/>
      <c r="C73" s="8"/>
      <c r="D73" s="8" t="str">
        <f>IFERROR(__xludf.DUMMYFUNCTION("""COMPUTED_VALUE"""),"MUNR")</f>
        <v>MUNR</v>
      </c>
      <c r="E73" s="8" t="str">
        <f>IFERROR(__xludf.DUMMYFUNCTION("""COMPUTED_VALUE"""),"SUN+TUE")</f>
        <v>SUN+TUE</v>
      </c>
      <c r="F73" s="8" t="str">
        <f>IFERROR(__xludf.DUMMYFUNCTION("""COMPUTED_VALUE"""),"11:00 AM")</f>
        <v>11:00 AM</v>
      </c>
      <c r="G73" s="9" t="str">
        <f>IFERROR(__xludf.DUMMYFUNCTION("""COMPUTED_VALUE"""),"09H-34C")</f>
        <v>09H-34C</v>
      </c>
      <c r="H73" s="8" t="str">
        <f>IFERROR(__xludf.DUMMYFUNCTION("""COMPUTED_VALUE"""),"CMHH,MZW")</f>
        <v>CMHH,MZW</v>
      </c>
      <c r="I73" s="8" t="str">
        <f>IFERROR(__xludf.DUMMYFUNCTION("""COMPUTED_VALUE"""),"SAT")</f>
        <v>SAT</v>
      </c>
      <c r="J73" s="8" t="str">
        <f>IFERROR(__xludf.DUMMYFUNCTION("""COMPUTED_VALUE"""),"8:00 AM")</f>
        <v>8:00 AM</v>
      </c>
      <c r="K73" s="8" t="str">
        <f>IFERROR(__xludf.DUMMYFUNCTION("""COMPUTED_VALUE"""),"09B-09L")</f>
        <v>09B-09L</v>
      </c>
      <c r="L73" s="8"/>
      <c r="M73" s="10" t="str">
        <f>IFERROR(VLOOKUP(D73,FacultyList!B:G,6,FALSE),"")</f>
        <v>abm.muntasir@bracu.ac.bd</v>
      </c>
    </row>
    <row r="74">
      <c r="A74" s="5" t="str">
        <f>IFERROR(__xludf.DUMMYFUNCTION("""COMPUTED_VALUE"""),"CSE221-10")</f>
        <v>CSE221-10</v>
      </c>
      <c r="B74" s="8"/>
      <c r="C74" s="8"/>
      <c r="D74" s="8" t="str">
        <f>IFERROR(__xludf.DUMMYFUNCTION("""COMPUTED_VALUE"""),"MUNR")</f>
        <v>MUNR</v>
      </c>
      <c r="E74" s="8" t="str">
        <f>IFERROR(__xludf.DUMMYFUNCTION("""COMPUTED_VALUE"""),"SUN+TUE")</f>
        <v>SUN+TUE</v>
      </c>
      <c r="F74" s="8" t="str">
        <f>IFERROR(__xludf.DUMMYFUNCTION("""COMPUTED_VALUE"""),"12:30 PM")</f>
        <v>12:30 PM</v>
      </c>
      <c r="G74" s="9" t="str">
        <f>IFERROR(__xludf.DUMMYFUNCTION("""COMPUTED_VALUE"""),"09H-34C")</f>
        <v>09H-34C</v>
      </c>
      <c r="H74" s="8" t="str">
        <f>IFERROR(__xludf.DUMMYFUNCTION("""COMPUTED_VALUE"""),"TAP,MZW")</f>
        <v>TAP,MZW</v>
      </c>
      <c r="I74" s="8" t="str">
        <f>IFERROR(__xludf.DUMMYFUNCTION("""COMPUTED_VALUE"""),"SAT")</f>
        <v>SAT</v>
      </c>
      <c r="J74" s="8" t="str">
        <f>IFERROR(__xludf.DUMMYFUNCTION("""COMPUTED_VALUE"""),"11:00 AM")</f>
        <v>11:00 AM</v>
      </c>
      <c r="K74" s="8" t="str">
        <f>IFERROR(__xludf.DUMMYFUNCTION("""COMPUTED_VALUE"""),"09B-09L")</f>
        <v>09B-09L</v>
      </c>
      <c r="L74" s="8"/>
      <c r="M74" s="10" t="str">
        <f>IFERROR(VLOOKUP(D74,FacultyList!B:G,6,FALSE),"")</f>
        <v>abm.muntasir@bracu.ac.bd</v>
      </c>
    </row>
    <row r="75">
      <c r="A75" s="5" t="str">
        <f>IFERROR(__xludf.DUMMYFUNCTION("""COMPUTED_VALUE"""),"CSE221-11")</f>
        <v>CSE221-11</v>
      </c>
      <c r="B75" s="8"/>
      <c r="C75" s="8"/>
      <c r="D75" s="8" t="str">
        <f>IFERROR(__xludf.DUMMYFUNCTION("""COMPUTED_VALUE"""),"ANK")</f>
        <v>ANK</v>
      </c>
      <c r="E75" s="8" t="str">
        <f>IFERROR(__xludf.DUMMYFUNCTION("""COMPUTED_VALUE"""),"SUN+TUE")</f>
        <v>SUN+TUE</v>
      </c>
      <c r="F75" s="8" t="str">
        <f>IFERROR(__xludf.DUMMYFUNCTION("""COMPUTED_VALUE"""),"2:00 PM")</f>
        <v>2:00 PM</v>
      </c>
      <c r="G75" s="9" t="str">
        <f>IFERROR(__xludf.DUMMYFUNCTION("""COMPUTED_VALUE"""),"09C-16T")</f>
        <v>09C-16T</v>
      </c>
      <c r="H75" s="8" t="str">
        <f>IFERROR(__xludf.DUMMYFUNCTION("""COMPUTED_VALUE"""),"FDZ,SJM")</f>
        <v>FDZ,SJM</v>
      </c>
      <c r="I75" s="8" t="str">
        <f>IFERROR(__xludf.DUMMYFUNCTION("""COMPUTED_VALUE"""),"SAT")</f>
        <v>SAT</v>
      </c>
      <c r="J75" s="8" t="str">
        <f>IFERROR(__xludf.DUMMYFUNCTION("""COMPUTED_VALUE"""),"2:00 PM")</f>
        <v>2:00 PM</v>
      </c>
      <c r="K75" s="8" t="str">
        <f>IFERROR(__xludf.DUMMYFUNCTION("""COMPUTED_VALUE"""),"09B-09L")</f>
        <v>09B-09L</v>
      </c>
      <c r="L75" s="8"/>
      <c r="M75" s="10" t="str">
        <f>IFERROR(VLOOKUP(D75,FacultyList!B:G,6,FALSE),"")</f>
        <v>abdullah.alnakib@bracu.ac.bd</v>
      </c>
    </row>
    <row r="76">
      <c r="A76" s="5" t="str">
        <f>IFERROR(__xludf.DUMMYFUNCTION("""COMPUTED_VALUE"""),"CSE221-12")</f>
        <v>CSE221-12</v>
      </c>
      <c r="B76" s="8"/>
      <c r="C76" s="8"/>
      <c r="D76" s="8" t="str">
        <f>IFERROR(__xludf.DUMMYFUNCTION("""COMPUTED_VALUE"""),"ANK")</f>
        <v>ANK</v>
      </c>
      <c r="E76" s="8" t="str">
        <f>IFERROR(__xludf.DUMMYFUNCTION("""COMPUTED_VALUE"""),"SUN+TUE")</f>
        <v>SUN+TUE</v>
      </c>
      <c r="F76" s="8" t="str">
        <f>IFERROR(__xludf.DUMMYFUNCTION("""COMPUTED_VALUE"""),"2:00 PM")</f>
        <v>2:00 PM</v>
      </c>
      <c r="G76" s="9" t="str">
        <f>IFERROR(__xludf.DUMMYFUNCTION("""COMPUTED_VALUE"""),"09C-16T")</f>
        <v>09C-16T</v>
      </c>
      <c r="H76" s="8" t="str">
        <f>IFERROR(__xludf.DUMMYFUNCTION("""COMPUTED_VALUE"""),"ASRF,FDZ")</f>
        <v>ASRF,FDZ</v>
      </c>
      <c r="I76" s="8" t="str">
        <f>IFERROR(__xludf.DUMMYFUNCTION("""COMPUTED_VALUE"""),"SAT")</f>
        <v>SAT</v>
      </c>
      <c r="J76" s="8" t="str">
        <f>IFERROR(__xludf.DUMMYFUNCTION("""COMPUTED_VALUE"""),"8:00 AM")</f>
        <v>8:00 AM</v>
      </c>
      <c r="K76" s="8" t="str">
        <f>IFERROR(__xludf.DUMMYFUNCTION("""COMPUTED_VALUE"""),"09B-10L")</f>
        <v>09B-10L</v>
      </c>
      <c r="L76" s="8"/>
      <c r="M76" s="10" t="str">
        <f>IFERROR(VLOOKUP(D76,FacultyList!B:G,6,FALSE),"")</f>
        <v>abdullah.alnakib@bracu.ac.bd</v>
      </c>
    </row>
    <row r="77">
      <c r="A77" s="5" t="str">
        <f>IFERROR(__xludf.DUMMYFUNCTION("""COMPUTED_VALUE"""),"CSE221-13")</f>
        <v>CSE221-13</v>
      </c>
      <c r="B77" s="8"/>
      <c r="C77" s="8"/>
      <c r="D77" s="8" t="str">
        <f>IFERROR(__xludf.DUMMYFUNCTION("""COMPUTED_VALUE"""),"ANK")</f>
        <v>ANK</v>
      </c>
      <c r="E77" s="8" t="str">
        <f>IFERROR(__xludf.DUMMYFUNCTION("""COMPUTED_VALUE"""),"SUN+TUE")</f>
        <v>SUN+TUE</v>
      </c>
      <c r="F77" s="8" t="str">
        <f>IFERROR(__xludf.DUMMYFUNCTION("""COMPUTED_VALUE"""),"2:00 PM")</f>
        <v>2:00 PM</v>
      </c>
      <c r="G77" s="9" t="str">
        <f>IFERROR(__xludf.DUMMYFUNCTION("""COMPUTED_VALUE"""),"09C-16T")</f>
        <v>09C-16T</v>
      </c>
      <c r="H77" s="8" t="str">
        <f>IFERROR(__xludf.DUMMYFUNCTION("""COMPUTED_VALUE"""),"AKHD,MRIA")</f>
        <v>AKHD,MRIA</v>
      </c>
      <c r="I77" s="8" t="str">
        <f>IFERROR(__xludf.DUMMYFUNCTION("""COMPUTED_VALUE"""),"SAT")</f>
        <v>SAT</v>
      </c>
      <c r="J77" s="8" t="str">
        <f>IFERROR(__xludf.DUMMYFUNCTION("""COMPUTED_VALUE"""),"11:00 AM")</f>
        <v>11:00 AM</v>
      </c>
      <c r="K77" s="8" t="str">
        <f>IFERROR(__xludf.DUMMYFUNCTION("""COMPUTED_VALUE"""),"09B-10L")</f>
        <v>09B-10L</v>
      </c>
      <c r="L77" s="8"/>
      <c r="M77" s="10" t="str">
        <f>IFERROR(VLOOKUP(D77,FacultyList!B:G,6,FALSE),"")</f>
        <v>abdullah.alnakib@bracu.ac.bd</v>
      </c>
    </row>
    <row r="78">
      <c r="A78" s="5" t="str">
        <f>IFERROR(__xludf.DUMMYFUNCTION("""COMPUTED_VALUE"""),"CSE221-14")</f>
        <v>CSE221-14</v>
      </c>
      <c r="B78" s="8"/>
      <c r="C78" s="8"/>
      <c r="D78" s="8" t="str">
        <f>IFERROR(__xludf.DUMMYFUNCTION("""COMPUTED_VALUE"""),"TAP")</f>
        <v>TAP</v>
      </c>
      <c r="E78" s="8" t="str">
        <f>IFERROR(__xludf.DUMMYFUNCTION("""COMPUTED_VALUE"""),"SAT+THU")</f>
        <v>SAT+THU</v>
      </c>
      <c r="F78" s="8" t="str">
        <f>IFERROR(__xludf.DUMMYFUNCTION("""COMPUTED_VALUE"""),"2:00 PM")</f>
        <v>2:00 PM</v>
      </c>
      <c r="G78" s="9" t="str">
        <f>IFERROR(__xludf.DUMMYFUNCTION("""COMPUTED_VALUE"""),"10A-10C")</f>
        <v>10A-10C</v>
      </c>
      <c r="H78" s="8" t="str">
        <f>IFERROR(__xludf.DUMMYFUNCTION("""COMPUTED_VALUE"""),"FGZ,ANK")</f>
        <v>FGZ,ANK</v>
      </c>
      <c r="I78" s="8" t="str">
        <f>IFERROR(__xludf.DUMMYFUNCTION("""COMPUTED_VALUE"""),"SUN")</f>
        <v>SUN</v>
      </c>
      <c r="J78" s="8" t="str">
        <f>IFERROR(__xludf.DUMMYFUNCTION("""COMPUTED_VALUE"""),"11:00 AM")</f>
        <v>11:00 AM</v>
      </c>
      <c r="K78" s="8" t="str">
        <f>IFERROR(__xludf.DUMMYFUNCTION("""COMPUTED_VALUE"""),"09F-24L")</f>
        <v>09F-24L</v>
      </c>
      <c r="L78" s="8"/>
      <c r="M78" s="10" t="str">
        <f>IFERROR(VLOOKUP(D78,FacultyList!B:G,6,FALSE),"")</f>
        <v>tasnim.ahsan@bracu.ac.bd</v>
      </c>
    </row>
    <row r="79">
      <c r="A79" s="5" t="str">
        <f>IFERROR(__xludf.DUMMYFUNCTION("""COMPUTED_VALUE"""),"CSE221-15")</f>
        <v>CSE221-15</v>
      </c>
      <c r="B79" s="8"/>
      <c r="C79" s="8"/>
      <c r="D79" s="8" t="str">
        <f>IFERROR(__xludf.DUMMYFUNCTION("""COMPUTED_VALUE"""),"TAP")</f>
        <v>TAP</v>
      </c>
      <c r="E79" s="11" t="str">
        <f>IFERROR(__xludf.DUMMYFUNCTION("""COMPUTED_VALUE"""),"SAT+THU")</f>
        <v>SAT+THU</v>
      </c>
      <c r="F79" s="8" t="str">
        <f>IFERROR(__xludf.DUMMYFUNCTION("""COMPUTED_VALUE"""),"3:30 PM")</f>
        <v>3:30 PM</v>
      </c>
      <c r="G79" s="9" t="str">
        <f>IFERROR(__xludf.DUMMYFUNCTION("""COMPUTED_VALUE"""),"10A-10C")</f>
        <v>10A-10C</v>
      </c>
      <c r="H79" s="8" t="str">
        <f>IFERROR(__xludf.DUMMYFUNCTION("""COMPUTED_VALUE"""),"ARD,CRHB")</f>
        <v>ARD,CRHB</v>
      </c>
      <c r="I79" s="8" t="str">
        <f>IFERROR(__xludf.DUMMYFUNCTION("""COMPUTED_VALUE"""),"SUN")</f>
        <v>SUN</v>
      </c>
      <c r="J79" s="8" t="str">
        <f>IFERROR(__xludf.DUMMYFUNCTION("""COMPUTED_VALUE"""),"2:00 PM")</f>
        <v>2:00 PM</v>
      </c>
      <c r="K79" s="8" t="str">
        <f>IFERROR(__xludf.DUMMYFUNCTION("""COMPUTED_VALUE"""),"09E-21L")</f>
        <v>09E-21L</v>
      </c>
      <c r="L79" s="8"/>
      <c r="M79" s="10" t="str">
        <f>IFERROR(VLOOKUP(D79,FacultyList!B:G,6,FALSE),"")</f>
        <v>tasnim.ahsan@bracu.ac.bd</v>
      </c>
    </row>
    <row r="80">
      <c r="A80" s="5" t="str">
        <f>IFERROR(__xludf.DUMMYFUNCTION("""COMPUTED_VALUE"""),"CSE221-16")</f>
        <v>CSE221-16</v>
      </c>
      <c r="B80" s="8"/>
      <c r="C80" s="8"/>
      <c r="D80" s="8" t="str">
        <f>IFERROR(__xludf.DUMMYFUNCTION("""COMPUTED_VALUE"""),"AYO")</f>
        <v>AYO</v>
      </c>
      <c r="E80" s="8" t="str">
        <f>IFERROR(__xludf.DUMMYFUNCTION("""COMPUTED_VALUE"""),"MON+WED")</f>
        <v>MON+WED</v>
      </c>
      <c r="F80" s="8" t="str">
        <f>IFERROR(__xludf.DUMMYFUNCTION("""COMPUTED_VALUE"""),"2:00 PM")</f>
        <v>2:00 PM</v>
      </c>
      <c r="G80" s="9" t="str">
        <f>IFERROR(__xludf.DUMMYFUNCTION("""COMPUTED_VALUE"""),"09B-12C")</f>
        <v>09B-12C</v>
      </c>
      <c r="H80" s="8" t="str">
        <f>IFERROR(__xludf.DUMMYFUNCTION("""COMPUTED_VALUE"""),"ANWE,CSYR")</f>
        <v>ANWE,CSYR</v>
      </c>
      <c r="I80" s="8" t="str">
        <f>IFERROR(__xludf.DUMMYFUNCTION("""COMPUTED_VALUE"""),"SAT")</f>
        <v>SAT</v>
      </c>
      <c r="J80" s="8" t="str">
        <f>IFERROR(__xludf.DUMMYFUNCTION("""COMPUTED_VALUE"""),"2:00 PM")</f>
        <v>2:00 PM</v>
      </c>
      <c r="K80" s="8" t="str">
        <f>IFERROR(__xludf.DUMMYFUNCTION("""COMPUTED_VALUE"""),"09B-10L")</f>
        <v>09B-10L</v>
      </c>
      <c r="L80" s="8"/>
      <c r="M80" s="10" t="str">
        <f>IFERROR(VLOOKUP(D80,FacultyList!B:G,6,FALSE),"")</f>
        <v>ariyan.hossain@bracu.ac.bd</v>
      </c>
    </row>
    <row r="81">
      <c r="A81" s="5" t="str">
        <f>IFERROR(__xludf.DUMMYFUNCTION("""COMPUTED_VALUE"""),"CSE221-17")</f>
        <v>CSE221-17</v>
      </c>
      <c r="B81" s="8"/>
      <c r="C81" s="8"/>
      <c r="D81" s="8" t="str">
        <f>IFERROR(__xludf.DUMMYFUNCTION("""COMPUTED_VALUE"""),"AYO")</f>
        <v>AYO</v>
      </c>
      <c r="E81" s="8" t="str">
        <f>IFERROR(__xludf.DUMMYFUNCTION("""COMPUTED_VALUE"""),"MON+WED")</f>
        <v>MON+WED</v>
      </c>
      <c r="F81" s="8" t="str">
        <f>IFERROR(__xludf.DUMMYFUNCTION("""COMPUTED_VALUE"""),"3:30 PM")</f>
        <v>3:30 PM</v>
      </c>
      <c r="G81" s="9" t="str">
        <f>IFERROR(__xludf.DUMMYFUNCTION("""COMPUTED_VALUE"""),"09B-12C")</f>
        <v>09B-12C</v>
      </c>
      <c r="H81" s="8" t="str">
        <f>IFERROR(__xludf.DUMMYFUNCTION("""COMPUTED_VALUE"""),"AROY,CESF")</f>
        <v>AROY,CESF</v>
      </c>
      <c r="I81" s="8" t="str">
        <f>IFERROR(__xludf.DUMMYFUNCTION("""COMPUTED_VALUE"""),"SAT")</f>
        <v>SAT</v>
      </c>
      <c r="J81" s="8" t="str">
        <f>IFERROR(__xludf.DUMMYFUNCTION("""COMPUTED_VALUE"""),"8:00 AM")</f>
        <v>8:00 AM</v>
      </c>
      <c r="K81" s="8" t="str">
        <f>IFERROR(__xludf.DUMMYFUNCTION("""COMPUTED_VALUE"""),"09B-11L")</f>
        <v>09B-11L</v>
      </c>
      <c r="L81" s="8"/>
      <c r="M81" s="10" t="str">
        <f>IFERROR(VLOOKUP(D81,FacultyList!B:G,6,FALSE),"")</f>
        <v>ariyan.hossain@bracu.ac.bd</v>
      </c>
    </row>
    <row r="82">
      <c r="A82" s="5" t="str">
        <f>IFERROR(__xludf.DUMMYFUNCTION("""COMPUTED_VALUE"""),"CSE221-19")</f>
        <v>CSE221-19</v>
      </c>
      <c r="B82" s="8"/>
      <c r="C82" s="8"/>
      <c r="D82" s="8" t="str">
        <f>IFERROR(__xludf.DUMMYFUNCTION("""COMPUTED_VALUE"""),"WHMJ")</f>
        <v>WHMJ</v>
      </c>
      <c r="E82" s="8" t="str">
        <f>IFERROR(__xludf.DUMMYFUNCTION("""COMPUTED_VALUE"""),"SAT+THU")</f>
        <v>SAT+THU</v>
      </c>
      <c r="F82" s="8" t="str">
        <f>IFERROR(__xludf.DUMMYFUNCTION("""COMPUTED_VALUE"""),"12:30 PM")</f>
        <v>12:30 PM</v>
      </c>
      <c r="G82" s="9" t="str">
        <f>IFERROR(__xludf.DUMMYFUNCTION("""COMPUTED_VALUE"""),"09D-18C")</f>
        <v>09D-18C</v>
      </c>
      <c r="H82" s="8" t="str">
        <f>IFERROR(__xludf.DUMMYFUNCTION("""COMPUTED_VALUE"""),"IBA,MZW")</f>
        <v>IBA,MZW</v>
      </c>
      <c r="I82" s="8" t="str">
        <f>IFERROR(__xludf.DUMMYFUNCTION("""COMPUTED_VALUE"""),"SUN")</f>
        <v>SUN</v>
      </c>
      <c r="J82" s="8" t="str">
        <f>IFERROR(__xludf.DUMMYFUNCTION("""COMPUTED_VALUE"""),"11:00 AM")</f>
        <v>11:00 AM</v>
      </c>
      <c r="K82" s="8" t="str">
        <f>IFERROR(__xludf.DUMMYFUNCTION("""COMPUTED_VALUE"""),"09E-22L")</f>
        <v>09E-22L</v>
      </c>
      <c r="L82" s="8"/>
      <c r="M82" s="10" t="str">
        <f>IFERROR(VLOOKUP(D82,FacultyList!B:G,6,FALSE),"")</f>
        <v>wahida.mahjabin@bracu.ac.bd</v>
      </c>
    </row>
    <row r="83">
      <c r="A83" s="5" t="str">
        <f>IFERROR(__xludf.DUMMYFUNCTION("""COMPUTED_VALUE"""),"CSE221-20")</f>
        <v>CSE221-20</v>
      </c>
      <c r="B83" s="8"/>
      <c r="C83" s="8"/>
      <c r="D83" s="8" t="str">
        <f>IFERROR(__xludf.DUMMYFUNCTION("""COMPUTED_VALUE"""),"FBAW")</f>
        <v>FBAW</v>
      </c>
      <c r="E83" s="8" t="str">
        <f>IFERROR(__xludf.DUMMYFUNCTION("""COMPUTED_VALUE"""),"SUN+TUE")</f>
        <v>SUN+TUE</v>
      </c>
      <c r="F83" s="8" t="str">
        <f>IFERROR(__xludf.DUMMYFUNCTION("""COMPUTED_VALUE"""),"11:00 AM")</f>
        <v>11:00 AM</v>
      </c>
      <c r="G83" s="9" t="str">
        <f>IFERROR(__xludf.DUMMYFUNCTION("""COMPUTED_VALUE"""),"10B-15C")</f>
        <v>10B-15C</v>
      </c>
      <c r="H83" s="8" t="str">
        <f>IFERROR(__xludf.DUMMYFUNCTION("""COMPUTED_VALUE"""),"AROY,CESF")</f>
        <v>AROY,CESF</v>
      </c>
      <c r="I83" s="8" t="str">
        <f>IFERROR(__xludf.DUMMYFUNCTION("""COMPUTED_VALUE"""),"SAT")</f>
        <v>SAT</v>
      </c>
      <c r="J83" s="8" t="str">
        <f>IFERROR(__xludf.DUMMYFUNCTION("""COMPUTED_VALUE"""),"11:00 AM")</f>
        <v>11:00 AM</v>
      </c>
      <c r="K83" s="8" t="str">
        <f>IFERROR(__xludf.DUMMYFUNCTION("""COMPUTED_VALUE"""),"09B-11L")</f>
        <v>09B-11L</v>
      </c>
      <c r="L83" s="8"/>
      <c r="M83" s="10" t="str">
        <f>IFERROR(VLOOKUP(D83,FacultyList!B:G,6,FALSE),"")</f>
        <v>faria.awal@bracu.ac.bd</v>
      </c>
    </row>
    <row r="84">
      <c r="A84" s="5" t="str">
        <f>IFERROR(__xludf.DUMMYFUNCTION("""COMPUTED_VALUE"""),"CSE221-21")</f>
        <v>CSE221-21</v>
      </c>
      <c r="B84" s="8"/>
      <c r="C84" s="8"/>
      <c r="D84" s="8" t="str">
        <f>IFERROR(__xludf.DUMMYFUNCTION("""COMPUTED_VALUE"""),"FBAW")</f>
        <v>FBAW</v>
      </c>
      <c r="E84" s="8" t="str">
        <f>IFERROR(__xludf.DUMMYFUNCTION("""COMPUTED_VALUE"""),"SUN+TUE")</f>
        <v>SUN+TUE</v>
      </c>
      <c r="F84" s="8" t="str">
        <f>IFERROR(__xludf.DUMMYFUNCTION("""COMPUTED_VALUE"""),"12:30 PM")</f>
        <v>12:30 PM</v>
      </c>
      <c r="G84" s="9" t="str">
        <f>IFERROR(__xludf.DUMMYFUNCTION("""COMPUTED_VALUE"""),"10B-15C")</f>
        <v>10B-15C</v>
      </c>
      <c r="H84" s="8" t="str">
        <f>IFERROR(__xludf.DUMMYFUNCTION("""COMPUTED_VALUE"""),"CSSA,FBAW")</f>
        <v>CSSA,FBAW</v>
      </c>
      <c r="I84" s="8" t="str">
        <f>IFERROR(__xludf.DUMMYFUNCTION("""COMPUTED_VALUE"""),"SAT")</f>
        <v>SAT</v>
      </c>
      <c r="J84" s="8" t="str">
        <f>IFERROR(__xludf.DUMMYFUNCTION("""COMPUTED_VALUE"""),"2:00 PM")</f>
        <v>2:00 PM</v>
      </c>
      <c r="K84" s="8" t="str">
        <f>IFERROR(__xludf.DUMMYFUNCTION("""COMPUTED_VALUE"""),"09B-11L")</f>
        <v>09B-11L</v>
      </c>
      <c r="L84" s="8"/>
      <c r="M84" s="10" t="str">
        <f>IFERROR(VLOOKUP(D84,FacultyList!B:G,6,FALSE),"")</f>
        <v>faria.awal@bracu.ac.bd</v>
      </c>
    </row>
    <row r="85">
      <c r="A85" s="5" t="str">
        <f>IFERROR(__xludf.DUMMYFUNCTION("""COMPUTED_VALUE"""),"CSE221-22")</f>
        <v>CSE221-22</v>
      </c>
      <c r="B85" s="8"/>
      <c r="C85" s="8"/>
      <c r="D85" s="8" t="str">
        <f>IFERROR(__xludf.DUMMYFUNCTION("""COMPUTED_VALUE"""),"FBAW")</f>
        <v>FBAW</v>
      </c>
      <c r="E85" s="8" t="str">
        <f>IFERROR(__xludf.DUMMYFUNCTION("""COMPUTED_VALUE"""),"SAT+THU")</f>
        <v>SAT+THU</v>
      </c>
      <c r="F85" s="8" t="str">
        <f>IFERROR(__xludf.DUMMYFUNCTION("""COMPUTED_VALUE"""),"11:00 AM")</f>
        <v>11:00 AM</v>
      </c>
      <c r="G85" s="9" t="str">
        <f>IFERROR(__xludf.DUMMYFUNCTION("""COMPUTED_VALUE"""),"09D-17C")</f>
        <v>09D-17C</v>
      </c>
      <c r="H85" s="8" t="str">
        <f>IFERROR(__xludf.DUMMYFUNCTION("""COMPUTED_VALUE"""),"ZLNM,ANWE")</f>
        <v>ZLNM,ANWE</v>
      </c>
      <c r="I85" s="8" t="str">
        <f>IFERROR(__xludf.DUMMYFUNCTION("""COMPUTED_VALUE"""),"SUN")</f>
        <v>SUN</v>
      </c>
      <c r="J85" s="8" t="str">
        <f>IFERROR(__xludf.DUMMYFUNCTION("""COMPUTED_VALUE"""),"2:00 PM")</f>
        <v>2:00 PM</v>
      </c>
      <c r="K85" s="8" t="str">
        <f>IFERROR(__xludf.DUMMYFUNCTION("""COMPUTED_VALUE"""),"09E-22L")</f>
        <v>09E-22L</v>
      </c>
      <c r="L85" s="8"/>
      <c r="M85" s="10" t="str">
        <f>IFERROR(VLOOKUP(D85,FacultyList!B:G,6,FALSE),"")</f>
        <v>faria.awal@bracu.ac.bd</v>
      </c>
    </row>
    <row r="86">
      <c r="A86" s="5" t="str">
        <f>IFERROR(__xludf.DUMMYFUNCTION("""COMPUTED_VALUE"""),"CSE221-23")</f>
        <v>CSE221-23</v>
      </c>
      <c r="B86" s="8"/>
      <c r="C86" s="8"/>
      <c r="D86" s="8" t="str">
        <f>IFERROR(__xludf.DUMMYFUNCTION("""COMPUTED_VALUE"""),"MZG")</f>
        <v>MZG</v>
      </c>
      <c r="E86" s="8" t="str">
        <f>IFERROR(__xludf.DUMMYFUNCTION("""COMPUTED_VALUE"""),"SAT+THU")</f>
        <v>SAT+THU</v>
      </c>
      <c r="F86" s="8" t="str">
        <f>IFERROR(__xludf.DUMMYFUNCTION("""COMPUTED_VALUE"""),"9:30 AM")</f>
        <v>9:30 AM</v>
      </c>
      <c r="G86" s="9" t="str">
        <f>IFERROR(__xludf.DUMMYFUNCTION("""COMPUTED_VALUE"""),"09A-05C")</f>
        <v>09A-05C</v>
      </c>
      <c r="H86" s="8" t="str">
        <f>IFERROR(__xludf.DUMMYFUNCTION("""COMPUTED_VALUE"""),"FBAW,SJM")</f>
        <v>FBAW,SJM</v>
      </c>
      <c r="I86" s="8" t="str">
        <f>IFERROR(__xludf.DUMMYFUNCTION("""COMPUTED_VALUE"""),"SUN")</f>
        <v>SUN</v>
      </c>
      <c r="J86" s="8" t="str">
        <f>IFERROR(__xludf.DUMMYFUNCTION("""COMPUTED_VALUE"""),"8:00 AM")</f>
        <v>8:00 AM</v>
      </c>
      <c r="K86" s="8" t="str">
        <f>IFERROR(__xludf.DUMMYFUNCTION("""COMPUTED_VALUE"""),"09F-24L")</f>
        <v>09F-24L</v>
      </c>
      <c r="L86" s="8"/>
      <c r="M86" s="10" t="str">
        <f>IFERROR(VLOOKUP(D86,FacultyList!B:G,6,FALSE),"")</f>
        <v>ahmed.mayeesha@bracu.ac.bd</v>
      </c>
    </row>
    <row r="87">
      <c r="A87" s="5" t="str">
        <f>IFERROR(__xludf.DUMMYFUNCTION("""COMPUTED_VALUE"""),"CSE230-01")</f>
        <v>CSE230-01</v>
      </c>
      <c r="B87" s="8"/>
      <c r="C87" s="8"/>
      <c r="D87" s="8" t="str">
        <f>IFERROR(__xludf.DUMMYFUNCTION("""COMPUTED_VALUE"""),"NZRF")</f>
        <v>NZRF</v>
      </c>
      <c r="E87" s="8" t="str">
        <f>IFERROR(__xludf.DUMMYFUNCTION("""COMPUTED_VALUE"""),"SUN+TUE")</f>
        <v>SUN+TUE</v>
      </c>
      <c r="F87" s="8" t="str">
        <f>IFERROR(__xludf.DUMMYFUNCTION("""COMPUTED_VALUE"""),"2:00 PM")</f>
        <v>2:00 PM</v>
      </c>
      <c r="G87" s="9" t="str">
        <f>IFERROR(__xludf.DUMMYFUNCTION("""COMPUTED_VALUE"""),"10B-15C")</f>
        <v>10B-15C</v>
      </c>
      <c r="H87" s="8"/>
      <c r="I87" s="8"/>
      <c r="J87" s="8"/>
      <c r="K87" s="8"/>
      <c r="L87" s="8"/>
      <c r="M87" s="10" t="str">
        <f>IFERROR(VLOOKUP(D87,FacultyList!B:G,6,FALSE),"")</f>
        <v>niaz.ashraf@bracu.ac.bd</v>
      </c>
    </row>
    <row r="88">
      <c r="A88" s="5" t="str">
        <f>IFERROR(__xludf.DUMMYFUNCTION("""COMPUTED_VALUE"""),"CSE230-02")</f>
        <v>CSE230-02</v>
      </c>
      <c r="B88" s="8"/>
      <c r="C88" s="8"/>
      <c r="D88" s="8" t="str">
        <f>IFERROR(__xludf.DUMMYFUNCTION("""COMPUTED_VALUE"""),"NZRF")</f>
        <v>NZRF</v>
      </c>
      <c r="E88" s="8" t="str">
        <f>IFERROR(__xludf.DUMMYFUNCTION("""COMPUTED_VALUE"""),"SUN+TUE")</f>
        <v>SUN+TUE</v>
      </c>
      <c r="F88" s="8" t="str">
        <f>IFERROR(__xludf.DUMMYFUNCTION("""COMPUTED_VALUE"""),"3:30 PM")</f>
        <v>3:30 PM</v>
      </c>
      <c r="G88" s="9" t="str">
        <f>IFERROR(__xludf.DUMMYFUNCTION("""COMPUTED_VALUE"""),"10B-15C")</f>
        <v>10B-15C</v>
      </c>
      <c r="H88" s="8"/>
      <c r="I88" s="8"/>
      <c r="J88" s="8"/>
      <c r="K88" s="8"/>
      <c r="L88" s="8"/>
      <c r="M88" s="10" t="str">
        <f>IFERROR(VLOOKUP(D88,FacultyList!B:G,6,FALSE),"")</f>
        <v>niaz.ashraf@bracu.ac.bd</v>
      </c>
    </row>
    <row r="89">
      <c r="A89" s="5" t="str">
        <f>IFERROR(__xludf.DUMMYFUNCTION("""COMPUTED_VALUE"""),"CSE230-03")</f>
        <v>CSE230-03</v>
      </c>
      <c r="B89" s="8"/>
      <c r="C89" s="8"/>
      <c r="D89" s="8" t="str">
        <f>IFERROR(__xludf.DUMMYFUNCTION("""COMPUTED_VALUE"""),"NZRF")</f>
        <v>NZRF</v>
      </c>
      <c r="E89" s="8" t="str">
        <f>IFERROR(__xludf.DUMMYFUNCTION("""COMPUTED_VALUE"""),"MON+WED")</f>
        <v>MON+WED</v>
      </c>
      <c r="F89" s="8" t="str">
        <f>IFERROR(__xludf.DUMMYFUNCTION("""COMPUTED_VALUE"""),"3:30 PM")</f>
        <v>3:30 PM</v>
      </c>
      <c r="G89" s="9" t="str">
        <f>IFERROR(__xludf.DUMMYFUNCTION("""COMPUTED_VALUE"""),"10B-13C")</f>
        <v>10B-13C</v>
      </c>
      <c r="H89" s="8"/>
      <c r="I89" s="8"/>
      <c r="J89" s="8"/>
      <c r="K89" s="8"/>
      <c r="L89" s="8"/>
      <c r="M89" s="10" t="str">
        <f>IFERROR(VLOOKUP(D89,FacultyList!B:G,6,FALSE),"")</f>
        <v>niaz.ashraf@bracu.ac.bd</v>
      </c>
    </row>
    <row r="90">
      <c r="A90" s="5" t="str">
        <f>IFERROR(__xludf.DUMMYFUNCTION("""COMPUTED_VALUE"""),"CSE230-04")</f>
        <v>CSE230-04</v>
      </c>
      <c r="B90" s="8"/>
      <c r="C90" s="8"/>
      <c r="D90" s="8" t="str">
        <f>IFERROR(__xludf.DUMMYFUNCTION("""COMPUTED_VALUE"""),"TSM")</f>
        <v>TSM</v>
      </c>
      <c r="E90" s="8" t="str">
        <f>IFERROR(__xludf.DUMMYFUNCTION("""COMPUTED_VALUE"""),"MON+WED")</f>
        <v>MON+WED</v>
      </c>
      <c r="F90" s="8" t="str">
        <f>IFERROR(__xludf.DUMMYFUNCTION("""COMPUTED_VALUE"""),"9:30 AM")</f>
        <v>9:30 AM</v>
      </c>
      <c r="G90" s="9" t="str">
        <f>IFERROR(__xludf.DUMMYFUNCTION("""COMPUTED_VALUE"""),"10B-15C")</f>
        <v>10B-15C</v>
      </c>
      <c r="H90" s="8"/>
      <c r="I90" s="8"/>
      <c r="J90" s="8"/>
      <c r="K90" s="8"/>
      <c r="L90" s="8"/>
      <c r="M90" s="10" t="str">
        <f>IFERROR(VLOOKUP(D90,FacultyList!B:G,6,FALSE),"")</f>
        <v>mirza.mugdho@bracu.ac.bd</v>
      </c>
    </row>
    <row r="91">
      <c r="A91" s="5" t="str">
        <f>IFERROR(__xludf.DUMMYFUNCTION("""COMPUTED_VALUE"""),"CSE230-05")</f>
        <v>CSE230-05</v>
      </c>
      <c r="B91" s="8"/>
      <c r="C91" s="8"/>
      <c r="D91" s="8" t="str">
        <f>IFERROR(__xludf.DUMMYFUNCTION("""COMPUTED_VALUE"""),"TSM")</f>
        <v>TSM</v>
      </c>
      <c r="E91" s="8" t="str">
        <f>IFERROR(__xludf.DUMMYFUNCTION("""COMPUTED_VALUE"""),"SUN+TUE")</f>
        <v>SUN+TUE</v>
      </c>
      <c r="F91" s="8" t="str">
        <f>IFERROR(__xludf.DUMMYFUNCTION("""COMPUTED_VALUE"""),"11:00 AM")</f>
        <v>11:00 AM</v>
      </c>
      <c r="G91" s="9" t="str">
        <f>IFERROR(__xludf.DUMMYFUNCTION("""COMPUTED_VALUE"""),"10B-13C")</f>
        <v>10B-13C</v>
      </c>
      <c r="H91" s="8"/>
      <c r="I91" s="8"/>
      <c r="J91" s="8"/>
      <c r="K91" s="8"/>
      <c r="L91" s="8"/>
      <c r="M91" s="10" t="str">
        <f>IFERROR(VLOOKUP(D91,FacultyList!B:G,6,FALSE),"")</f>
        <v>mirza.mugdho@bracu.ac.bd</v>
      </c>
    </row>
    <row r="92">
      <c r="A92" s="5" t="str">
        <f>IFERROR(__xludf.DUMMYFUNCTION("""COMPUTED_VALUE"""),"CSE230-06")</f>
        <v>CSE230-06</v>
      </c>
      <c r="B92" s="8"/>
      <c r="C92" s="8"/>
      <c r="D92" s="8" t="str">
        <f>IFERROR(__xludf.DUMMYFUNCTION("""COMPUTED_VALUE"""),"TSM")</f>
        <v>TSM</v>
      </c>
      <c r="E92" s="8" t="str">
        <f>IFERROR(__xludf.DUMMYFUNCTION("""COMPUTED_VALUE"""),"SUN+TUE")</f>
        <v>SUN+TUE</v>
      </c>
      <c r="F92" s="8" t="str">
        <f>IFERROR(__xludf.DUMMYFUNCTION("""COMPUTED_VALUE"""),"12:30 PM")</f>
        <v>12:30 PM</v>
      </c>
      <c r="G92" s="9" t="str">
        <f>IFERROR(__xludf.DUMMYFUNCTION("""COMPUTED_VALUE"""),"10B-13C")</f>
        <v>10B-13C</v>
      </c>
      <c r="H92" s="8"/>
      <c r="I92" s="8"/>
      <c r="J92" s="8"/>
      <c r="K92" s="8"/>
      <c r="L92" s="8"/>
      <c r="M92" s="10" t="str">
        <f>IFERROR(VLOOKUP(D92,FacultyList!B:G,6,FALSE),"")</f>
        <v>mirza.mugdho@bracu.ac.bd</v>
      </c>
    </row>
    <row r="93">
      <c r="A93" s="5" t="str">
        <f>IFERROR(__xludf.DUMMYFUNCTION("""COMPUTED_VALUE"""),"CSE230-07")</f>
        <v>CSE230-07</v>
      </c>
      <c r="B93" s="8"/>
      <c r="C93" s="8"/>
      <c r="D93" s="8" t="str">
        <f>IFERROR(__xludf.DUMMYFUNCTION("""COMPUTED_VALUE"""),"AVB")</f>
        <v>AVB</v>
      </c>
      <c r="E93" s="8" t="str">
        <f>IFERROR(__xludf.DUMMYFUNCTION("""COMPUTED_VALUE"""),"SAT+THU")</f>
        <v>SAT+THU</v>
      </c>
      <c r="F93" s="8" t="str">
        <f>IFERROR(__xludf.DUMMYFUNCTION("""COMPUTED_VALUE"""),"12:30 PM")</f>
        <v>12:30 PM</v>
      </c>
      <c r="G93" s="9" t="str">
        <f>IFERROR(__xludf.DUMMYFUNCTION("""COMPUTED_VALUE"""),"10B-13C")</f>
        <v>10B-13C</v>
      </c>
      <c r="H93" s="8"/>
      <c r="I93" s="8"/>
      <c r="J93" s="8"/>
      <c r="K93" s="8"/>
      <c r="L93" s="8"/>
      <c r="M93" s="10" t="str">
        <f>IFERROR(VLOOKUP(D93,FacultyList!B:G,6,FALSE),"")</f>
        <v>avinandan@bracu.ac.bd</v>
      </c>
    </row>
    <row r="94">
      <c r="A94" s="5" t="str">
        <f>IFERROR(__xludf.DUMMYFUNCTION("""COMPUTED_VALUE"""),"CSE230-08")</f>
        <v>CSE230-08</v>
      </c>
      <c r="B94" s="8"/>
      <c r="C94" s="8"/>
      <c r="D94" s="8" t="str">
        <f>IFERROR(__xludf.DUMMYFUNCTION("""COMPUTED_VALUE"""),"ANWE")</f>
        <v>ANWE</v>
      </c>
      <c r="E94" s="8" t="str">
        <f>IFERROR(__xludf.DUMMYFUNCTION("""COMPUTED_VALUE"""),"SUN+TUE")</f>
        <v>SUN+TUE</v>
      </c>
      <c r="F94" s="8" t="str">
        <f>IFERROR(__xludf.DUMMYFUNCTION("""COMPUTED_VALUE"""),"8:00 AM")</f>
        <v>8:00 AM</v>
      </c>
      <c r="G94" s="9" t="str">
        <f>IFERROR(__xludf.DUMMYFUNCTION("""COMPUTED_VALUE"""),"07F-22C")</f>
        <v>07F-22C</v>
      </c>
      <c r="H94" s="8"/>
      <c r="I94" s="8"/>
      <c r="J94" s="8"/>
      <c r="K94" s="8"/>
      <c r="L94" s="8"/>
      <c r="M94" s="10" t="str">
        <f>IFERROR(VLOOKUP(D94,FacultyList!B:G,6,FALSE),"")</f>
        <v>abdullah.nayem@bracu.ac.bd</v>
      </c>
    </row>
    <row r="95">
      <c r="A95" s="5" t="str">
        <f>IFERROR(__xludf.DUMMYFUNCTION("""COMPUTED_VALUE"""),"CSE230-09")</f>
        <v>CSE230-09</v>
      </c>
      <c r="B95" s="8"/>
      <c r="C95" s="8"/>
      <c r="D95" s="8" t="str">
        <f>IFERROR(__xludf.DUMMYFUNCTION("""COMPUTED_VALUE"""),"FIC")</f>
        <v>FIC</v>
      </c>
      <c r="E95" s="8" t="str">
        <f>IFERROR(__xludf.DUMMYFUNCTION("""COMPUTED_VALUE"""),"SUN+TUE")</f>
        <v>SUN+TUE</v>
      </c>
      <c r="F95" s="8" t="str">
        <f>IFERROR(__xludf.DUMMYFUNCTION("""COMPUTED_VALUE"""),"11:00 AM")</f>
        <v>11:00 AM</v>
      </c>
      <c r="G95" s="9" t="str">
        <f>IFERROR(__xludf.DUMMYFUNCTION("""COMPUTED_VALUE"""),"09A-03C")</f>
        <v>09A-03C</v>
      </c>
      <c r="H95" s="8"/>
      <c r="I95" s="8"/>
      <c r="J95" s="8"/>
      <c r="K95" s="8"/>
      <c r="L95" s="8"/>
      <c r="M95" s="10" t="str">
        <f>IFERROR(VLOOKUP(D95,FacultyList!B:G,6,FALSE),"")</f>
        <v>fatiha.ishrar@bracu.ac.bd</v>
      </c>
    </row>
    <row r="96">
      <c r="A96" s="5" t="str">
        <f>IFERROR(__xludf.DUMMYFUNCTION("""COMPUTED_VALUE"""),"CSE230-10")</f>
        <v>CSE230-10</v>
      </c>
      <c r="B96" s="8"/>
      <c r="C96" s="8"/>
      <c r="D96" s="8" t="str">
        <f>IFERROR(__xludf.DUMMYFUNCTION("""COMPUTED_VALUE"""),"PSMD")</f>
        <v>PSMD</v>
      </c>
      <c r="E96" s="8" t="str">
        <f>IFERROR(__xludf.DUMMYFUNCTION("""COMPUTED_VALUE"""),"MON+WED")</f>
        <v>MON+WED</v>
      </c>
      <c r="F96" s="8" t="str">
        <f>IFERROR(__xludf.DUMMYFUNCTION("""COMPUTED_VALUE"""),"12:30 PM")</f>
        <v>12:30 PM</v>
      </c>
      <c r="G96" s="9" t="str">
        <f>IFERROR(__xludf.DUMMYFUNCTION("""COMPUTED_VALUE"""),"09A-06C")</f>
        <v>09A-06C</v>
      </c>
      <c r="H96" s="8"/>
      <c r="I96" s="8"/>
      <c r="J96" s="8"/>
      <c r="K96" s="8"/>
      <c r="L96" s="8"/>
      <c r="M96" s="10" t="str">
        <f>IFERROR(VLOOKUP(D96,FacultyList!B:G,6,FALSE),"")</f>
        <v>prothito.shovon@bracu.ac.bd</v>
      </c>
    </row>
    <row r="97">
      <c r="A97" s="5" t="str">
        <f>IFERROR(__xludf.DUMMYFUNCTION("""COMPUTED_VALUE"""),"CSE230-11")</f>
        <v>CSE230-11</v>
      </c>
      <c r="B97" s="8"/>
      <c r="C97" s="8"/>
      <c r="D97" s="8" t="str">
        <f>IFERROR(__xludf.DUMMYFUNCTION("""COMPUTED_VALUE"""),"PSMD")</f>
        <v>PSMD</v>
      </c>
      <c r="E97" s="8" t="str">
        <f>IFERROR(__xludf.DUMMYFUNCTION("""COMPUTED_VALUE"""),"MON+WED")</f>
        <v>MON+WED</v>
      </c>
      <c r="F97" s="8" t="str">
        <f>IFERROR(__xludf.DUMMYFUNCTION("""COMPUTED_VALUE"""),"2:00 PM")</f>
        <v>2:00 PM</v>
      </c>
      <c r="G97" s="9" t="str">
        <f>IFERROR(__xludf.DUMMYFUNCTION("""COMPUTED_VALUE"""),"09A-06C")</f>
        <v>09A-06C</v>
      </c>
      <c r="H97" s="8"/>
      <c r="I97" s="8"/>
      <c r="J97" s="8"/>
      <c r="K97" s="8"/>
      <c r="L97" s="8"/>
      <c r="M97" s="10" t="str">
        <f>IFERROR(VLOOKUP(D97,FacultyList!B:G,6,FALSE),"")</f>
        <v>prothito.shovon@bracu.ac.bd</v>
      </c>
    </row>
    <row r="98">
      <c r="A98" s="5" t="str">
        <f>IFERROR(__xludf.DUMMYFUNCTION("""COMPUTED_VALUE"""),"CSE230-12")</f>
        <v>CSE230-12</v>
      </c>
      <c r="B98" s="8"/>
      <c r="C98" s="8"/>
      <c r="D98" s="8" t="str">
        <f>IFERROR(__xludf.DUMMYFUNCTION("""COMPUTED_VALUE"""),"QUZA")</f>
        <v>QUZA</v>
      </c>
      <c r="E98" s="8" t="str">
        <f>IFERROR(__xludf.DUMMYFUNCTION("""COMPUTED_VALUE"""),"SUN+TUE")</f>
        <v>SUN+TUE</v>
      </c>
      <c r="F98" s="8" t="str">
        <f>IFERROR(__xludf.DUMMYFUNCTION("""COMPUTED_VALUE"""),"9:30 AM")</f>
        <v>9:30 AM</v>
      </c>
      <c r="G98" s="9" t="str">
        <f>IFERROR(__xludf.DUMMYFUNCTION("""COMPUTED_VALUE"""),"09B-12C")</f>
        <v>09B-12C</v>
      </c>
      <c r="H98" s="8"/>
      <c r="I98" s="8"/>
      <c r="J98" s="8"/>
      <c r="K98" s="8"/>
      <c r="L98" s="8"/>
      <c r="M98" s="10" t="str">
        <f>IFERROR(VLOOKUP(D98,FacultyList!B:G,6,FALSE),"")</f>
        <v>quazi.ashikur@bracu.ac.bd</v>
      </c>
    </row>
    <row r="99">
      <c r="A99" s="5" t="str">
        <f>IFERROR(__xludf.DUMMYFUNCTION("""COMPUTED_VALUE"""),"CSE230-13")</f>
        <v>CSE230-13</v>
      </c>
      <c r="B99" s="8"/>
      <c r="C99" s="8"/>
      <c r="D99" s="8" t="str">
        <f>IFERROR(__xludf.DUMMYFUNCTION("""COMPUTED_VALUE"""),"QUZA")</f>
        <v>QUZA</v>
      </c>
      <c r="E99" s="8" t="str">
        <f>IFERROR(__xludf.DUMMYFUNCTION("""COMPUTED_VALUE"""),"SUN+TUE")</f>
        <v>SUN+TUE</v>
      </c>
      <c r="F99" s="8" t="str">
        <f>IFERROR(__xludf.DUMMYFUNCTION("""COMPUTED_VALUE"""),"11:00 AM")</f>
        <v>11:00 AM</v>
      </c>
      <c r="G99" s="9" t="str">
        <f>IFERROR(__xludf.DUMMYFUNCTION("""COMPUTED_VALUE"""),"09B-12C")</f>
        <v>09B-12C</v>
      </c>
      <c r="H99" s="8"/>
      <c r="I99" s="8"/>
      <c r="J99" s="8"/>
      <c r="K99" s="8"/>
      <c r="L99" s="8"/>
      <c r="M99" s="10" t="str">
        <f>IFERROR(VLOOKUP(D99,FacultyList!B:G,6,FALSE),"")</f>
        <v>quazi.ashikur@bracu.ac.bd</v>
      </c>
    </row>
    <row r="100">
      <c r="A100" s="5" t="str">
        <f>IFERROR(__xludf.DUMMYFUNCTION("""COMPUTED_VALUE"""),"CSE230-14")</f>
        <v>CSE230-14</v>
      </c>
      <c r="B100" s="8"/>
      <c r="C100" s="8"/>
      <c r="D100" s="8" t="str">
        <f>IFERROR(__xludf.DUMMYFUNCTION("""COMPUTED_VALUE"""),"FARS")</f>
        <v>FARS</v>
      </c>
      <c r="E100" s="8" t="str">
        <f>IFERROR(__xludf.DUMMYFUNCTION("""COMPUTED_VALUE"""),"SUN+TUE")</f>
        <v>SUN+TUE</v>
      </c>
      <c r="F100" s="8" t="str">
        <f>IFERROR(__xludf.DUMMYFUNCTION("""COMPUTED_VALUE"""),"9:30 AM")</f>
        <v>9:30 AM</v>
      </c>
      <c r="G100" s="9" t="str">
        <f>IFERROR(__xludf.DUMMYFUNCTION("""COMPUTED_VALUE"""),"09A-04C")</f>
        <v>09A-04C</v>
      </c>
      <c r="H100" s="8"/>
      <c r="I100" s="8"/>
      <c r="J100" s="8"/>
      <c r="K100" s="8"/>
      <c r="L100" s="8"/>
      <c r="M100" s="10" t="str">
        <f>IFERROR(VLOOKUP(D100,FacultyList!B:G,6,FALSE),"")</f>
        <v>farhan.shahriar@bracu.ac.bd</v>
      </c>
    </row>
    <row r="101">
      <c r="A101" s="5" t="str">
        <f>IFERROR(__xludf.DUMMYFUNCTION("""COMPUTED_VALUE"""),"CSE230-15")</f>
        <v>CSE230-15</v>
      </c>
      <c r="B101" s="8"/>
      <c r="C101" s="8"/>
      <c r="D101" s="8" t="str">
        <f>IFERROR(__xludf.DUMMYFUNCTION("""COMPUTED_VALUE"""),"ANWE")</f>
        <v>ANWE</v>
      </c>
      <c r="E101" s="8" t="str">
        <f>IFERROR(__xludf.DUMMYFUNCTION("""COMPUTED_VALUE"""),"SUN+TUE")</f>
        <v>SUN+TUE</v>
      </c>
      <c r="F101" s="8" t="str">
        <f>IFERROR(__xludf.DUMMYFUNCTION("""COMPUTED_VALUE"""),"9:30 AM")</f>
        <v>9:30 AM</v>
      </c>
      <c r="G101" s="9" t="str">
        <f>IFERROR(__xludf.DUMMYFUNCTION("""COMPUTED_VALUE"""),"07F-22C")</f>
        <v>07F-22C</v>
      </c>
      <c r="H101" s="8"/>
      <c r="I101" s="8"/>
      <c r="J101" s="8"/>
      <c r="K101" s="8"/>
      <c r="L101" s="8"/>
      <c r="M101" s="10" t="str">
        <f>IFERROR(VLOOKUP(D101,FacultyList!B:G,6,FALSE),"")</f>
        <v>abdullah.nayem@bracu.ac.bd</v>
      </c>
    </row>
    <row r="102">
      <c r="A102" s="5" t="str">
        <f>IFERROR(__xludf.DUMMYFUNCTION("""COMPUTED_VALUE"""),"CSE230-16")</f>
        <v>CSE230-16</v>
      </c>
      <c r="B102" s="8"/>
      <c r="C102" s="8"/>
      <c r="D102" s="8" t="str">
        <f>IFERROR(__xludf.DUMMYFUNCTION("""COMPUTED_VALUE"""),"SLAR")</f>
        <v>SLAR</v>
      </c>
      <c r="E102" s="8" t="str">
        <f>IFERROR(__xludf.DUMMYFUNCTION("""COMPUTED_VALUE"""),"SUN+TUE")</f>
        <v>SUN+TUE</v>
      </c>
      <c r="F102" s="8" t="str">
        <f>IFERROR(__xludf.DUMMYFUNCTION("""COMPUTED_VALUE"""),"8:00 AM")</f>
        <v>8:00 AM</v>
      </c>
      <c r="G102" s="9" t="str">
        <f>IFERROR(__xludf.DUMMYFUNCTION("""COMPUTED_VALUE"""),"09C-13C")</f>
        <v>09C-13C</v>
      </c>
      <c r="H102" s="8"/>
      <c r="I102" s="8"/>
      <c r="J102" s="8"/>
      <c r="K102" s="8"/>
      <c r="L102" s="8"/>
      <c r="M102" s="10" t="str">
        <f>IFERROR(VLOOKUP(D102,FacultyList!B:G,6,FALSE),"")</f>
        <v>ext.sadiul.rafi@bracu.ac.bd</v>
      </c>
    </row>
    <row r="103">
      <c r="A103" s="5" t="str">
        <f>IFERROR(__xludf.DUMMYFUNCTION("""COMPUTED_VALUE"""),"CSE250-01A")</f>
        <v>CSE250-01A</v>
      </c>
      <c r="B103" s="8"/>
      <c r="C103" s="8"/>
      <c r="D103" s="8" t="str">
        <f>IFERROR(__xludf.DUMMYFUNCTION("""COMPUTED_VALUE"""),"AKDB")</f>
        <v>AKDB</v>
      </c>
      <c r="E103" s="8" t="str">
        <f>IFERROR(__xludf.DUMMYFUNCTION("""COMPUTED_VALUE"""),"SUN+TUE")</f>
        <v>SUN+TUE</v>
      </c>
      <c r="F103" s="8" t="str">
        <f>IFERROR(__xludf.DUMMYFUNCTION("""COMPUTED_VALUE"""),"9:30 AM")</f>
        <v>9:30 AM</v>
      </c>
      <c r="G103" s="9" t="str">
        <f>IFERROR(__xludf.DUMMYFUNCTION("""COMPUTED_VALUE"""),"10B-17C")</f>
        <v>10B-17C</v>
      </c>
      <c r="H103" s="8" t="str">
        <f>IFERROR(__xludf.DUMMYFUNCTION("""COMPUTED_VALUE"""),"MOM,ALSM")</f>
        <v>MOM,ALSM</v>
      </c>
      <c r="I103" s="8" t="str">
        <f>IFERROR(__xludf.DUMMYFUNCTION("""COMPUTED_VALUE"""),"SAT")</f>
        <v>SAT</v>
      </c>
      <c r="J103" s="8" t="str">
        <f>IFERROR(__xludf.DUMMYFUNCTION("""COMPUTED_VALUE"""),"2:00 PM")</f>
        <v>2:00 PM</v>
      </c>
      <c r="K103" s="8" t="str">
        <f>IFERROR(__xludf.DUMMYFUNCTION("""COMPUTED_VALUE"""),"12B-20L")</f>
        <v>12B-20L</v>
      </c>
      <c r="L103" s="8"/>
      <c r="M103" s="10" t="str">
        <f>IFERROR(VLOOKUP(D103,FacultyList!B:G,6,FALSE),"")</f>
        <v>ext.angkon.deb@bracu.ac.bd</v>
      </c>
    </row>
    <row r="104">
      <c r="A104" s="5" t="str">
        <f>IFERROR(__xludf.DUMMYFUNCTION("""COMPUTED_VALUE"""),"CSE250-01B")</f>
        <v>CSE250-01B</v>
      </c>
      <c r="B104" s="8"/>
      <c r="C104" s="8"/>
      <c r="D104" s="8" t="str">
        <f>IFERROR(__xludf.DUMMYFUNCTION("""COMPUTED_VALUE"""),"AKDB")</f>
        <v>AKDB</v>
      </c>
      <c r="E104" s="8" t="str">
        <f>IFERROR(__xludf.DUMMYFUNCTION("""COMPUTED_VALUE"""),"SUN+TUE")</f>
        <v>SUN+TUE</v>
      </c>
      <c r="F104" s="8" t="str">
        <f>IFERROR(__xludf.DUMMYFUNCTION("""COMPUTED_VALUE"""),"9:30 AM")</f>
        <v>9:30 AM</v>
      </c>
      <c r="G104" s="9" t="str">
        <f>IFERROR(__xludf.DUMMYFUNCTION("""COMPUTED_VALUE"""),"10B-17C")</f>
        <v>10B-17C</v>
      </c>
      <c r="H104" s="8" t="str">
        <f>IFERROR(__xludf.DUMMYFUNCTION("""COMPUTED_VALUE"""),"ZBH,ARA")</f>
        <v>ZBH,ARA</v>
      </c>
      <c r="I104" s="8" t="str">
        <f>IFERROR(__xludf.DUMMYFUNCTION("""COMPUTED_VALUE"""),"SAT")</f>
        <v>SAT</v>
      </c>
      <c r="J104" s="8" t="str">
        <f>IFERROR(__xludf.DUMMYFUNCTION("""COMPUTED_VALUE"""),"2:00 PM")</f>
        <v>2:00 PM</v>
      </c>
      <c r="K104" s="8" t="str">
        <f>IFERROR(__xludf.DUMMYFUNCTION("""COMPUTED_VALUE"""),"12B-20L")</f>
        <v>12B-20L</v>
      </c>
      <c r="L104" s="8"/>
      <c r="M104" s="10" t="str">
        <f>IFERROR(VLOOKUP(D104,FacultyList!B:G,6,FALSE),"")</f>
        <v>ext.angkon.deb@bracu.ac.bd</v>
      </c>
    </row>
    <row r="105">
      <c r="A105" s="5" t="str">
        <f>IFERROR(__xludf.DUMMYFUNCTION("""COMPUTED_VALUE"""),"CSE250-02A")</f>
        <v>CSE250-02A</v>
      </c>
      <c r="B105" s="8"/>
      <c r="C105" s="8"/>
      <c r="D105" s="8" t="str">
        <f>IFERROR(__xludf.DUMMYFUNCTION("""COMPUTED_VALUE"""),"AQT")</f>
        <v>AQT</v>
      </c>
      <c r="E105" s="8" t="str">
        <f>IFERROR(__xludf.DUMMYFUNCTION("""COMPUTED_VALUE"""),"SUN+TUE")</f>
        <v>SUN+TUE</v>
      </c>
      <c r="F105" s="8" t="str">
        <f>IFERROR(__xludf.DUMMYFUNCTION("""COMPUTED_VALUE"""),"12:30 PM")</f>
        <v>12:30 PM</v>
      </c>
      <c r="G105" s="9" t="str">
        <f>IFERROR(__xludf.DUMMYFUNCTION("""COMPUTED_VALUE"""),"10B-17C")</f>
        <v>10B-17C</v>
      </c>
      <c r="H105" s="8" t="str">
        <f>IFERROR(__xludf.DUMMYFUNCTION("""COMPUTED_VALUE"""),"PDS,SEF")</f>
        <v>PDS,SEF</v>
      </c>
      <c r="I105" s="8" t="str">
        <f>IFERROR(__xludf.DUMMYFUNCTION("""COMPUTED_VALUE"""),"THU")</f>
        <v>THU</v>
      </c>
      <c r="J105" s="8" t="str">
        <f>IFERROR(__xludf.DUMMYFUNCTION("""COMPUTED_VALUE"""),"2:00 PM")</f>
        <v>2:00 PM</v>
      </c>
      <c r="K105" s="8" t="str">
        <f>IFERROR(__xludf.DUMMYFUNCTION("""COMPUTED_VALUE"""),"12B-20L")</f>
        <v>12B-20L</v>
      </c>
      <c r="L105" s="8"/>
      <c r="M105" s="10" t="str">
        <f>IFERROR(VLOOKUP(D105,FacultyList!B:G,6,FALSE),"")</f>
        <v>aniqa.tabassum@bracu.ac.bd</v>
      </c>
    </row>
    <row r="106">
      <c r="A106" s="5" t="str">
        <f>IFERROR(__xludf.DUMMYFUNCTION("""COMPUTED_VALUE"""),"CSE250-02B")</f>
        <v>CSE250-02B</v>
      </c>
      <c r="B106" s="8"/>
      <c r="C106" s="8"/>
      <c r="D106" s="8" t="str">
        <f>IFERROR(__xludf.DUMMYFUNCTION("""COMPUTED_VALUE"""),"AQT")</f>
        <v>AQT</v>
      </c>
      <c r="E106" s="8" t="str">
        <f>IFERROR(__xludf.DUMMYFUNCTION("""COMPUTED_VALUE"""),"SUN+TUE")</f>
        <v>SUN+TUE</v>
      </c>
      <c r="F106" s="8" t="str">
        <f>IFERROR(__xludf.DUMMYFUNCTION("""COMPUTED_VALUE"""),"12:30 PM")</f>
        <v>12:30 PM</v>
      </c>
      <c r="G106" s="9" t="str">
        <f>IFERROR(__xludf.DUMMYFUNCTION("""COMPUTED_VALUE"""),"10B-17C")</f>
        <v>10B-17C</v>
      </c>
      <c r="H106" s="8" t="str">
        <f>IFERROR(__xludf.DUMMYFUNCTION("""COMPUTED_VALUE"""),"SDQ,AKDB")</f>
        <v>SDQ,AKDB</v>
      </c>
      <c r="I106" s="8" t="str">
        <f>IFERROR(__xludf.DUMMYFUNCTION("""COMPUTED_VALUE"""),"THU")</f>
        <v>THU</v>
      </c>
      <c r="J106" s="8" t="str">
        <f>IFERROR(__xludf.DUMMYFUNCTION("""COMPUTED_VALUE"""),"2:00 PM")</f>
        <v>2:00 PM</v>
      </c>
      <c r="K106" s="8" t="str">
        <f>IFERROR(__xludf.DUMMYFUNCTION("""COMPUTED_VALUE"""),"12B-20L")</f>
        <v>12B-20L</v>
      </c>
      <c r="L106" s="8"/>
      <c r="M106" s="10" t="str">
        <f>IFERROR(VLOOKUP(D106,FacultyList!B:G,6,FALSE),"")</f>
        <v>aniqa.tabassum@bracu.ac.bd</v>
      </c>
    </row>
    <row r="107">
      <c r="A107" s="5" t="str">
        <f>IFERROR(__xludf.DUMMYFUNCTION("""COMPUTED_VALUE"""),"CSE250-03A")</f>
        <v>CSE250-03A</v>
      </c>
      <c r="B107" s="8"/>
      <c r="C107" s="8"/>
      <c r="D107" s="8" t="str">
        <f>IFERROR(__xludf.DUMMYFUNCTION("""COMPUTED_VALUE"""),"HMH")</f>
        <v>HMH</v>
      </c>
      <c r="E107" s="8" t="str">
        <f>IFERROR(__xludf.DUMMYFUNCTION("""COMPUTED_VALUE"""),"SUN+TUE")</f>
        <v>SUN+TUE</v>
      </c>
      <c r="F107" s="8" t="str">
        <f>IFERROR(__xludf.DUMMYFUNCTION("""COMPUTED_VALUE"""),"2:00 PM")</f>
        <v>2:00 PM</v>
      </c>
      <c r="G107" s="9" t="str">
        <f>IFERROR(__xludf.DUMMYFUNCTION("""COMPUTED_VALUE"""),"10B-17C")</f>
        <v>10B-17C</v>
      </c>
      <c r="H107" s="8" t="str">
        <f>IFERROR(__xludf.DUMMYFUNCTION("""COMPUTED_VALUE"""),"NFS,RAS")</f>
        <v>NFS,RAS</v>
      </c>
      <c r="I107" s="8" t="str">
        <f>IFERROR(__xludf.DUMMYFUNCTION("""COMPUTED_VALUE"""),"MON")</f>
        <v>MON</v>
      </c>
      <c r="J107" s="8" t="str">
        <f>IFERROR(__xludf.DUMMYFUNCTION("""COMPUTED_VALUE"""),"8:00 AM")</f>
        <v>8:00 AM</v>
      </c>
      <c r="K107" s="8" t="str">
        <f>IFERROR(__xludf.DUMMYFUNCTION("""COMPUTED_VALUE"""),"12B-20L")</f>
        <v>12B-20L</v>
      </c>
      <c r="L107" s="8"/>
      <c r="M107" s="10" t="str">
        <f>IFERROR(VLOOKUP(D107,FacultyList!B:G,6,FALSE),"")</f>
        <v>hamidul.hussain@bracu.ac.bd</v>
      </c>
    </row>
    <row r="108">
      <c r="A108" s="5" t="str">
        <f>IFERROR(__xludf.DUMMYFUNCTION("""COMPUTED_VALUE"""),"CSE250-03B")</f>
        <v>CSE250-03B</v>
      </c>
      <c r="B108" s="8"/>
      <c r="C108" s="8"/>
      <c r="D108" s="8" t="str">
        <f>IFERROR(__xludf.DUMMYFUNCTION("""COMPUTED_VALUE"""),"HMH")</f>
        <v>HMH</v>
      </c>
      <c r="E108" s="8" t="str">
        <f>IFERROR(__xludf.DUMMYFUNCTION("""COMPUTED_VALUE"""),"SUN+TUE")</f>
        <v>SUN+TUE</v>
      </c>
      <c r="F108" s="8" t="str">
        <f>IFERROR(__xludf.DUMMYFUNCTION("""COMPUTED_VALUE"""),"2:00 PM")</f>
        <v>2:00 PM</v>
      </c>
      <c r="G108" s="9" t="str">
        <f>IFERROR(__xludf.DUMMYFUNCTION("""COMPUTED_VALUE"""),"10B-17C")</f>
        <v>10B-17C</v>
      </c>
      <c r="H108" s="8" t="str">
        <f>IFERROR(__xludf.DUMMYFUNCTION("""COMPUTED_VALUE"""),"RAO,ZBH")</f>
        <v>RAO,ZBH</v>
      </c>
      <c r="I108" s="8" t="str">
        <f>IFERROR(__xludf.DUMMYFUNCTION("""COMPUTED_VALUE"""),"MON")</f>
        <v>MON</v>
      </c>
      <c r="J108" s="8" t="str">
        <f>IFERROR(__xludf.DUMMYFUNCTION("""COMPUTED_VALUE"""),"8:00 AM")</f>
        <v>8:00 AM</v>
      </c>
      <c r="K108" s="8" t="str">
        <f>IFERROR(__xludf.DUMMYFUNCTION("""COMPUTED_VALUE"""),"12B-20L")</f>
        <v>12B-20L</v>
      </c>
      <c r="L108" s="8"/>
      <c r="M108" s="10" t="str">
        <f>IFERROR(VLOOKUP(D108,FacultyList!B:G,6,FALSE),"")</f>
        <v>hamidul.hussain@bracu.ac.bd</v>
      </c>
    </row>
    <row r="109">
      <c r="A109" s="5" t="str">
        <f>IFERROR(__xludf.DUMMYFUNCTION("""COMPUTED_VALUE"""),"CSE250-04A")</f>
        <v>CSE250-04A</v>
      </c>
      <c r="B109" s="8"/>
      <c r="C109" s="8"/>
      <c r="D109" s="8" t="str">
        <f>IFERROR(__xludf.DUMMYFUNCTION("""COMPUTED_VALUE"""),"NFS")</f>
        <v>NFS</v>
      </c>
      <c r="E109" s="8" t="str">
        <f>IFERROR(__xludf.DUMMYFUNCTION("""COMPUTED_VALUE"""),"SUN+TUE")</f>
        <v>SUN+TUE</v>
      </c>
      <c r="F109" s="8" t="str">
        <f>IFERROR(__xludf.DUMMYFUNCTION("""COMPUTED_VALUE"""),"3:30 PM")</f>
        <v>3:30 PM</v>
      </c>
      <c r="G109" s="9" t="str">
        <f>IFERROR(__xludf.DUMMYFUNCTION("""COMPUTED_VALUE"""),"10B-17C")</f>
        <v>10B-17C</v>
      </c>
      <c r="H109" s="8" t="str">
        <f>IFERROR(__xludf.DUMMYFUNCTION("""COMPUTED_VALUE"""),"PDS,HMH")</f>
        <v>PDS,HMH</v>
      </c>
      <c r="I109" s="8" t="str">
        <f>IFERROR(__xludf.DUMMYFUNCTION("""COMPUTED_VALUE"""),"WED")</f>
        <v>WED</v>
      </c>
      <c r="J109" s="8" t="str">
        <f>IFERROR(__xludf.DUMMYFUNCTION("""COMPUTED_VALUE"""),"11:00 AM")</f>
        <v>11:00 AM</v>
      </c>
      <c r="K109" s="8" t="str">
        <f>IFERROR(__xludf.DUMMYFUNCTION("""COMPUTED_VALUE"""),"12B-20L")</f>
        <v>12B-20L</v>
      </c>
      <c r="L109" s="8"/>
      <c r="M109" s="10" t="str">
        <f>IFERROR(VLOOKUP(D109,FacultyList!B:G,6,FALSE),"")</f>
        <v>ext.nafis.faisal@bracu.ac.bd</v>
      </c>
    </row>
    <row r="110">
      <c r="A110" s="5" t="str">
        <f>IFERROR(__xludf.DUMMYFUNCTION("""COMPUTED_VALUE"""),"CSE250-04B")</f>
        <v>CSE250-04B</v>
      </c>
      <c r="B110" s="8"/>
      <c r="C110" s="8"/>
      <c r="D110" s="8" t="str">
        <f>IFERROR(__xludf.DUMMYFUNCTION("""COMPUTED_VALUE"""),"NFS")</f>
        <v>NFS</v>
      </c>
      <c r="E110" s="8" t="str">
        <f>IFERROR(__xludf.DUMMYFUNCTION("""COMPUTED_VALUE"""),"SUN+TUE")</f>
        <v>SUN+TUE</v>
      </c>
      <c r="F110" s="8" t="str">
        <f>IFERROR(__xludf.DUMMYFUNCTION("""COMPUTED_VALUE"""),"3:30 PM")</f>
        <v>3:30 PM</v>
      </c>
      <c r="G110" s="9" t="str">
        <f>IFERROR(__xludf.DUMMYFUNCTION("""COMPUTED_VALUE"""),"10B-17C")</f>
        <v>10B-17C</v>
      </c>
      <c r="H110" s="8" t="str">
        <f>IFERROR(__xludf.DUMMYFUNCTION("""COMPUTED_VALUE"""),"SDQ,SEF")</f>
        <v>SDQ,SEF</v>
      </c>
      <c r="I110" s="8" t="str">
        <f>IFERROR(__xludf.DUMMYFUNCTION("""COMPUTED_VALUE"""),"WED")</f>
        <v>WED</v>
      </c>
      <c r="J110" s="8" t="str">
        <f>IFERROR(__xludf.DUMMYFUNCTION("""COMPUTED_VALUE"""),"11:00 AM")</f>
        <v>11:00 AM</v>
      </c>
      <c r="K110" s="8" t="str">
        <f>IFERROR(__xludf.DUMMYFUNCTION("""COMPUTED_VALUE"""),"12B-20L")</f>
        <v>12B-20L</v>
      </c>
      <c r="L110" s="8"/>
      <c r="M110" s="10" t="str">
        <f>IFERROR(VLOOKUP(D110,FacultyList!B:G,6,FALSE),"")</f>
        <v>ext.nafis.faisal@bracu.ac.bd</v>
      </c>
    </row>
    <row r="111">
      <c r="A111" s="5" t="str">
        <f>IFERROR(__xludf.DUMMYFUNCTION("""COMPUTED_VALUE"""),"CSE250-05A")</f>
        <v>CSE250-05A</v>
      </c>
      <c r="B111" s="8"/>
      <c r="C111" s="8"/>
      <c r="D111" s="8" t="str">
        <f>IFERROR(__xludf.DUMMYFUNCTION("""COMPUTED_VALUE"""),"ZAZ")</f>
        <v>ZAZ</v>
      </c>
      <c r="E111" s="8" t="str">
        <f>IFERROR(__xludf.DUMMYFUNCTION("""COMPUTED_VALUE"""),"MON+WED")</f>
        <v>MON+WED</v>
      </c>
      <c r="F111" s="8" t="str">
        <f>IFERROR(__xludf.DUMMYFUNCTION("""COMPUTED_VALUE"""),"8:00 AM")</f>
        <v>8:00 AM</v>
      </c>
      <c r="G111" s="9" t="str">
        <f>IFERROR(__xludf.DUMMYFUNCTION("""COMPUTED_VALUE"""),"10B-17C")</f>
        <v>10B-17C</v>
      </c>
      <c r="H111" s="8" t="str">
        <f>IFERROR(__xludf.DUMMYFUNCTION("""COMPUTED_VALUE"""),"TAV,FFR")</f>
        <v>TAV,FFR</v>
      </c>
      <c r="I111" s="8" t="str">
        <f>IFERROR(__xludf.DUMMYFUNCTION("""COMPUTED_VALUE"""),"SUN")</f>
        <v>SUN</v>
      </c>
      <c r="J111" s="8" t="str">
        <f>IFERROR(__xludf.DUMMYFUNCTION("""COMPUTED_VALUE"""),"2:00 PM")</f>
        <v>2:00 PM</v>
      </c>
      <c r="K111" s="8" t="str">
        <f>IFERROR(__xludf.DUMMYFUNCTION("""COMPUTED_VALUE"""),"FT10-01L")</f>
        <v>FT10-01L</v>
      </c>
      <c r="L111" s="8"/>
      <c r="M111" s="10" t="str">
        <f>IFERROR(VLOOKUP(D111,FacultyList!B:G,6,FALSE),"")</f>
        <v>ihzaz.sadik@bracu.ac.bd</v>
      </c>
    </row>
    <row r="112">
      <c r="A112" s="5" t="str">
        <f>IFERROR(__xludf.DUMMYFUNCTION("""COMPUTED_VALUE"""),"CSE250-06A")</f>
        <v>CSE250-06A</v>
      </c>
      <c r="B112" s="8"/>
      <c r="C112" s="8"/>
      <c r="D112" s="8" t="str">
        <f>IFERROR(__xludf.DUMMYFUNCTION("""COMPUTED_VALUE"""),"SDS")</f>
        <v>SDS</v>
      </c>
      <c r="E112" s="8" t="str">
        <f>IFERROR(__xludf.DUMMYFUNCTION("""COMPUTED_VALUE"""),"MON+WED")</f>
        <v>MON+WED</v>
      </c>
      <c r="F112" s="8" t="str">
        <f>IFERROR(__xludf.DUMMYFUNCTION("""COMPUTED_VALUE"""),"11:00 AM")</f>
        <v>11:00 AM</v>
      </c>
      <c r="G112" s="9" t="str">
        <f>IFERROR(__xludf.DUMMYFUNCTION("""COMPUTED_VALUE"""),"10B-17C")</f>
        <v>10B-17C</v>
      </c>
      <c r="H112" s="8" t="str">
        <f>IFERROR(__xludf.DUMMYFUNCTION("""COMPUTED_VALUE"""),"FFR,MHY")</f>
        <v>FFR,MHY</v>
      </c>
      <c r="I112" s="8" t="str">
        <f>IFERROR(__xludf.DUMMYFUNCTION("""COMPUTED_VALUE"""),"SAT")</f>
        <v>SAT</v>
      </c>
      <c r="J112" s="8" t="str">
        <f>IFERROR(__xludf.DUMMYFUNCTION("""COMPUTED_VALUE"""),"8:00 AM")</f>
        <v>8:00 AM</v>
      </c>
      <c r="K112" s="8" t="str">
        <f>IFERROR(__xludf.DUMMYFUNCTION("""COMPUTED_VALUE"""),"12B-20L")</f>
        <v>12B-20L</v>
      </c>
      <c r="L112" s="8"/>
      <c r="M112" s="10" t="str">
        <f>IFERROR(VLOOKUP(D112,FacultyList!B:G,6,FALSE),"")</f>
        <v>shadman.shahriar@bracu.ac.bd</v>
      </c>
    </row>
    <row r="113">
      <c r="A113" s="5" t="str">
        <f>IFERROR(__xludf.DUMMYFUNCTION("""COMPUTED_VALUE"""),"CSE250-06B")</f>
        <v>CSE250-06B</v>
      </c>
      <c r="B113" s="8"/>
      <c r="C113" s="8"/>
      <c r="D113" s="8" t="str">
        <f>IFERROR(__xludf.DUMMYFUNCTION("""COMPUTED_VALUE"""),"SDS")</f>
        <v>SDS</v>
      </c>
      <c r="E113" s="8" t="str">
        <f>IFERROR(__xludf.DUMMYFUNCTION("""COMPUTED_VALUE"""),"MON+WED")</f>
        <v>MON+WED</v>
      </c>
      <c r="F113" s="8" t="str">
        <f>IFERROR(__xludf.DUMMYFUNCTION("""COMPUTED_VALUE"""),"11:00 AM")</f>
        <v>11:00 AM</v>
      </c>
      <c r="G113" s="9" t="str">
        <f>IFERROR(__xludf.DUMMYFUNCTION("""COMPUTED_VALUE"""),"10B-17C")</f>
        <v>10B-17C</v>
      </c>
      <c r="H113" s="8" t="str">
        <f>IFERROR(__xludf.DUMMYFUNCTION("""COMPUTED_VALUE"""),"ALSM,ARA")</f>
        <v>ALSM,ARA</v>
      </c>
      <c r="I113" s="8" t="str">
        <f>IFERROR(__xludf.DUMMYFUNCTION("""COMPUTED_VALUE"""),"SAT")</f>
        <v>SAT</v>
      </c>
      <c r="J113" s="8" t="str">
        <f>IFERROR(__xludf.DUMMYFUNCTION("""COMPUTED_VALUE"""),"8:00 AM")</f>
        <v>8:00 AM</v>
      </c>
      <c r="K113" s="8" t="str">
        <f>IFERROR(__xludf.DUMMYFUNCTION("""COMPUTED_VALUE"""),"12B-20L")</f>
        <v>12B-20L</v>
      </c>
      <c r="L113" s="8"/>
      <c r="M113" s="10" t="str">
        <f>IFERROR(VLOOKUP(D113,FacultyList!B:G,6,FALSE),"")</f>
        <v>shadman.shahriar@bracu.ac.bd</v>
      </c>
    </row>
    <row r="114">
      <c r="A114" s="5" t="str">
        <f>IFERROR(__xludf.DUMMYFUNCTION("""COMPUTED_VALUE"""),"CSE250-07A")</f>
        <v>CSE250-07A</v>
      </c>
      <c r="B114" s="8"/>
      <c r="C114" s="8"/>
      <c r="D114" s="8" t="str">
        <f>IFERROR(__xludf.DUMMYFUNCTION("""COMPUTED_VALUE"""),"AKJ")</f>
        <v>AKJ</v>
      </c>
      <c r="E114" s="8" t="str">
        <f>IFERROR(__xludf.DUMMYFUNCTION("""COMPUTED_VALUE"""),"MON+WED")</f>
        <v>MON+WED</v>
      </c>
      <c r="F114" s="8" t="str">
        <f>IFERROR(__xludf.DUMMYFUNCTION("""COMPUTED_VALUE"""),"2:00 PM")</f>
        <v>2:00 PM</v>
      </c>
      <c r="G114" s="9" t="str">
        <f>IFERROR(__xludf.DUMMYFUNCTION("""COMPUTED_VALUE"""),"10B-17C")</f>
        <v>10B-17C</v>
      </c>
      <c r="H114" s="8" t="str">
        <f>IFERROR(__xludf.DUMMYFUNCTION("""COMPUTED_VALUE"""),"MHY,RFQ")</f>
        <v>MHY,RFQ</v>
      </c>
      <c r="I114" s="8" t="str">
        <f>IFERROR(__xludf.DUMMYFUNCTION("""COMPUTED_VALUE"""),"THU")</f>
        <v>THU</v>
      </c>
      <c r="J114" s="8" t="str">
        <f>IFERROR(__xludf.DUMMYFUNCTION("""COMPUTED_VALUE"""),"8:00 AM")</f>
        <v>8:00 AM</v>
      </c>
      <c r="K114" s="8" t="str">
        <f>IFERROR(__xludf.DUMMYFUNCTION("""COMPUTED_VALUE"""),"12B-20L")</f>
        <v>12B-20L</v>
      </c>
      <c r="L114" s="8"/>
      <c r="M114" s="10" t="str">
        <f>IFERROR(VLOOKUP(D114,FacultyList!B:G,6,FALSE),"")</f>
        <v>anjum.akib@bracu.ac.bd</v>
      </c>
    </row>
    <row r="115">
      <c r="A115" s="5" t="str">
        <f>IFERROR(__xludf.DUMMYFUNCTION("""COMPUTED_VALUE"""),"CSE250-07B")</f>
        <v>CSE250-07B</v>
      </c>
      <c r="B115" s="8"/>
      <c r="C115" s="8"/>
      <c r="D115" s="8" t="str">
        <f>IFERROR(__xludf.DUMMYFUNCTION("""COMPUTED_VALUE"""),"AKJ")</f>
        <v>AKJ</v>
      </c>
      <c r="E115" s="8" t="str">
        <f>IFERROR(__xludf.DUMMYFUNCTION("""COMPUTED_VALUE"""),"MON+WED")</f>
        <v>MON+WED</v>
      </c>
      <c r="F115" s="8" t="str">
        <f>IFERROR(__xludf.DUMMYFUNCTION("""COMPUTED_VALUE"""),"2:00 PM")</f>
        <v>2:00 PM</v>
      </c>
      <c r="G115" s="9" t="str">
        <f>IFERROR(__xludf.DUMMYFUNCTION("""COMPUTED_VALUE"""),"10B-17C")</f>
        <v>10B-17C</v>
      </c>
      <c r="H115" s="8" t="str">
        <f>IFERROR(__xludf.DUMMYFUNCTION("""COMPUTED_VALUE"""),"ZBH,AKDB")</f>
        <v>ZBH,AKDB</v>
      </c>
      <c r="I115" s="8" t="str">
        <f>IFERROR(__xludf.DUMMYFUNCTION("""COMPUTED_VALUE"""),"THU")</f>
        <v>THU</v>
      </c>
      <c r="J115" s="8" t="str">
        <f>IFERROR(__xludf.DUMMYFUNCTION("""COMPUTED_VALUE"""),"8:00 AM")</f>
        <v>8:00 AM</v>
      </c>
      <c r="K115" s="8" t="str">
        <f>IFERROR(__xludf.DUMMYFUNCTION("""COMPUTED_VALUE"""),"12B-20L")</f>
        <v>12B-20L</v>
      </c>
      <c r="L115" s="8"/>
      <c r="M115" s="10" t="str">
        <f>IFERROR(VLOOKUP(D115,FacultyList!B:G,6,FALSE),"")</f>
        <v>anjum.akib@bracu.ac.bd</v>
      </c>
    </row>
    <row r="116">
      <c r="A116" s="5" t="str">
        <f>IFERROR(__xludf.DUMMYFUNCTION("""COMPUTED_VALUE"""),"CSE250-08A")</f>
        <v>CSE250-08A</v>
      </c>
      <c r="B116" s="8"/>
      <c r="C116" s="8"/>
      <c r="D116" s="8" t="str">
        <f>IFERROR(__xludf.DUMMYFUNCTION("""COMPUTED_VALUE"""),"FFR")</f>
        <v>FFR</v>
      </c>
      <c r="E116" s="8" t="str">
        <f>IFERROR(__xludf.DUMMYFUNCTION("""COMPUTED_VALUE"""),"MON+WED")</f>
        <v>MON+WED</v>
      </c>
      <c r="F116" s="8" t="str">
        <f>IFERROR(__xludf.DUMMYFUNCTION("""COMPUTED_VALUE"""),"3:30 PM")</f>
        <v>3:30 PM</v>
      </c>
      <c r="G116" s="9" t="str">
        <f>IFERROR(__xludf.DUMMYFUNCTION("""COMPUTED_VALUE"""),"10B-17C")</f>
        <v>10B-17C</v>
      </c>
      <c r="H116" s="8" t="str">
        <f>IFERROR(__xludf.DUMMYFUNCTION("""COMPUTED_VALUE"""),"FFR,AKDB")</f>
        <v>FFR,AKDB</v>
      </c>
      <c r="I116" s="8" t="str">
        <f>IFERROR(__xludf.DUMMYFUNCTION("""COMPUTED_VALUE"""),"TUE")</f>
        <v>TUE</v>
      </c>
      <c r="J116" s="8" t="str">
        <f>IFERROR(__xludf.DUMMYFUNCTION("""COMPUTED_VALUE"""),"11:00 AM")</f>
        <v>11:00 AM</v>
      </c>
      <c r="K116" s="8" t="str">
        <f>IFERROR(__xludf.DUMMYFUNCTION("""COMPUTED_VALUE"""),"FT10-01L")</f>
        <v>FT10-01L</v>
      </c>
      <c r="L116" s="8"/>
      <c r="M116" s="10" t="str">
        <f>IFERROR(VLOOKUP(D116,FacultyList!B:G,6,FALSE),"")</f>
        <v>md.fatin@bracu.ac.bd</v>
      </c>
    </row>
    <row r="117">
      <c r="A117" s="5" t="str">
        <f>IFERROR(__xludf.DUMMYFUNCTION("""COMPUTED_VALUE"""),"CSE250-08B")</f>
        <v>CSE250-08B</v>
      </c>
      <c r="B117" s="8"/>
      <c r="C117" s="8"/>
      <c r="D117" s="8" t="str">
        <f>IFERROR(__xludf.DUMMYFUNCTION("""COMPUTED_VALUE"""),"FFR")</f>
        <v>FFR</v>
      </c>
      <c r="E117" s="8" t="str">
        <f>IFERROR(__xludf.DUMMYFUNCTION("""COMPUTED_VALUE"""),"MON+WED")</f>
        <v>MON+WED</v>
      </c>
      <c r="F117" s="8" t="str">
        <f>IFERROR(__xludf.DUMMYFUNCTION("""COMPUTED_VALUE"""),"3:30 PM")</f>
        <v>3:30 PM</v>
      </c>
      <c r="G117" s="9" t="str">
        <f>IFERROR(__xludf.DUMMYFUNCTION("""COMPUTED_VALUE"""),"10B-17C")</f>
        <v>10B-17C</v>
      </c>
      <c r="H117" s="8" t="str">
        <f>IFERROR(__xludf.DUMMYFUNCTION("""COMPUTED_VALUE"""),"AKJ,ARA")</f>
        <v>AKJ,ARA</v>
      </c>
      <c r="I117" s="8" t="str">
        <f>IFERROR(__xludf.DUMMYFUNCTION("""COMPUTED_VALUE"""),"TUE")</f>
        <v>TUE</v>
      </c>
      <c r="J117" s="8" t="str">
        <f>IFERROR(__xludf.DUMMYFUNCTION("""COMPUTED_VALUE"""),"11:00 AM")</f>
        <v>11:00 AM</v>
      </c>
      <c r="K117" s="8" t="str">
        <f>IFERROR(__xludf.DUMMYFUNCTION("""COMPUTED_VALUE"""),"FT11-01L")</f>
        <v>FT11-01L</v>
      </c>
      <c r="L117" s="8"/>
      <c r="M117" s="10" t="str">
        <f>IFERROR(VLOOKUP(D117,FacultyList!B:G,6,FALSE),"")</f>
        <v>md.fatin@bracu.ac.bd</v>
      </c>
    </row>
    <row r="118">
      <c r="A118" s="5" t="str">
        <f>IFERROR(__xludf.DUMMYFUNCTION("""COMPUTED_VALUE"""),"CSE250-09A")</f>
        <v>CSE250-09A</v>
      </c>
      <c r="B118" s="8"/>
      <c r="C118" s="8"/>
      <c r="D118" s="8" t="str">
        <f>IFERROR(__xludf.DUMMYFUNCTION("""COMPUTED_VALUE"""),"PDS")</f>
        <v>PDS</v>
      </c>
      <c r="E118" s="8" t="str">
        <f>IFERROR(__xludf.DUMMYFUNCTION("""COMPUTED_VALUE"""),"MON+WED")</f>
        <v>MON+WED</v>
      </c>
      <c r="F118" s="8" t="str">
        <f>IFERROR(__xludf.DUMMYFUNCTION("""COMPUTED_VALUE"""),"3:30 PM")</f>
        <v>3:30 PM</v>
      </c>
      <c r="G118" s="9" t="str">
        <f>IFERROR(__xludf.DUMMYFUNCTION("""COMPUTED_VALUE"""),"07H-26C")</f>
        <v>07H-26C</v>
      </c>
      <c r="H118" s="8" t="str">
        <f>IFERROR(__xludf.DUMMYFUNCTION("""COMPUTED_VALUE"""),"PDS,THL")</f>
        <v>PDS,THL</v>
      </c>
      <c r="I118" s="8" t="str">
        <f>IFERROR(__xludf.DUMMYFUNCTION("""COMPUTED_VALUE"""),"SUN")</f>
        <v>SUN</v>
      </c>
      <c r="J118" s="8" t="str">
        <f>IFERROR(__xludf.DUMMYFUNCTION("""COMPUTED_VALUE"""),"11:00 AM")</f>
        <v>11:00 AM</v>
      </c>
      <c r="K118" s="8" t="str">
        <f>IFERROR(__xludf.DUMMYFUNCTION("""COMPUTED_VALUE"""),"12B-20L")</f>
        <v>12B-20L</v>
      </c>
      <c r="L118" s="8"/>
      <c r="M118" s="10" t="str">
        <f>IFERROR(VLOOKUP(D118,FacultyList!B:G,6,FALSE),"")</f>
        <v>purbayan.das@bracu.ac.bd</v>
      </c>
    </row>
    <row r="119">
      <c r="A119" s="5" t="str">
        <f>IFERROR(__xludf.DUMMYFUNCTION("""COMPUTED_VALUE"""),"CSE250-09B")</f>
        <v>CSE250-09B</v>
      </c>
      <c r="B119" s="8"/>
      <c r="C119" s="8"/>
      <c r="D119" s="8" t="str">
        <f>IFERROR(__xludf.DUMMYFUNCTION("""COMPUTED_VALUE"""),"PDS")</f>
        <v>PDS</v>
      </c>
      <c r="E119" s="8" t="str">
        <f>IFERROR(__xludf.DUMMYFUNCTION("""COMPUTED_VALUE"""),"MON+WED")</f>
        <v>MON+WED</v>
      </c>
      <c r="F119" s="8" t="str">
        <f>IFERROR(__xludf.DUMMYFUNCTION("""COMPUTED_VALUE"""),"3:30 PM")</f>
        <v>3:30 PM</v>
      </c>
      <c r="G119" s="9" t="str">
        <f>IFERROR(__xludf.DUMMYFUNCTION("""COMPUTED_VALUE"""),"07H-26C")</f>
        <v>07H-26C</v>
      </c>
      <c r="H119" s="8" t="str">
        <f>IFERROR(__xludf.DUMMYFUNCTION("""COMPUTED_VALUE"""),"UTS,SDL")</f>
        <v>UTS,SDL</v>
      </c>
      <c r="I119" s="8" t="str">
        <f>IFERROR(__xludf.DUMMYFUNCTION("""COMPUTED_VALUE"""),"SUN")</f>
        <v>SUN</v>
      </c>
      <c r="J119" s="8" t="str">
        <f>IFERROR(__xludf.DUMMYFUNCTION("""COMPUTED_VALUE"""),"11:00 AM")</f>
        <v>11:00 AM</v>
      </c>
      <c r="K119" s="8" t="str">
        <f>IFERROR(__xludf.DUMMYFUNCTION("""COMPUTED_VALUE"""),"12B-20L")</f>
        <v>12B-20L</v>
      </c>
      <c r="L119" s="8"/>
      <c r="M119" s="10" t="str">
        <f>IFERROR(VLOOKUP(D119,FacultyList!B:G,6,FALSE),"")</f>
        <v>purbayan.das@bracu.ac.bd</v>
      </c>
    </row>
    <row r="120">
      <c r="A120" s="5" t="str">
        <f>IFERROR(__xludf.DUMMYFUNCTION("""COMPUTED_VALUE"""),"CSE250-10B")</f>
        <v>CSE250-10B</v>
      </c>
      <c r="B120" s="8"/>
      <c r="C120" s="8"/>
      <c r="D120" s="8" t="str">
        <f>IFERROR(__xludf.DUMMYFUNCTION("""COMPUTED_VALUE"""),"MHY")</f>
        <v>MHY</v>
      </c>
      <c r="E120" s="8" t="str">
        <f>IFERROR(__xludf.DUMMYFUNCTION("""COMPUTED_VALUE"""),"SAT+THU")</f>
        <v>SAT+THU</v>
      </c>
      <c r="F120" s="8" t="str">
        <f>IFERROR(__xludf.DUMMYFUNCTION("""COMPUTED_VALUE"""),"11:00 AM")</f>
        <v>11:00 AM</v>
      </c>
      <c r="G120" s="9" t="str">
        <f>IFERROR(__xludf.DUMMYFUNCTION("""COMPUTED_VALUE"""),"10B-17C")</f>
        <v>10B-17C</v>
      </c>
      <c r="H120" s="8" t="str">
        <f>IFERROR(__xludf.DUMMYFUNCTION("""COMPUTED_VALUE"""),"RAO,ARPD")</f>
        <v>RAO,ARPD</v>
      </c>
      <c r="I120" s="8" t="str">
        <f>IFERROR(__xludf.DUMMYFUNCTION("""COMPUTED_VALUE"""),"TUE")</f>
        <v>TUE</v>
      </c>
      <c r="J120" s="8" t="str">
        <f>IFERROR(__xludf.DUMMYFUNCTION("""COMPUTED_VALUE"""),"8:00 AM")</f>
        <v>8:00 AM</v>
      </c>
      <c r="K120" s="8" t="str">
        <f>IFERROR(__xludf.DUMMYFUNCTION("""COMPUTED_VALUE"""),"FT10-01L")</f>
        <v>FT10-01L</v>
      </c>
      <c r="L120" s="8"/>
      <c r="M120" s="10" t="str">
        <f>IFERROR(VLOOKUP(D120,FacultyList!B:G,6,FALSE),"")</f>
        <v>ext.abu.musa@bracu.ac.bd</v>
      </c>
    </row>
    <row r="121">
      <c r="A121" s="5" t="str">
        <f>IFERROR(__xludf.DUMMYFUNCTION("""COMPUTED_VALUE"""),"CSE250-11A")</f>
        <v>CSE250-11A</v>
      </c>
      <c r="B121" s="8"/>
      <c r="C121" s="8"/>
      <c r="D121" s="8" t="str">
        <f>IFERROR(__xludf.DUMMYFUNCTION("""COMPUTED_VALUE"""),"RFQ")</f>
        <v>RFQ</v>
      </c>
      <c r="E121" s="8" t="str">
        <f>IFERROR(__xludf.DUMMYFUNCTION("""COMPUTED_VALUE"""),"SAT+THU")</f>
        <v>SAT+THU</v>
      </c>
      <c r="F121" s="8" t="str">
        <f>IFERROR(__xludf.DUMMYFUNCTION("""COMPUTED_VALUE"""),"12:30 PM")</f>
        <v>12:30 PM</v>
      </c>
      <c r="G121" s="9" t="str">
        <f>IFERROR(__xludf.DUMMYFUNCTION("""COMPUTED_VALUE"""),"10B-17C")</f>
        <v>10B-17C</v>
      </c>
      <c r="H121" s="8" t="str">
        <f>IFERROR(__xludf.DUMMYFUNCTION("""COMPUTED_VALUE"""),"SDQ,HMH")</f>
        <v>SDQ,HMH</v>
      </c>
      <c r="I121" s="8" t="str">
        <f>IFERROR(__xludf.DUMMYFUNCTION("""COMPUTED_VALUE"""),"MON")</f>
        <v>MON</v>
      </c>
      <c r="J121" s="8" t="str">
        <f>IFERROR(__xludf.DUMMYFUNCTION("""COMPUTED_VALUE"""),"11:00 AM")</f>
        <v>11:00 AM</v>
      </c>
      <c r="K121" s="8" t="str">
        <f>IFERROR(__xludf.DUMMYFUNCTION("""COMPUTED_VALUE"""),"12B-20L")</f>
        <v>12B-20L</v>
      </c>
      <c r="L121" s="8"/>
      <c r="M121" s="10" t="str">
        <f>IFERROR(VLOOKUP(D121,FacultyList!B:G,6,FALSE),"")</f>
        <v>ext.rafatul.haq@bracu.ac.bd</v>
      </c>
    </row>
    <row r="122">
      <c r="A122" s="5" t="str">
        <f>IFERROR(__xludf.DUMMYFUNCTION("""COMPUTED_VALUE"""),"CSE250-11B")</f>
        <v>CSE250-11B</v>
      </c>
      <c r="B122" s="8"/>
      <c r="C122" s="8"/>
      <c r="D122" s="8" t="str">
        <f>IFERROR(__xludf.DUMMYFUNCTION("""COMPUTED_VALUE"""),"RFQ")</f>
        <v>RFQ</v>
      </c>
      <c r="E122" s="8" t="str">
        <f>IFERROR(__xludf.DUMMYFUNCTION("""COMPUTED_VALUE"""),"SAT+THU")</f>
        <v>SAT+THU</v>
      </c>
      <c r="F122" s="8" t="str">
        <f>IFERROR(__xludf.DUMMYFUNCTION("""COMPUTED_VALUE"""),"12:30 PM")</f>
        <v>12:30 PM</v>
      </c>
      <c r="G122" s="9" t="str">
        <f>IFERROR(__xludf.DUMMYFUNCTION("""COMPUTED_VALUE"""),"10B-17C")</f>
        <v>10B-17C</v>
      </c>
      <c r="H122" s="8" t="str">
        <f>IFERROR(__xludf.DUMMYFUNCTION("""COMPUTED_VALUE"""),"AQT,MHY")</f>
        <v>AQT,MHY</v>
      </c>
      <c r="I122" s="8" t="str">
        <f>IFERROR(__xludf.DUMMYFUNCTION("""COMPUTED_VALUE"""),"MON")</f>
        <v>MON</v>
      </c>
      <c r="J122" s="8" t="str">
        <f>IFERROR(__xludf.DUMMYFUNCTION("""COMPUTED_VALUE"""),"11:00 AM")</f>
        <v>11:00 AM</v>
      </c>
      <c r="K122" s="8" t="str">
        <f>IFERROR(__xludf.DUMMYFUNCTION("""COMPUTED_VALUE"""),"12B-20L")</f>
        <v>12B-20L</v>
      </c>
      <c r="L122" s="8"/>
      <c r="M122" s="10" t="str">
        <f>IFERROR(VLOOKUP(D122,FacultyList!B:G,6,FALSE),"")</f>
        <v>ext.rafatul.haq@bracu.ac.bd</v>
      </c>
    </row>
    <row r="123">
      <c r="A123" s="5" t="str">
        <f>IFERROR(__xludf.DUMMYFUNCTION("""COMPUTED_VALUE"""),"CSE250-12A")</f>
        <v>CSE250-12A</v>
      </c>
      <c r="B123" s="8"/>
      <c r="C123" s="8"/>
      <c r="D123" s="8" t="str">
        <f>IFERROR(__xludf.DUMMYFUNCTION("""COMPUTED_VALUE"""),"SDL")</f>
        <v>SDL</v>
      </c>
      <c r="E123" s="8" t="str">
        <f>IFERROR(__xludf.DUMMYFUNCTION("""COMPUTED_VALUE"""),"SAT+THU")</f>
        <v>SAT+THU</v>
      </c>
      <c r="F123" s="8" t="str">
        <f>IFERROR(__xludf.DUMMYFUNCTION("""COMPUTED_VALUE"""),"2:00 PM")</f>
        <v>2:00 PM</v>
      </c>
      <c r="G123" s="9" t="str">
        <f>IFERROR(__xludf.DUMMYFUNCTION("""COMPUTED_VALUE"""),"10B-17C")</f>
        <v>10B-17C</v>
      </c>
      <c r="H123" s="8" t="str">
        <f>IFERROR(__xludf.DUMMYFUNCTION("""COMPUTED_VALUE"""),"HMH,ARA")</f>
        <v>HMH,ARA</v>
      </c>
      <c r="I123" s="8" t="str">
        <f>IFERROR(__xludf.DUMMYFUNCTION("""COMPUTED_VALUE"""),"WED")</f>
        <v>WED</v>
      </c>
      <c r="J123" s="8" t="str">
        <f>IFERROR(__xludf.DUMMYFUNCTION("""COMPUTED_VALUE"""),"2:00 PM")</f>
        <v>2:00 PM</v>
      </c>
      <c r="K123" s="8" t="str">
        <f>IFERROR(__xludf.DUMMYFUNCTION("""COMPUTED_VALUE"""),"12B-20L")</f>
        <v>12B-20L</v>
      </c>
      <c r="L123" s="8"/>
      <c r="M123" s="10" t="str">
        <f>IFERROR(VLOOKUP(D123,FacultyList!B:G,6,FALSE),"")</f>
        <v>shadmin.sultana@bracu.ac.bd</v>
      </c>
    </row>
    <row r="124">
      <c r="A124" s="5" t="str">
        <f>IFERROR(__xludf.DUMMYFUNCTION("""COMPUTED_VALUE"""),"CSE250-12B")</f>
        <v>CSE250-12B</v>
      </c>
      <c r="B124" s="8"/>
      <c r="C124" s="8"/>
      <c r="D124" s="8" t="str">
        <f>IFERROR(__xludf.DUMMYFUNCTION("""COMPUTED_VALUE"""),"SDL")</f>
        <v>SDL</v>
      </c>
      <c r="E124" s="8" t="str">
        <f>IFERROR(__xludf.DUMMYFUNCTION("""COMPUTED_VALUE"""),"SAT+THU")</f>
        <v>SAT+THU</v>
      </c>
      <c r="F124" s="8" t="str">
        <f>IFERROR(__xludf.DUMMYFUNCTION("""COMPUTED_VALUE"""),"2:00 PM")</f>
        <v>2:00 PM</v>
      </c>
      <c r="G124" s="9" t="str">
        <f>IFERROR(__xludf.DUMMYFUNCTION("""COMPUTED_VALUE"""),"10B-17C")</f>
        <v>10B-17C</v>
      </c>
      <c r="H124" s="8" t="str">
        <f>IFERROR(__xludf.DUMMYFUNCTION("""COMPUTED_VALUE"""),"ZIZE,SDL")</f>
        <v>ZIZE,SDL</v>
      </c>
      <c r="I124" s="8" t="str">
        <f>IFERROR(__xludf.DUMMYFUNCTION("""COMPUTED_VALUE"""),"WED")</f>
        <v>WED</v>
      </c>
      <c r="J124" s="8" t="str">
        <f>IFERROR(__xludf.DUMMYFUNCTION("""COMPUTED_VALUE"""),"2:00 PM")</f>
        <v>2:00 PM</v>
      </c>
      <c r="K124" s="8" t="str">
        <f>IFERROR(__xludf.DUMMYFUNCTION("""COMPUTED_VALUE"""),"12B-20L")</f>
        <v>12B-20L</v>
      </c>
      <c r="L124" s="8"/>
      <c r="M124" s="10" t="str">
        <f>IFERROR(VLOOKUP(D124,FacultyList!B:G,6,FALSE),"")</f>
        <v>shadmin.sultana@bracu.ac.bd</v>
      </c>
    </row>
    <row r="125">
      <c r="A125" s="5" t="str">
        <f>IFERROR(__xludf.DUMMYFUNCTION("""COMPUTED_VALUE"""),"CSE251-01A")</f>
        <v>CSE251-01A</v>
      </c>
      <c r="B125" s="8"/>
      <c r="C125" s="8"/>
      <c r="D125" s="8" t="str">
        <f>IFERROR(__xludf.DUMMYFUNCTION("""COMPUTED_VALUE"""),"UTS")</f>
        <v>UTS</v>
      </c>
      <c r="E125" s="8" t="str">
        <f>IFERROR(__xludf.DUMMYFUNCTION("""COMPUTED_VALUE"""),"SUN+TUE")</f>
        <v>SUN+TUE</v>
      </c>
      <c r="F125" s="8" t="str">
        <f>IFERROR(__xludf.DUMMYFUNCTION("""COMPUTED_VALUE"""),"9:30 AM")</f>
        <v>9:30 AM</v>
      </c>
      <c r="G125" s="9" t="str">
        <f>IFERROR(__xludf.DUMMYFUNCTION("""COMPUTED_VALUE"""),"09A-01C")</f>
        <v>09A-01C</v>
      </c>
      <c r="H125" s="8" t="str">
        <f>IFERROR(__xludf.DUMMYFUNCTION("""COMPUTED_VALUE"""),"SEF,SZZ")</f>
        <v>SEF,SZZ</v>
      </c>
      <c r="I125" s="8" t="str">
        <f>IFERROR(__xludf.DUMMYFUNCTION("""COMPUTED_VALUE"""),"SAT")</f>
        <v>SAT</v>
      </c>
      <c r="J125" s="8" t="str">
        <f>IFERROR(__xludf.DUMMYFUNCTION("""COMPUTED_VALUE"""),"11:00 AM")</f>
        <v>11:00 AM</v>
      </c>
      <c r="K125" s="8" t="str">
        <f>IFERROR(__xludf.DUMMYFUNCTION("""COMPUTED_VALUE"""),"12B-20L")</f>
        <v>12B-20L</v>
      </c>
      <c r="L125" s="8"/>
      <c r="M125" s="10" t="str">
        <f>IFERROR(VLOOKUP(D125,FacultyList!B:G,6,FALSE),"")</f>
        <v>utsab.saha@bracu.ac.bd</v>
      </c>
    </row>
    <row r="126">
      <c r="A126" s="5" t="str">
        <f>IFERROR(__xludf.DUMMYFUNCTION("""COMPUTED_VALUE"""),"CSE251-01B")</f>
        <v>CSE251-01B</v>
      </c>
      <c r="B126" s="8"/>
      <c r="C126" s="8"/>
      <c r="D126" s="8" t="str">
        <f>IFERROR(__xludf.DUMMYFUNCTION("""COMPUTED_VALUE"""),"UTS")</f>
        <v>UTS</v>
      </c>
      <c r="E126" s="8" t="str">
        <f>IFERROR(__xludf.DUMMYFUNCTION("""COMPUTED_VALUE"""),"SUN+TUE")</f>
        <v>SUN+TUE</v>
      </c>
      <c r="F126" s="8" t="str">
        <f>IFERROR(__xludf.DUMMYFUNCTION("""COMPUTED_VALUE"""),"9:30 AM")</f>
        <v>9:30 AM</v>
      </c>
      <c r="G126" s="9" t="str">
        <f>IFERROR(__xludf.DUMMYFUNCTION("""COMPUTED_VALUE"""),"09A-01C")</f>
        <v>09A-01C</v>
      </c>
      <c r="H126" s="8" t="str">
        <f>IFERROR(__xludf.DUMMYFUNCTION("""COMPUTED_VALUE"""),"MOM,SHJR")</f>
        <v>MOM,SHJR</v>
      </c>
      <c r="I126" s="8" t="str">
        <f>IFERROR(__xludf.DUMMYFUNCTION("""COMPUTED_VALUE"""),"SAT")</f>
        <v>SAT</v>
      </c>
      <c r="J126" s="8" t="str">
        <f>IFERROR(__xludf.DUMMYFUNCTION("""COMPUTED_VALUE"""),"11:00 AM")</f>
        <v>11:00 AM</v>
      </c>
      <c r="K126" s="8" t="str">
        <f>IFERROR(__xludf.DUMMYFUNCTION("""COMPUTED_VALUE"""),"12B-20L")</f>
        <v>12B-20L</v>
      </c>
      <c r="L126" s="8"/>
      <c r="M126" s="10" t="str">
        <f>IFERROR(VLOOKUP(D126,FacultyList!B:G,6,FALSE),"")</f>
        <v>utsab.saha@bracu.ac.bd</v>
      </c>
    </row>
    <row r="127">
      <c r="A127" s="5" t="str">
        <f>IFERROR(__xludf.DUMMYFUNCTION("""COMPUTED_VALUE"""),"CSE251-02A")</f>
        <v>CSE251-02A</v>
      </c>
      <c r="B127" s="8"/>
      <c r="C127" s="8"/>
      <c r="D127" s="8" t="str">
        <f>IFERROR(__xludf.DUMMYFUNCTION("""COMPUTED_VALUE"""),"MOM")</f>
        <v>MOM</v>
      </c>
      <c r="E127" s="8" t="str">
        <f>IFERROR(__xludf.DUMMYFUNCTION("""COMPUTED_VALUE"""),"SUN+TUE")</f>
        <v>SUN+TUE</v>
      </c>
      <c r="F127" s="8" t="str">
        <f>IFERROR(__xludf.DUMMYFUNCTION("""COMPUTED_VALUE"""),"11:00 AM")</f>
        <v>11:00 AM</v>
      </c>
      <c r="G127" s="9" t="str">
        <f>IFERROR(__xludf.DUMMYFUNCTION("""COMPUTED_VALUE"""),"09A-01C")</f>
        <v>09A-01C</v>
      </c>
      <c r="H127" s="8" t="str">
        <f>IFERROR(__xludf.DUMMYFUNCTION("""COMPUTED_VALUE"""),"NUR,RAS")</f>
        <v>NUR,RAS</v>
      </c>
      <c r="I127" s="8" t="str">
        <f>IFERROR(__xludf.DUMMYFUNCTION("""COMPUTED_VALUE"""),"THU")</f>
        <v>THU</v>
      </c>
      <c r="J127" s="8" t="str">
        <f>IFERROR(__xludf.DUMMYFUNCTION("""COMPUTED_VALUE"""),"8:00 AM")</f>
        <v>8:00 AM</v>
      </c>
      <c r="K127" s="8" t="str">
        <f>IFERROR(__xludf.DUMMYFUNCTION("""COMPUTED_VALUE"""),"FT10-01L")</f>
        <v>FT10-01L</v>
      </c>
      <c r="L127" s="8"/>
      <c r="M127" s="10" t="str">
        <f>IFERROR(VLOOKUP(D127,FacultyList!B:G,6,FALSE),"")</f>
        <v>moynul.moni@bracu.ac.bd</v>
      </c>
    </row>
    <row r="128">
      <c r="A128" s="5" t="str">
        <f>IFERROR(__xludf.DUMMYFUNCTION("""COMPUTED_VALUE"""),"CSE251-02B")</f>
        <v>CSE251-02B</v>
      </c>
      <c r="B128" s="8"/>
      <c r="C128" s="8"/>
      <c r="D128" s="8" t="str">
        <f>IFERROR(__xludf.DUMMYFUNCTION("""COMPUTED_VALUE"""),"MOM")</f>
        <v>MOM</v>
      </c>
      <c r="E128" s="8" t="str">
        <f>IFERROR(__xludf.DUMMYFUNCTION("""COMPUTED_VALUE"""),"SUN+TUE")</f>
        <v>SUN+TUE</v>
      </c>
      <c r="F128" s="8" t="str">
        <f>IFERROR(__xludf.DUMMYFUNCTION("""COMPUTED_VALUE"""),"11:00 AM")</f>
        <v>11:00 AM</v>
      </c>
      <c r="G128" s="9" t="str">
        <f>IFERROR(__xludf.DUMMYFUNCTION("""COMPUTED_VALUE"""),"09A-01C")</f>
        <v>09A-01C</v>
      </c>
      <c r="H128" s="8" t="str">
        <f>IFERROR(__xludf.DUMMYFUNCTION("""COMPUTED_VALUE"""),"UPM,SHJR")</f>
        <v>UPM,SHJR</v>
      </c>
      <c r="I128" s="8" t="str">
        <f>IFERROR(__xludf.DUMMYFUNCTION("""COMPUTED_VALUE"""),"THU")</f>
        <v>THU</v>
      </c>
      <c r="J128" s="8" t="str">
        <f>IFERROR(__xludf.DUMMYFUNCTION("""COMPUTED_VALUE"""),"8:00 AM")</f>
        <v>8:00 AM</v>
      </c>
      <c r="K128" s="8" t="str">
        <f>IFERROR(__xludf.DUMMYFUNCTION("""COMPUTED_VALUE"""),"FT11-01L")</f>
        <v>FT11-01L</v>
      </c>
      <c r="L128" s="8"/>
      <c r="M128" s="10" t="str">
        <f>IFERROR(VLOOKUP(D128,FacultyList!B:G,6,FALSE),"")</f>
        <v>moynul.moni@bracu.ac.bd</v>
      </c>
    </row>
    <row r="129">
      <c r="A129" s="5" t="str">
        <f>IFERROR(__xludf.DUMMYFUNCTION("""COMPUTED_VALUE"""),"CSE251-03A")</f>
        <v>CSE251-03A</v>
      </c>
      <c r="B129" s="8"/>
      <c r="C129" s="8"/>
      <c r="D129" s="8" t="str">
        <f>IFERROR(__xludf.DUMMYFUNCTION("""COMPUTED_VALUE"""),"RAO")</f>
        <v>RAO</v>
      </c>
      <c r="E129" s="8" t="str">
        <f>IFERROR(__xludf.DUMMYFUNCTION("""COMPUTED_VALUE"""),"SUN+TUE")</f>
        <v>SUN+TUE</v>
      </c>
      <c r="F129" s="8" t="str">
        <f>IFERROR(__xludf.DUMMYFUNCTION("""COMPUTED_VALUE"""),"12:30 PM")</f>
        <v>12:30 PM</v>
      </c>
      <c r="G129" s="9" t="str">
        <f>IFERROR(__xludf.DUMMYFUNCTION("""COMPUTED_VALUE"""),"09A-01C")</f>
        <v>09A-01C</v>
      </c>
      <c r="H129" s="8" t="str">
        <f>IFERROR(__xludf.DUMMYFUNCTION("""COMPUTED_VALUE"""),"HMH,SDL")</f>
        <v>HMH,SDL</v>
      </c>
      <c r="I129" s="8" t="str">
        <f>IFERROR(__xludf.DUMMYFUNCTION("""COMPUTED_VALUE"""),"MON")</f>
        <v>MON</v>
      </c>
      <c r="J129" s="8" t="str">
        <f>IFERROR(__xludf.DUMMYFUNCTION("""COMPUTED_VALUE"""),"8:00 AM")</f>
        <v>8:00 AM</v>
      </c>
      <c r="K129" s="8" t="str">
        <f>IFERROR(__xludf.DUMMYFUNCTION("""COMPUTED_VALUE"""),"FT10-01L")</f>
        <v>FT10-01L</v>
      </c>
      <c r="L129" s="8"/>
      <c r="M129" s="10" t="str">
        <f>IFERROR(VLOOKUP(D129,FacultyList!B:G,6,FALSE),"")</f>
        <v>ext.mohammed.radoan@bracu.ac.bd</v>
      </c>
    </row>
    <row r="130">
      <c r="A130" s="5" t="str">
        <f>IFERROR(__xludf.DUMMYFUNCTION("""COMPUTED_VALUE"""),"CSE251-03B")</f>
        <v>CSE251-03B</v>
      </c>
      <c r="B130" s="8"/>
      <c r="C130" s="8"/>
      <c r="D130" s="8" t="str">
        <f>IFERROR(__xludf.DUMMYFUNCTION("""COMPUTED_VALUE"""),"RAO")</f>
        <v>RAO</v>
      </c>
      <c r="E130" s="8" t="str">
        <f>IFERROR(__xludf.DUMMYFUNCTION("""COMPUTED_VALUE"""),"SUN+TUE")</f>
        <v>SUN+TUE</v>
      </c>
      <c r="F130" s="8" t="str">
        <f>IFERROR(__xludf.DUMMYFUNCTION("""COMPUTED_VALUE"""),"12:30 PM")</f>
        <v>12:30 PM</v>
      </c>
      <c r="G130" s="9" t="str">
        <f>IFERROR(__xludf.DUMMYFUNCTION("""COMPUTED_VALUE"""),"09A-01C")</f>
        <v>09A-01C</v>
      </c>
      <c r="H130" s="8" t="str">
        <f>IFERROR(__xludf.DUMMYFUNCTION("""COMPUTED_VALUE"""),"PDS,ALSM")</f>
        <v>PDS,ALSM</v>
      </c>
      <c r="I130" s="8" t="str">
        <f>IFERROR(__xludf.DUMMYFUNCTION("""COMPUTED_VALUE"""),"MON")</f>
        <v>MON</v>
      </c>
      <c r="J130" s="8" t="str">
        <f>IFERROR(__xludf.DUMMYFUNCTION("""COMPUTED_VALUE"""),"8:00 AM")</f>
        <v>8:00 AM</v>
      </c>
      <c r="K130" s="8" t="str">
        <f>IFERROR(__xludf.DUMMYFUNCTION("""COMPUTED_VALUE"""),"FT11-01L")</f>
        <v>FT11-01L</v>
      </c>
      <c r="L130" s="8"/>
      <c r="M130" s="10" t="str">
        <f>IFERROR(VLOOKUP(D130,FacultyList!B:G,6,FALSE),"")</f>
        <v>ext.mohammed.radoan@bracu.ac.bd</v>
      </c>
    </row>
    <row r="131">
      <c r="A131" s="5" t="str">
        <f>IFERROR(__xludf.DUMMYFUNCTION("""COMPUTED_VALUE"""),"CSE251-04A")</f>
        <v>CSE251-04A</v>
      </c>
      <c r="B131" s="8"/>
      <c r="C131" s="8"/>
      <c r="D131" s="8" t="str">
        <f>IFERROR(__xludf.DUMMYFUNCTION("""COMPUTED_VALUE"""),"PDS")</f>
        <v>PDS</v>
      </c>
      <c r="E131" s="8" t="str">
        <f>IFERROR(__xludf.DUMMYFUNCTION("""COMPUTED_VALUE"""),"SUN+TUE")</f>
        <v>SUN+TUE</v>
      </c>
      <c r="F131" s="8" t="str">
        <f>IFERROR(__xludf.DUMMYFUNCTION("""COMPUTED_VALUE"""),"2:00 PM")</f>
        <v>2:00 PM</v>
      </c>
      <c r="G131" s="9" t="str">
        <f>IFERROR(__xludf.DUMMYFUNCTION("""COMPUTED_VALUE"""),"09A-01C")</f>
        <v>09A-01C</v>
      </c>
      <c r="H131" s="8" t="str">
        <f>IFERROR(__xludf.DUMMYFUNCTION("""COMPUTED_VALUE"""),"SZZ,SEF")</f>
        <v>SZZ,SEF</v>
      </c>
      <c r="I131" s="8" t="str">
        <f>IFERROR(__xludf.DUMMYFUNCTION("""COMPUTED_VALUE"""),"WED")</f>
        <v>WED</v>
      </c>
      <c r="J131" s="8" t="str">
        <f>IFERROR(__xludf.DUMMYFUNCTION("""COMPUTED_VALUE"""),"8:00 AM")</f>
        <v>8:00 AM</v>
      </c>
      <c r="K131" s="8" t="str">
        <f>IFERROR(__xludf.DUMMYFUNCTION("""COMPUTED_VALUE"""),"12B-20L")</f>
        <v>12B-20L</v>
      </c>
      <c r="L131" s="8"/>
      <c r="M131" s="10" t="str">
        <f>IFERROR(VLOOKUP(D131,FacultyList!B:G,6,FALSE),"")</f>
        <v>purbayan.das@bracu.ac.bd</v>
      </c>
    </row>
    <row r="132">
      <c r="A132" s="5" t="str">
        <f>IFERROR(__xludf.DUMMYFUNCTION("""COMPUTED_VALUE"""),"CSE251-05A")</f>
        <v>CSE251-05A</v>
      </c>
      <c r="B132" s="8"/>
      <c r="C132" s="8"/>
      <c r="D132" s="8" t="str">
        <f>IFERROR(__xludf.DUMMYFUNCTION("""COMPUTED_VALUE"""),"AQT")</f>
        <v>AQT</v>
      </c>
      <c r="E132" s="8" t="str">
        <f>IFERROR(__xludf.DUMMYFUNCTION("""COMPUTED_VALUE"""),"MON+WED")</f>
        <v>MON+WED</v>
      </c>
      <c r="F132" s="8" t="str">
        <f>IFERROR(__xludf.DUMMYFUNCTION("""COMPUTED_VALUE"""),"9:30 AM")</f>
        <v>9:30 AM</v>
      </c>
      <c r="G132" s="9" t="str">
        <f>IFERROR(__xludf.DUMMYFUNCTION("""COMPUTED_VALUE"""),"09A-01C")</f>
        <v>09A-01C</v>
      </c>
      <c r="H132" s="8" t="str">
        <f>IFERROR(__xludf.DUMMYFUNCTION("""COMPUTED_VALUE"""),"SDS,PDS")</f>
        <v>SDS,PDS</v>
      </c>
      <c r="I132" s="8" t="str">
        <f>IFERROR(__xludf.DUMMYFUNCTION("""COMPUTED_VALUE"""),"THU")</f>
        <v>THU</v>
      </c>
      <c r="J132" s="8" t="str">
        <f>IFERROR(__xludf.DUMMYFUNCTION("""COMPUTED_VALUE"""),"11:00 AM")</f>
        <v>11:00 AM</v>
      </c>
      <c r="K132" s="8" t="str">
        <f>IFERROR(__xludf.DUMMYFUNCTION("""COMPUTED_VALUE"""),"12B-20L")</f>
        <v>12B-20L</v>
      </c>
      <c r="L132" s="8"/>
      <c r="M132" s="10" t="str">
        <f>IFERROR(VLOOKUP(D132,FacultyList!B:G,6,FALSE),"")</f>
        <v>aniqa.tabassum@bracu.ac.bd</v>
      </c>
    </row>
    <row r="133">
      <c r="A133" s="5" t="str">
        <f>IFERROR(__xludf.DUMMYFUNCTION("""COMPUTED_VALUE"""),"CSE251-05B")</f>
        <v>CSE251-05B</v>
      </c>
      <c r="B133" s="8"/>
      <c r="C133" s="8"/>
      <c r="D133" s="8" t="str">
        <f>IFERROR(__xludf.DUMMYFUNCTION("""COMPUTED_VALUE"""),"AQT")</f>
        <v>AQT</v>
      </c>
      <c r="E133" s="8" t="str">
        <f>IFERROR(__xludf.DUMMYFUNCTION("""COMPUTED_VALUE"""),"MON+WED")</f>
        <v>MON+WED</v>
      </c>
      <c r="F133" s="8" t="str">
        <f>IFERROR(__xludf.DUMMYFUNCTION("""COMPUTED_VALUE"""),"9:30 AM")</f>
        <v>9:30 AM</v>
      </c>
      <c r="G133" s="9" t="str">
        <f>IFERROR(__xludf.DUMMYFUNCTION("""COMPUTED_VALUE"""),"09A-01C")</f>
        <v>09A-01C</v>
      </c>
      <c r="H133" s="8" t="str">
        <f>IFERROR(__xludf.DUMMYFUNCTION("""COMPUTED_VALUE"""),"SDQ,SZZ")</f>
        <v>SDQ,SZZ</v>
      </c>
      <c r="I133" s="8" t="str">
        <f>IFERROR(__xludf.DUMMYFUNCTION("""COMPUTED_VALUE"""),"THU")</f>
        <v>THU</v>
      </c>
      <c r="J133" s="8" t="str">
        <f>IFERROR(__xludf.DUMMYFUNCTION("""COMPUTED_VALUE"""),"11:00 AM")</f>
        <v>11:00 AM</v>
      </c>
      <c r="K133" s="8" t="str">
        <f>IFERROR(__xludf.DUMMYFUNCTION("""COMPUTED_VALUE"""),"12B-20L")</f>
        <v>12B-20L</v>
      </c>
      <c r="L133" s="8"/>
      <c r="M133" s="10" t="str">
        <f>IFERROR(VLOOKUP(D133,FacultyList!B:G,6,FALSE),"")</f>
        <v>aniqa.tabassum@bracu.ac.bd</v>
      </c>
    </row>
    <row r="134">
      <c r="A134" s="5" t="str">
        <f>IFERROR(__xludf.DUMMYFUNCTION("""COMPUTED_VALUE"""),"CSE251-06A")</f>
        <v>CSE251-06A</v>
      </c>
      <c r="B134" s="8"/>
      <c r="C134" s="8"/>
      <c r="D134" s="8" t="str">
        <f>IFERROR(__xludf.DUMMYFUNCTION("""COMPUTED_VALUE"""),"TAV")</f>
        <v>TAV</v>
      </c>
      <c r="E134" s="8" t="str">
        <f>IFERROR(__xludf.DUMMYFUNCTION("""COMPUTED_VALUE"""),"MON+WED")</f>
        <v>MON+WED</v>
      </c>
      <c r="F134" s="8" t="str">
        <f>IFERROR(__xludf.DUMMYFUNCTION("""COMPUTED_VALUE"""),"11:00 AM")</f>
        <v>11:00 AM</v>
      </c>
      <c r="G134" s="9" t="str">
        <f>IFERROR(__xludf.DUMMYFUNCTION("""COMPUTED_VALUE"""),"09A-01C")</f>
        <v>09A-01C</v>
      </c>
      <c r="H134" s="8" t="str">
        <f>IFERROR(__xludf.DUMMYFUNCTION("""COMPUTED_VALUE"""),"SZZ,FFR")</f>
        <v>SZZ,FFR</v>
      </c>
      <c r="I134" s="8" t="str">
        <f>IFERROR(__xludf.DUMMYFUNCTION("""COMPUTED_VALUE"""),"SAT")</f>
        <v>SAT</v>
      </c>
      <c r="J134" s="8" t="str">
        <f>IFERROR(__xludf.DUMMYFUNCTION("""COMPUTED_VALUE"""),"2:00 PM")</f>
        <v>2:00 PM</v>
      </c>
      <c r="K134" s="8" t="str">
        <f>IFERROR(__xludf.DUMMYFUNCTION("""COMPUTED_VALUE"""),"FT10-01L")</f>
        <v>FT10-01L</v>
      </c>
      <c r="L134" s="8"/>
      <c r="M134" s="10" t="str">
        <f>IFERROR(VLOOKUP(D134,FacultyList!B:G,6,FALSE),"")</f>
        <v>tarvir.anjum@bracu.ac.bd</v>
      </c>
    </row>
    <row r="135">
      <c r="A135" s="5" t="str">
        <f>IFERROR(__xludf.DUMMYFUNCTION("""COMPUTED_VALUE"""),"CSE251-06B")</f>
        <v>CSE251-06B</v>
      </c>
      <c r="B135" s="8"/>
      <c r="C135" s="8"/>
      <c r="D135" s="8" t="str">
        <f>IFERROR(__xludf.DUMMYFUNCTION("""COMPUTED_VALUE"""),"TAV")</f>
        <v>TAV</v>
      </c>
      <c r="E135" s="8" t="str">
        <f>IFERROR(__xludf.DUMMYFUNCTION("""COMPUTED_VALUE"""),"MON+WED")</f>
        <v>MON+WED</v>
      </c>
      <c r="F135" s="8" t="str">
        <f>IFERROR(__xludf.DUMMYFUNCTION("""COMPUTED_VALUE"""),"11:00 AM")</f>
        <v>11:00 AM</v>
      </c>
      <c r="G135" s="9" t="str">
        <f>IFERROR(__xludf.DUMMYFUNCTION("""COMPUTED_VALUE"""),"09A-01C")</f>
        <v>09A-01C</v>
      </c>
      <c r="H135" s="8" t="str">
        <f>IFERROR(__xludf.DUMMYFUNCTION("""COMPUTED_VALUE"""),"MHY,AKDB")</f>
        <v>MHY,AKDB</v>
      </c>
      <c r="I135" s="8" t="str">
        <f>IFERROR(__xludf.DUMMYFUNCTION("""COMPUTED_VALUE"""),"SAT")</f>
        <v>SAT</v>
      </c>
      <c r="J135" s="8" t="str">
        <f>IFERROR(__xludf.DUMMYFUNCTION("""COMPUTED_VALUE"""),"2:00 PM")</f>
        <v>2:00 PM</v>
      </c>
      <c r="K135" s="8" t="str">
        <f>IFERROR(__xludf.DUMMYFUNCTION("""COMPUTED_VALUE"""),"FT11-01L")</f>
        <v>FT11-01L</v>
      </c>
      <c r="L135" s="8"/>
      <c r="M135" s="10" t="str">
        <f>IFERROR(VLOOKUP(D135,FacultyList!B:G,6,FALSE),"")</f>
        <v>tarvir.anjum@bracu.ac.bd</v>
      </c>
    </row>
    <row r="136">
      <c r="A136" s="5" t="str">
        <f>IFERROR(__xludf.DUMMYFUNCTION("""COMPUTED_VALUE"""),"CSE251-07A")</f>
        <v>CSE251-07A</v>
      </c>
      <c r="B136" s="8"/>
      <c r="C136" s="8"/>
      <c r="D136" s="8" t="str">
        <f>IFERROR(__xludf.DUMMYFUNCTION("""COMPUTED_VALUE"""),"FFR")</f>
        <v>FFR</v>
      </c>
      <c r="E136" s="8" t="str">
        <f>IFERROR(__xludf.DUMMYFUNCTION("""COMPUTED_VALUE"""),"MON+WED")</f>
        <v>MON+WED</v>
      </c>
      <c r="F136" s="8" t="str">
        <f>IFERROR(__xludf.DUMMYFUNCTION("""COMPUTED_VALUE"""),"12:30 PM")</f>
        <v>12:30 PM</v>
      </c>
      <c r="G136" s="9" t="str">
        <f>IFERROR(__xludf.DUMMYFUNCTION("""COMPUTED_VALUE"""),"09A-01C")</f>
        <v>09A-01C</v>
      </c>
      <c r="H136" s="8" t="str">
        <f>IFERROR(__xludf.DUMMYFUNCTION("""COMPUTED_VALUE"""),"ZAZ,RAO")</f>
        <v>ZAZ,RAO</v>
      </c>
      <c r="I136" s="8" t="str">
        <f>IFERROR(__xludf.DUMMYFUNCTION("""COMPUTED_VALUE"""),"SUN")</f>
        <v>SUN</v>
      </c>
      <c r="J136" s="8" t="str">
        <f>IFERROR(__xludf.DUMMYFUNCTION("""COMPUTED_VALUE"""),"8:00 AM")</f>
        <v>8:00 AM</v>
      </c>
      <c r="K136" s="8" t="str">
        <f>IFERROR(__xludf.DUMMYFUNCTION("""COMPUTED_VALUE"""),"12B-20L")</f>
        <v>12B-20L</v>
      </c>
      <c r="L136" s="8"/>
      <c r="M136" s="10" t="str">
        <f>IFERROR(VLOOKUP(D136,FacultyList!B:G,6,FALSE),"")</f>
        <v>md.fatin@bracu.ac.bd</v>
      </c>
    </row>
    <row r="137">
      <c r="A137" s="5" t="str">
        <f>IFERROR(__xludf.DUMMYFUNCTION("""COMPUTED_VALUE"""),"CSE251-07B")</f>
        <v>CSE251-07B</v>
      </c>
      <c r="B137" s="8"/>
      <c r="C137" s="8"/>
      <c r="D137" s="8" t="str">
        <f>IFERROR(__xludf.DUMMYFUNCTION("""COMPUTED_VALUE"""),"FFR")</f>
        <v>FFR</v>
      </c>
      <c r="E137" s="8" t="str">
        <f>IFERROR(__xludf.DUMMYFUNCTION("""COMPUTED_VALUE"""),"MON+WED")</f>
        <v>MON+WED</v>
      </c>
      <c r="F137" s="8" t="str">
        <f>IFERROR(__xludf.DUMMYFUNCTION("""COMPUTED_VALUE"""),"12:30 PM")</f>
        <v>12:30 PM</v>
      </c>
      <c r="G137" s="9" t="str">
        <f>IFERROR(__xludf.DUMMYFUNCTION("""COMPUTED_VALUE"""),"09A-01C")</f>
        <v>09A-01C</v>
      </c>
      <c r="H137" s="8" t="str">
        <f>IFERROR(__xludf.DUMMYFUNCTION("""COMPUTED_VALUE"""),"AQT,MOM")</f>
        <v>AQT,MOM</v>
      </c>
      <c r="I137" s="8" t="str">
        <f>IFERROR(__xludf.DUMMYFUNCTION("""COMPUTED_VALUE"""),"SUN")</f>
        <v>SUN</v>
      </c>
      <c r="J137" s="8" t="str">
        <f>IFERROR(__xludf.DUMMYFUNCTION("""COMPUTED_VALUE"""),"8:00 AM")</f>
        <v>8:00 AM</v>
      </c>
      <c r="K137" s="8" t="str">
        <f>IFERROR(__xludf.DUMMYFUNCTION("""COMPUTED_VALUE"""),"12B-20L")</f>
        <v>12B-20L</v>
      </c>
      <c r="L137" s="8"/>
      <c r="M137" s="10" t="str">
        <f>IFERROR(VLOOKUP(D137,FacultyList!B:G,6,FALSE),"")</f>
        <v>md.fatin@bracu.ac.bd</v>
      </c>
    </row>
    <row r="138">
      <c r="A138" s="5" t="str">
        <f>IFERROR(__xludf.DUMMYFUNCTION("""COMPUTED_VALUE"""),"CSE251-08A")</f>
        <v>CSE251-08A</v>
      </c>
      <c r="B138" s="8"/>
      <c r="C138" s="8"/>
      <c r="D138" s="8" t="str">
        <f>IFERROR(__xludf.DUMMYFUNCTION("""COMPUTED_VALUE"""),"AKJ")</f>
        <v>AKJ</v>
      </c>
      <c r="E138" s="8" t="str">
        <f>IFERROR(__xludf.DUMMYFUNCTION("""COMPUTED_VALUE"""),"MON+WED")</f>
        <v>MON+WED</v>
      </c>
      <c r="F138" s="8" t="str">
        <f>IFERROR(__xludf.DUMMYFUNCTION("""COMPUTED_VALUE"""),"3:30 PM")</f>
        <v>3:30 PM</v>
      </c>
      <c r="G138" s="9" t="str">
        <f>IFERROR(__xludf.DUMMYFUNCTION("""COMPUTED_VALUE"""),"09A-01C")</f>
        <v>09A-01C</v>
      </c>
      <c r="H138" s="8" t="str">
        <f>IFERROR(__xludf.DUMMYFUNCTION("""COMPUTED_VALUE"""),"PDS,ARPD")</f>
        <v>PDS,ARPD</v>
      </c>
      <c r="I138" s="8" t="str">
        <f>IFERROR(__xludf.DUMMYFUNCTION("""COMPUTED_VALUE"""),"TUE")</f>
        <v>TUE</v>
      </c>
      <c r="J138" s="8" t="str">
        <f>IFERROR(__xludf.DUMMYFUNCTION("""COMPUTED_VALUE"""),"11:00 AM")</f>
        <v>11:00 AM</v>
      </c>
      <c r="K138" s="8" t="str">
        <f>IFERROR(__xludf.DUMMYFUNCTION("""COMPUTED_VALUE"""),"12B-20L")</f>
        <v>12B-20L</v>
      </c>
      <c r="L138" s="8"/>
      <c r="M138" s="10" t="str">
        <f>IFERROR(VLOOKUP(D138,FacultyList!B:G,6,FALSE),"")</f>
        <v>anjum.akib@bracu.ac.bd</v>
      </c>
    </row>
    <row r="139">
      <c r="A139" s="5" t="str">
        <f>IFERROR(__xludf.DUMMYFUNCTION("""COMPUTED_VALUE"""),"CSE251-08B")</f>
        <v>CSE251-08B</v>
      </c>
      <c r="B139" s="8"/>
      <c r="C139" s="8"/>
      <c r="D139" s="8" t="str">
        <f>IFERROR(__xludf.DUMMYFUNCTION("""COMPUTED_VALUE"""),"AKJ")</f>
        <v>AKJ</v>
      </c>
      <c r="E139" s="8" t="str">
        <f>IFERROR(__xludf.DUMMYFUNCTION("""COMPUTED_VALUE"""),"MON+WED")</f>
        <v>MON+WED</v>
      </c>
      <c r="F139" s="8" t="str">
        <f>IFERROR(__xludf.DUMMYFUNCTION("""COMPUTED_VALUE"""),"3:30 PM")</f>
        <v>3:30 PM</v>
      </c>
      <c r="G139" s="9" t="str">
        <f>IFERROR(__xludf.DUMMYFUNCTION("""COMPUTED_VALUE"""),"09A-01C")</f>
        <v>09A-01C</v>
      </c>
      <c r="H139" s="8" t="str">
        <f>IFERROR(__xludf.DUMMYFUNCTION("""COMPUTED_VALUE"""),"SDQ,NFS")</f>
        <v>SDQ,NFS</v>
      </c>
      <c r="I139" s="8" t="str">
        <f>IFERROR(__xludf.DUMMYFUNCTION("""COMPUTED_VALUE"""),"TUE")</f>
        <v>TUE</v>
      </c>
      <c r="J139" s="8" t="str">
        <f>IFERROR(__xludf.DUMMYFUNCTION("""COMPUTED_VALUE"""),"11:00 AM")</f>
        <v>11:00 AM</v>
      </c>
      <c r="K139" s="8" t="str">
        <f>IFERROR(__xludf.DUMMYFUNCTION("""COMPUTED_VALUE"""),"12B-20L")</f>
        <v>12B-20L</v>
      </c>
      <c r="L139" s="8"/>
      <c r="M139" s="10" t="str">
        <f>IFERROR(VLOOKUP(D139,FacultyList!B:G,6,FALSE),"")</f>
        <v>anjum.akib@bracu.ac.bd</v>
      </c>
    </row>
    <row r="140">
      <c r="A140" s="5" t="str">
        <f>IFERROR(__xludf.DUMMYFUNCTION("""COMPUTED_VALUE"""),"CSE251-09A")</f>
        <v>CSE251-09A</v>
      </c>
      <c r="B140" s="8"/>
      <c r="C140" s="8"/>
      <c r="D140" s="8" t="str">
        <f>IFERROR(__xludf.DUMMYFUNCTION("""COMPUTED_VALUE"""),"SEF")</f>
        <v>SEF</v>
      </c>
      <c r="E140" s="8" t="str">
        <f>IFERROR(__xludf.DUMMYFUNCTION("""COMPUTED_VALUE"""),"SAT+THU")</f>
        <v>SAT+THU</v>
      </c>
      <c r="F140" s="8" t="str">
        <f>IFERROR(__xludf.DUMMYFUNCTION("""COMPUTED_VALUE"""),"9:30 AM")</f>
        <v>9:30 AM</v>
      </c>
      <c r="G140" s="9" t="str">
        <f>IFERROR(__xludf.DUMMYFUNCTION("""COMPUTED_VALUE"""),"09A-01C")</f>
        <v>09A-01C</v>
      </c>
      <c r="H140" s="8" t="str">
        <f>IFERROR(__xludf.DUMMYFUNCTION("""COMPUTED_VALUE"""),"SDQ,TAV")</f>
        <v>SDQ,TAV</v>
      </c>
      <c r="I140" s="8" t="str">
        <f>IFERROR(__xludf.DUMMYFUNCTION("""COMPUTED_VALUE"""),"SUN")</f>
        <v>SUN</v>
      </c>
      <c r="J140" s="8" t="str">
        <f>IFERROR(__xludf.DUMMYFUNCTION("""COMPUTED_VALUE"""),"11:00 AM")</f>
        <v>11:00 AM</v>
      </c>
      <c r="K140" s="8" t="str">
        <f>IFERROR(__xludf.DUMMYFUNCTION("""COMPUTED_VALUE"""),"FT10-01L")</f>
        <v>FT10-01L</v>
      </c>
      <c r="L140" s="8"/>
      <c r="M140" s="10" t="str">
        <f>IFERROR(VLOOKUP(D140,FacultyList!B:G,6,FALSE),"")</f>
        <v>ext.sheikh.ahmed@bracu.ac.bd</v>
      </c>
    </row>
    <row r="141">
      <c r="A141" s="5" t="str">
        <f>IFERROR(__xludf.DUMMYFUNCTION("""COMPUTED_VALUE"""),"CSE251-09B")</f>
        <v>CSE251-09B</v>
      </c>
      <c r="B141" s="8"/>
      <c r="C141" s="8"/>
      <c r="D141" s="8" t="str">
        <f>IFERROR(__xludf.DUMMYFUNCTION("""COMPUTED_VALUE"""),"SEF")</f>
        <v>SEF</v>
      </c>
      <c r="E141" s="8" t="str">
        <f>IFERROR(__xludf.DUMMYFUNCTION("""COMPUTED_VALUE"""),"SAT+THU")</f>
        <v>SAT+THU</v>
      </c>
      <c r="F141" s="8" t="str">
        <f>IFERROR(__xludf.DUMMYFUNCTION("""COMPUTED_VALUE"""),"9:30 AM")</f>
        <v>9:30 AM</v>
      </c>
      <c r="G141" s="9" t="str">
        <f>IFERROR(__xludf.DUMMYFUNCTION("""COMPUTED_VALUE"""),"09A-01C")</f>
        <v>09A-01C</v>
      </c>
      <c r="H141" s="8" t="str">
        <f>IFERROR(__xludf.DUMMYFUNCTION("""COMPUTED_VALUE"""),"TSE,FFR")</f>
        <v>TSE,FFR</v>
      </c>
      <c r="I141" s="8" t="str">
        <f>IFERROR(__xludf.DUMMYFUNCTION("""COMPUTED_VALUE"""),"SUN")</f>
        <v>SUN</v>
      </c>
      <c r="J141" s="8" t="str">
        <f>IFERROR(__xludf.DUMMYFUNCTION("""COMPUTED_VALUE"""),"11:00 AM")</f>
        <v>11:00 AM</v>
      </c>
      <c r="K141" s="8" t="str">
        <f>IFERROR(__xludf.DUMMYFUNCTION("""COMPUTED_VALUE"""),"FT11-01L")</f>
        <v>FT11-01L</v>
      </c>
      <c r="L141" s="8"/>
      <c r="M141" s="10" t="str">
        <f>IFERROR(VLOOKUP(D141,FacultyList!B:G,6,FALSE),"")</f>
        <v>ext.sheikh.ahmed@bracu.ac.bd</v>
      </c>
    </row>
    <row r="142">
      <c r="A142" s="5" t="str">
        <f>IFERROR(__xludf.DUMMYFUNCTION("""COMPUTED_VALUE"""),"CSE251-10A")</f>
        <v>CSE251-10A</v>
      </c>
      <c r="B142" s="8"/>
      <c r="C142" s="8"/>
      <c r="D142" s="8" t="str">
        <f>IFERROR(__xludf.DUMMYFUNCTION("""COMPUTED_VALUE"""),"SDL")</f>
        <v>SDL</v>
      </c>
      <c r="E142" s="8" t="str">
        <f>IFERROR(__xludf.DUMMYFUNCTION("""COMPUTED_VALUE"""),"SAT+THU")</f>
        <v>SAT+THU</v>
      </c>
      <c r="F142" s="8" t="str">
        <f>IFERROR(__xludf.DUMMYFUNCTION("""COMPUTED_VALUE"""),"11:00 AM")</f>
        <v>11:00 AM</v>
      </c>
      <c r="G142" s="9" t="str">
        <f>IFERROR(__xludf.DUMMYFUNCTION("""COMPUTED_VALUE"""),"09A-01C")</f>
        <v>09A-01C</v>
      </c>
      <c r="H142" s="8" t="str">
        <f>IFERROR(__xludf.DUMMYFUNCTION("""COMPUTED_VALUE"""),"TAV,NUR")</f>
        <v>TAV,NUR</v>
      </c>
      <c r="I142" s="8" t="str">
        <f>IFERROR(__xludf.DUMMYFUNCTION("""COMPUTED_VALUE"""),"TUE")</f>
        <v>TUE</v>
      </c>
      <c r="J142" s="8" t="str">
        <f>IFERROR(__xludf.DUMMYFUNCTION("""COMPUTED_VALUE"""),"2:00 PM")</f>
        <v>2:00 PM</v>
      </c>
      <c r="K142" s="8" t="str">
        <f>IFERROR(__xludf.DUMMYFUNCTION("""COMPUTED_VALUE"""),"FT10-01L")</f>
        <v>FT10-01L</v>
      </c>
      <c r="L142" s="8"/>
      <c r="M142" s="10" t="str">
        <f>IFERROR(VLOOKUP(D142,FacultyList!B:G,6,FALSE),"")</f>
        <v>shadmin.sultana@bracu.ac.bd</v>
      </c>
    </row>
    <row r="143">
      <c r="A143" s="5" t="str">
        <f>IFERROR(__xludf.DUMMYFUNCTION("""COMPUTED_VALUE"""),"CSE251-10B")</f>
        <v>CSE251-10B</v>
      </c>
      <c r="B143" s="8"/>
      <c r="C143" s="8"/>
      <c r="D143" s="8" t="str">
        <f>IFERROR(__xludf.DUMMYFUNCTION("""COMPUTED_VALUE"""),"SDL")</f>
        <v>SDL</v>
      </c>
      <c r="E143" s="8" t="str">
        <f>IFERROR(__xludf.DUMMYFUNCTION("""COMPUTED_VALUE"""),"SAT+THU")</f>
        <v>SAT+THU</v>
      </c>
      <c r="F143" s="8" t="str">
        <f>IFERROR(__xludf.DUMMYFUNCTION("""COMPUTED_VALUE"""),"11:00 AM")</f>
        <v>11:00 AM</v>
      </c>
      <c r="G143" s="9" t="str">
        <f>IFERROR(__xludf.DUMMYFUNCTION("""COMPUTED_VALUE"""),"09A-01C")</f>
        <v>09A-01C</v>
      </c>
      <c r="H143" s="8" t="str">
        <f>IFERROR(__xludf.DUMMYFUNCTION("""COMPUTED_VALUE"""),"AKJ,ALSM")</f>
        <v>AKJ,ALSM</v>
      </c>
      <c r="I143" s="8" t="str">
        <f>IFERROR(__xludf.DUMMYFUNCTION("""COMPUTED_VALUE"""),"TUE")</f>
        <v>TUE</v>
      </c>
      <c r="J143" s="8" t="str">
        <f>IFERROR(__xludf.DUMMYFUNCTION("""COMPUTED_VALUE"""),"2:00 PM")</f>
        <v>2:00 PM</v>
      </c>
      <c r="K143" s="8" t="str">
        <f>IFERROR(__xludf.DUMMYFUNCTION("""COMPUTED_VALUE"""),"FT11-01L")</f>
        <v>FT11-01L</v>
      </c>
      <c r="L143" s="8"/>
      <c r="M143" s="10" t="str">
        <f>IFERROR(VLOOKUP(D143,FacultyList!B:G,6,FALSE),"")</f>
        <v>shadmin.sultana@bracu.ac.bd</v>
      </c>
    </row>
    <row r="144">
      <c r="A144" s="5" t="str">
        <f>IFERROR(__xludf.DUMMYFUNCTION("""COMPUTED_VALUE"""),"CSE251-11A")</f>
        <v>CSE251-11A</v>
      </c>
      <c r="B144" s="8"/>
      <c r="C144" s="8"/>
      <c r="D144" s="8" t="str">
        <f>IFERROR(__xludf.DUMMYFUNCTION("""COMPUTED_VALUE"""),"HMH")</f>
        <v>HMH</v>
      </c>
      <c r="E144" s="8" t="str">
        <f>IFERROR(__xludf.DUMMYFUNCTION("""COMPUTED_VALUE"""),"SUN+TUE")</f>
        <v>SUN+TUE</v>
      </c>
      <c r="F144" s="8" t="str">
        <f>IFERROR(__xludf.DUMMYFUNCTION("""COMPUTED_VALUE"""),"3:30 PM")</f>
        <v>3:30 PM</v>
      </c>
      <c r="G144" s="9" t="str">
        <f>IFERROR(__xludf.DUMMYFUNCTION("""COMPUTED_VALUE"""),"09A-01C")</f>
        <v>09A-01C</v>
      </c>
      <c r="H144" s="8" t="str">
        <f>IFERROR(__xludf.DUMMYFUNCTION("""COMPUTED_VALUE"""),"ZBH,MHY")</f>
        <v>ZBH,MHY</v>
      </c>
      <c r="I144" s="8" t="str">
        <f>IFERROR(__xludf.DUMMYFUNCTION("""COMPUTED_VALUE"""),"MON")</f>
        <v>MON</v>
      </c>
      <c r="J144" s="8" t="str">
        <f>IFERROR(__xludf.DUMMYFUNCTION("""COMPUTED_VALUE"""),"2:00 PM")</f>
        <v>2:00 PM</v>
      </c>
      <c r="K144" s="8" t="str">
        <f>IFERROR(__xludf.DUMMYFUNCTION("""COMPUTED_VALUE"""),"FT10-01L")</f>
        <v>FT10-01L</v>
      </c>
      <c r="L144" s="8"/>
      <c r="M144" s="10" t="str">
        <f>IFERROR(VLOOKUP(D144,FacultyList!B:G,6,FALSE),"")</f>
        <v>hamidul.hussain@bracu.ac.bd</v>
      </c>
    </row>
    <row r="145">
      <c r="A145" s="5" t="str">
        <f>IFERROR(__xludf.DUMMYFUNCTION("""COMPUTED_VALUE"""),"CSE251-11B")</f>
        <v>CSE251-11B</v>
      </c>
      <c r="B145" s="8"/>
      <c r="C145" s="8"/>
      <c r="D145" s="8" t="str">
        <f>IFERROR(__xludf.DUMMYFUNCTION("""COMPUTED_VALUE"""),"HMH")</f>
        <v>HMH</v>
      </c>
      <c r="E145" s="8" t="str">
        <f>IFERROR(__xludf.DUMMYFUNCTION("""COMPUTED_VALUE"""),"SUN+TUE")</f>
        <v>SUN+TUE</v>
      </c>
      <c r="F145" s="8" t="str">
        <f>IFERROR(__xludf.DUMMYFUNCTION("""COMPUTED_VALUE"""),"3:30 PM")</f>
        <v>3:30 PM</v>
      </c>
      <c r="G145" s="9" t="str">
        <f>IFERROR(__xludf.DUMMYFUNCTION("""COMPUTED_VALUE"""),"09A-01C")</f>
        <v>09A-01C</v>
      </c>
      <c r="H145" s="8" t="str">
        <f>IFERROR(__xludf.DUMMYFUNCTION("""COMPUTED_VALUE"""),"UTS,RFQ")</f>
        <v>UTS,RFQ</v>
      </c>
      <c r="I145" s="8" t="str">
        <f>IFERROR(__xludf.DUMMYFUNCTION("""COMPUTED_VALUE"""),"MON")</f>
        <v>MON</v>
      </c>
      <c r="J145" s="8" t="str">
        <f>IFERROR(__xludf.DUMMYFUNCTION("""COMPUTED_VALUE"""),"2:00 PM")</f>
        <v>2:00 PM</v>
      </c>
      <c r="K145" s="8" t="str">
        <f>IFERROR(__xludf.DUMMYFUNCTION("""COMPUTED_VALUE"""),"FT11-01L")</f>
        <v>FT11-01L</v>
      </c>
      <c r="L145" s="8"/>
      <c r="M145" s="10" t="str">
        <f>IFERROR(VLOOKUP(D145,FacultyList!B:G,6,FALSE),"")</f>
        <v>hamidul.hussain@bracu.ac.bd</v>
      </c>
    </row>
    <row r="146">
      <c r="A146" s="5" t="str">
        <f>IFERROR(__xludf.DUMMYFUNCTION("""COMPUTED_VALUE"""),"CSE260-01A")</f>
        <v>CSE260-01A</v>
      </c>
      <c r="B146" s="8"/>
      <c r="C146" s="8"/>
      <c r="D146" s="8" t="str">
        <f>IFERROR(__xludf.DUMMYFUNCTION("""COMPUTED_VALUE"""),"DZK")</f>
        <v>DZK</v>
      </c>
      <c r="E146" s="8" t="str">
        <f>IFERROR(__xludf.DUMMYFUNCTION("""COMPUTED_VALUE"""),"SUN+TUE")</f>
        <v>SUN+TUE</v>
      </c>
      <c r="F146" s="8" t="str">
        <f>IFERROR(__xludf.DUMMYFUNCTION("""COMPUTED_VALUE"""),"12:30 PM")</f>
        <v>12:30 PM</v>
      </c>
      <c r="G146" s="9" t="str">
        <f>IFERROR(__xludf.DUMMYFUNCTION("""COMPUTED_VALUE"""),"09E-20T")</f>
        <v>09E-20T</v>
      </c>
      <c r="H146" s="8" t="str">
        <f>IFERROR(__xludf.DUMMYFUNCTION("""COMPUTED_VALUE"""),"DZK,ADD")</f>
        <v>DZK,ADD</v>
      </c>
      <c r="I146" s="8" t="str">
        <f>IFERROR(__xludf.DUMMYFUNCTION("""COMPUTED_VALUE"""),"THU")</f>
        <v>THU</v>
      </c>
      <c r="J146" s="8" t="str">
        <f>IFERROR(__xludf.DUMMYFUNCTION("""COMPUTED_VALUE"""),"8:00 AM")</f>
        <v>8:00 AM</v>
      </c>
      <c r="K146" s="8" t="str">
        <f>IFERROR(__xludf.DUMMYFUNCTION("""COMPUTED_VALUE"""),"FT10-04L")</f>
        <v>FT10-04L</v>
      </c>
      <c r="L146" s="8"/>
      <c r="M146" s="10" t="str">
        <f>IFERROR(VLOOKUP(D146,FacultyList!B:G,6,FALSE),"")</f>
        <v>ziaul.karim@bracu.ac.bd</v>
      </c>
    </row>
    <row r="147">
      <c r="A147" s="5" t="str">
        <f>IFERROR(__xludf.DUMMYFUNCTION("""COMPUTED_VALUE"""),"CSE260-01B")</f>
        <v>CSE260-01B</v>
      </c>
      <c r="B147" s="8"/>
      <c r="C147" s="8"/>
      <c r="D147" s="8" t="str">
        <f>IFERROR(__xludf.DUMMYFUNCTION("""COMPUTED_VALUE"""),"DZK")</f>
        <v>DZK</v>
      </c>
      <c r="E147" s="8" t="str">
        <f>IFERROR(__xludf.DUMMYFUNCTION("""COMPUTED_VALUE"""),"SUN+TUE")</f>
        <v>SUN+TUE</v>
      </c>
      <c r="F147" s="8" t="str">
        <f>IFERROR(__xludf.DUMMYFUNCTION("""COMPUTED_VALUE"""),"12:30 PM")</f>
        <v>12:30 PM</v>
      </c>
      <c r="G147" s="9" t="str">
        <f>IFERROR(__xludf.DUMMYFUNCTION("""COMPUTED_VALUE"""),"09E-20T")</f>
        <v>09E-20T</v>
      </c>
      <c r="H147" s="8" t="str">
        <f>IFERROR(__xludf.DUMMYFUNCTION("""COMPUTED_VALUE"""),"MDF,MHM")</f>
        <v>MDF,MHM</v>
      </c>
      <c r="I147" s="8" t="str">
        <f>IFERROR(__xludf.DUMMYFUNCTION("""COMPUTED_VALUE"""),"THU")</f>
        <v>THU</v>
      </c>
      <c r="J147" s="8" t="str">
        <f>IFERROR(__xludf.DUMMYFUNCTION("""COMPUTED_VALUE"""),"8:00 AM")</f>
        <v>8:00 AM</v>
      </c>
      <c r="K147" s="8" t="str">
        <f>IFERROR(__xludf.DUMMYFUNCTION("""COMPUTED_VALUE"""),"FT10-03L")</f>
        <v>FT10-03L</v>
      </c>
      <c r="L147" s="8"/>
      <c r="M147" s="10" t="str">
        <f>IFERROR(VLOOKUP(D147,FacultyList!B:G,6,FALSE),"")</f>
        <v>ziaul.karim@bracu.ac.bd</v>
      </c>
    </row>
    <row r="148">
      <c r="A148" s="5" t="str">
        <f>IFERROR(__xludf.DUMMYFUNCTION("""COMPUTED_VALUE"""),"CSE260-02A")</f>
        <v>CSE260-02A</v>
      </c>
      <c r="B148" s="8"/>
      <c r="C148" s="8"/>
      <c r="D148" s="8" t="str">
        <f>IFERROR(__xludf.DUMMYFUNCTION("""COMPUTED_VALUE"""),"DZK")</f>
        <v>DZK</v>
      </c>
      <c r="E148" s="8" t="str">
        <f>IFERROR(__xludf.DUMMYFUNCTION("""COMPUTED_VALUE"""),"SUN+TUE")</f>
        <v>SUN+TUE</v>
      </c>
      <c r="F148" s="8" t="str">
        <f>IFERROR(__xludf.DUMMYFUNCTION("""COMPUTED_VALUE"""),"12:30 PM")</f>
        <v>12:30 PM</v>
      </c>
      <c r="G148" s="9" t="str">
        <f>IFERROR(__xludf.DUMMYFUNCTION("""COMPUTED_VALUE"""),"09E-20T")</f>
        <v>09E-20T</v>
      </c>
      <c r="H148" s="8" t="str">
        <f>IFERROR(__xludf.DUMMYFUNCTION("""COMPUTED_VALUE"""),"MDF,LMI")</f>
        <v>MDF,LMI</v>
      </c>
      <c r="I148" s="8" t="str">
        <f>IFERROR(__xludf.DUMMYFUNCTION("""COMPUTED_VALUE"""),"THU")</f>
        <v>THU</v>
      </c>
      <c r="J148" s="8" t="str">
        <f>IFERROR(__xludf.DUMMYFUNCTION("""COMPUTED_VALUE"""),"11:00 AM")</f>
        <v>11:00 AM</v>
      </c>
      <c r="K148" s="8" t="str">
        <f>IFERROR(__xludf.DUMMYFUNCTION("""COMPUTED_VALUE"""),"FT10-03L")</f>
        <v>FT10-03L</v>
      </c>
      <c r="L148" s="8"/>
      <c r="M148" s="10" t="str">
        <f>IFERROR(VLOOKUP(D148,FacultyList!B:G,6,FALSE),"")</f>
        <v>ziaul.karim@bracu.ac.bd</v>
      </c>
    </row>
    <row r="149">
      <c r="A149" s="5" t="str">
        <f>IFERROR(__xludf.DUMMYFUNCTION("""COMPUTED_VALUE"""),"CSE260-02B")</f>
        <v>CSE260-02B</v>
      </c>
      <c r="B149" s="8"/>
      <c r="C149" s="8"/>
      <c r="D149" s="8" t="str">
        <f>IFERROR(__xludf.DUMMYFUNCTION("""COMPUTED_VALUE"""),"DZK")</f>
        <v>DZK</v>
      </c>
      <c r="E149" s="8" t="str">
        <f>IFERROR(__xludf.DUMMYFUNCTION("""COMPUTED_VALUE"""),"SUN+TUE")</f>
        <v>SUN+TUE</v>
      </c>
      <c r="F149" s="8" t="str">
        <f>IFERROR(__xludf.DUMMYFUNCTION("""COMPUTED_VALUE"""),"12:30 PM")</f>
        <v>12:30 PM</v>
      </c>
      <c r="G149" s="9" t="str">
        <f>IFERROR(__xludf.DUMMYFUNCTION("""COMPUTED_VALUE"""),"09E-20T")</f>
        <v>09E-20T</v>
      </c>
      <c r="H149" s="8" t="str">
        <f>IFERROR(__xludf.DUMMYFUNCTION("""COMPUTED_VALUE"""),"DZK,PBK")</f>
        <v>DZK,PBK</v>
      </c>
      <c r="I149" s="8" t="str">
        <f>IFERROR(__xludf.DUMMYFUNCTION("""COMPUTED_VALUE"""),"THU")</f>
        <v>THU</v>
      </c>
      <c r="J149" s="8" t="str">
        <f>IFERROR(__xludf.DUMMYFUNCTION("""COMPUTED_VALUE"""),"11:00 AM")</f>
        <v>11:00 AM</v>
      </c>
      <c r="K149" s="8" t="str">
        <f>IFERROR(__xludf.DUMMYFUNCTION("""COMPUTED_VALUE"""),"FT10-04L")</f>
        <v>FT10-04L</v>
      </c>
      <c r="L149" s="8"/>
      <c r="M149" s="10" t="str">
        <f>IFERROR(VLOOKUP(D149,FacultyList!B:G,6,FALSE),"")</f>
        <v>ziaul.karim@bracu.ac.bd</v>
      </c>
    </row>
    <row r="150">
      <c r="A150" s="5" t="str">
        <f>IFERROR(__xludf.DUMMYFUNCTION("""COMPUTED_VALUE"""),"CSE260-03A")</f>
        <v>CSE260-03A</v>
      </c>
      <c r="B150" s="8"/>
      <c r="C150" s="8"/>
      <c r="D150" s="8" t="str">
        <f>IFERROR(__xludf.DUMMYFUNCTION("""COMPUTED_VALUE"""),"DZK")</f>
        <v>DZK</v>
      </c>
      <c r="E150" s="8" t="str">
        <f>IFERROR(__xludf.DUMMYFUNCTION("""COMPUTED_VALUE"""),"SUN+TUE")</f>
        <v>SUN+TUE</v>
      </c>
      <c r="F150" s="8" t="str">
        <f>IFERROR(__xludf.DUMMYFUNCTION("""COMPUTED_VALUE"""),"12:30 PM")</f>
        <v>12:30 PM</v>
      </c>
      <c r="G150" s="9" t="str">
        <f>IFERROR(__xludf.DUMMYFUNCTION("""COMPUTED_VALUE"""),"09E-20T")</f>
        <v>09E-20T</v>
      </c>
      <c r="H150" s="8" t="str">
        <f>IFERROR(__xludf.DUMMYFUNCTION("""COMPUTED_VALUE"""),"TWK,NQM")</f>
        <v>TWK,NQM</v>
      </c>
      <c r="I150" s="8" t="str">
        <f>IFERROR(__xludf.DUMMYFUNCTION("""COMPUTED_VALUE"""),"WED")</f>
        <v>WED</v>
      </c>
      <c r="J150" s="8" t="str">
        <f>IFERROR(__xludf.DUMMYFUNCTION("""COMPUTED_VALUE"""),"8:00 AM")</f>
        <v>8:00 AM</v>
      </c>
      <c r="K150" s="8" t="str">
        <f>IFERROR(__xludf.DUMMYFUNCTION("""COMPUTED_VALUE"""),"FT10-04L")</f>
        <v>FT10-04L</v>
      </c>
      <c r="L150" s="8"/>
      <c r="M150" s="10" t="str">
        <f>IFERROR(VLOOKUP(D150,FacultyList!B:G,6,FALSE),"")</f>
        <v>ziaul.karim@bracu.ac.bd</v>
      </c>
    </row>
    <row r="151">
      <c r="A151" s="5" t="str">
        <f>IFERROR(__xludf.DUMMYFUNCTION("""COMPUTED_VALUE"""),"CSE260-03B")</f>
        <v>CSE260-03B</v>
      </c>
      <c r="B151" s="8"/>
      <c r="C151" s="8"/>
      <c r="D151" s="8" t="str">
        <f>IFERROR(__xludf.DUMMYFUNCTION("""COMPUTED_VALUE"""),"DZK")</f>
        <v>DZK</v>
      </c>
      <c r="E151" s="8" t="str">
        <f>IFERROR(__xludf.DUMMYFUNCTION("""COMPUTED_VALUE"""),"SUN+TUE")</f>
        <v>SUN+TUE</v>
      </c>
      <c r="F151" s="8" t="str">
        <f>IFERROR(__xludf.DUMMYFUNCTION("""COMPUTED_VALUE"""),"12:30 PM")</f>
        <v>12:30 PM</v>
      </c>
      <c r="G151" s="9" t="str">
        <f>IFERROR(__xludf.DUMMYFUNCTION("""COMPUTED_VALUE"""),"09E-20T")</f>
        <v>09E-20T</v>
      </c>
      <c r="H151" s="8" t="str">
        <f>IFERROR(__xludf.DUMMYFUNCTION("""COMPUTED_VALUE"""),"PRC,NMP")</f>
        <v>PRC,NMP</v>
      </c>
      <c r="I151" s="8" t="str">
        <f>IFERROR(__xludf.DUMMYFUNCTION("""COMPUTED_VALUE"""),"WED")</f>
        <v>WED</v>
      </c>
      <c r="J151" s="8" t="str">
        <f>IFERROR(__xludf.DUMMYFUNCTION("""COMPUTED_VALUE"""),"8:00 AM")</f>
        <v>8:00 AM</v>
      </c>
      <c r="K151" s="8" t="str">
        <f>IFERROR(__xludf.DUMMYFUNCTION("""COMPUTED_VALUE"""),"FT11-01L")</f>
        <v>FT11-01L</v>
      </c>
      <c r="L151" s="8"/>
      <c r="M151" s="10" t="str">
        <f>IFERROR(VLOOKUP(D151,FacultyList!B:G,6,FALSE),"")</f>
        <v>ziaul.karim@bracu.ac.bd</v>
      </c>
    </row>
    <row r="152">
      <c r="A152" s="5" t="str">
        <f>IFERROR(__xludf.DUMMYFUNCTION("""COMPUTED_VALUE"""),"CSE260-04A")</f>
        <v>CSE260-04A</v>
      </c>
      <c r="B152" s="8"/>
      <c r="C152" s="8"/>
      <c r="D152" s="8" t="str">
        <f>IFERROR(__xludf.DUMMYFUNCTION("""COMPUTED_VALUE"""),"MSMA")</f>
        <v>MSMA</v>
      </c>
      <c r="E152" s="8" t="str">
        <f>IFERROR(__xludf.DUMMYFUNCTION("""COMPUTED_VALUE"""),"SUN+TUE")</f>
        <v>SUN+TUE</v>
      </c>
      <c r="F152" s="8" t="str">
        <f>IFERROR(__xludf.DUMMYFUNCTION("""COMPUTED_VALUE"""),"9:30 AM")</f>
        <v>9:30 AM</v>
      </c>
      <c r="G152" s="9" t="str">
        <f>IFERROR(__xludf.DUMMYFUNCTION("""COMPUTED_VALUE"""),"07D-20C")</f>
        <v>07D-20C</v>
      </c>
      <c r="H152" s="8" t="str">
        <f>IFERROR(__xludf.DUMMYFUNCTION("""COMPUTED_VALUE"""),"RFF,CNZR")</f>
        <v>RFF,CNZR</v>
      </c>
      <c r="I152" s="8" t="str">
        <f>IFERROR(__xludf.DUMMYFUNCTION("""COMPUTED_VALUE"""),"WED")</f>
        <v>WED</v>
      </c>
      <c r="J152" s="8" t="str">
        <f>IFERROR(__xludf.DUMMYFUNCTION("""COMPUTED_VALUE"""),"11:00 AM")</f>
        <v>11:00 AM</v>
      </c>
      <c r="K152" s="8" t="str">
        <f>IFERROR(__xludf.DUMMYFUNCTION("""COMPUTED_VALUE"""),"FT10-04L")</f>
        <v>FT10-04L</v>
      </c>
      <c r="L152" s="8"/>
      <c r="M152" s="10" t="str">
        <f>IFERROR(VLOOKUP(D152,FacultyList!B:G,6,FALSE),"")</f>
        <v>shamim.mia@bracu.ac.bd</v>
      </c>
    </row>
    <row r="153">
      <c r="A153" s="5" t="str">
        <f>IFERROR(__xludf.DUMMYFUNCTION("""COMPUTED_VALUE"""),"CSE260-04B")</f>
        <v>CSE260-04B</v>
      </c>
      <c r="B153" s="8"/>
      <c r="C153" s="8"/>
      <c r="D153" s="8" t="str">
        <f>IFERROR(__xludf.DUMMYFUNCTION("""COMPUTED_VALUE"""),"MSMA")</f>
        <v>MSMA</v>
      </c>
      <c r="E153" s="8" t="str">
        <f>IFERROR(__xludf.DUMMYFUNCTION("""COMPUTED_VALUE"""),"SUN+TUE")</f>
        <v>SUN+TUE</v>
      </c>
      <c r="F153" s="8" t="str">
        <f>IFERROR(__xludf.DUMMYFUNCTION("""COMPUTED_VALUE"""),"9:30 AM")</f>
        <v>9:30 AM</v>
      </c>
      <c r="G153" s="9" t="str">
        <f>IFERROR(__xludf.DUMMYFUNCTION("""COMPUTED_VALUE"""),"07D-20C")</f>
        <v>07D-20C</v>
      </c>
      <c r="H153" s="8" t="str">
        <f>IFERROR(__xludf.DUMMYFUNCTION("""COMPUTED_VALUE"""),"CABS,NQM")</f>
        <v>CABS,NQM</v>
      </c>
      <c r="I153" s="8" t="str">
        <f>IFERROR(__xludf.DUMMYFUNCTION("""COMPUTED_VALUE"""),"WED")</f>
        <v>WED</v>
      </c>
      <c r="J153" s="8" t="str">
        <f>IFERROR(__xludf.DUMMYFUNCTION("""COMPUTED_VALUE"""),"2:00 PM")</f>
        <v>2:00 PM</v>
      </c>
      <c r="K153" s="8" t="str">
        <f>IFERROR(__xludf.DUMMYFUNCTION("""COMPUTED_VALUE"""),"FT10-04L")</f>
        <v>FT10-04L</v>
      </c>
      <c r="L153" s="8"/>
      <c r="M153" s="10" t="str">
        <f>IFERROR(VLOOKUP(D153,FacultyList!B:G,6,FALSE),"")</f>
        <v>shamim.mia@bracu.ac.bd</v>
      </c>
    </row>
    <row r="154">
      <c r="A154" s="5" t="str">
        <f>IFERROR(__xludf.DUMMYFUNCTION("""COMPUTED_VALUE"""),"CSE260-05A")</f>
        <v>CSE260-05A</v>
      </c>
      <c r="B154" s="8"/>
      <c r="C154" s="8"/>
      <c r="D154" s="8" t="str">
        <f>IFERROR(__xludf.DUMMYFUNCTION("""COMPUTED_VALUE"""),"PBK")</f>
        <v>PBK</v>
      </c>
      <c r="E154" s="8" t="str">
        <f>IFERROR(__xludf.DUMMYFUNCTION("""COMPUTED_VALUE"""),"SUN+TUE")</f>
        <v>SUN+TUE</v>
      </c>
      <c r="F154" s="8" t="str">
        <f>IFERROR(__xludf.DUMMYFUNCTION("""COMPUTED_VALUE"""),"8:00 AM")</f>
        <v>8:00 AM</v>
      </c>
      <c r="G154" s="9" t="str">
        <f>IFERROR(__xludf.DUMMYFUNCTION("""COMPUTED_VALUE"""),"09A-07C")</f>
        <v>09A-07C</v>
      </c>
      <c r="H154" s="8" t="str">
        <f>IFERROR(__xludf.DUMMYFUNCTION("""COMPUTED_VALUE"""),"DZK,LMI")</f>
        <v>DZK,LMI</v>
      </c>
      <c r="I154" s="8" t="str">
        <f>IFERROR(__xludf.DUMMYFUNCTION("""COMPUTED_VALUE"""),"THU")</f>
        <v>THU</v>
      </c>
      <c r="J154" s="8" t="str">
        <f>IFERROR(__xludf.DUMMYFUNCTION("""COMPUTED_VALUE"""),"2:00 PM")</f>
        <v>2:00 PM</v>
      </c>
      <c r="K154" s="8" t="str">
        <f>IFERROR(__xludf.DUMMYFUNCTION("""COMPUTED_VALUE"""),"FT10-03L")</f>
        <v>FT10-03L</v>
      </c>
      <c r="L154" s="8"/>
      <c r="M154" s="10" t="str">
        <f>IFERROR(VLOOKUP(D154,FacultyList!B:G,6,FALSE),"")</f>
        <v>partha.bhoumik@bracu.ac.bd</v>
      </c>
    </row>
    <row r="155">
      <c r="A155" s="5" t="str">
        <f>IFERROR(__xludf.DUMMYFUNCTION("""COMPUTED_VALUE"""),"CSE260-05B")</f>
        <v>CSE260-05B</v>
      </c>
      <c r="B155" s="8"/>
      <c r="C155" s="8"/>
      <c r="D155" s="8" t="str">
        <f>IFERROR(__xludf.DUMMYFUNCTION("""COMPUTED_VALUE"""),"PBK")</f>
        <v>PBK</v>
      </c>
      <c r="E155" s="8" t="str">
        <f>IFERROR(__xludf.DUMMYFUNCTION("""COMPUTED_VALUE"""),"SUN+TUE")</f>
        <v>SUN+TUE</v>
      </c>
      <c r="F155" s="8" t="str">
        <f>IFERROR(__xludf.DUMMYFUNCTION("""COMPUTED_VALUE"""),"8:00 AM")</f>
        <v>8:00 AM</v>
      </c>
      <c r="G155" s="9" t="str">
        <f>IFERROR(__xludf.DUMMYFUNCTION("""COMPUTED_VALUE"""),"09A-07C")</f>
        <v>09A-07C</v>
      </c>
      <c r="H155" s="8" t="str">
        <f>IFERROR(__xludf.DUMMYFUNCTION("""COMPUTED_VALUE"""),"MDF,AHA")</f>
        <v>MDF,AHA</v>
      </c>
      <c r="I155" s="8" t="str">
        <f>IFERROR(__xludf.DUMMYFUNCTION("""COMPUTED_VALUE"""),"THU")</f>
        <v>THU</v>
      </c>
      <c r="J155" s="8" t="str">
        <f>IFERROR(__xludf.DUMMYFUNCTION("""COMPUTED_VALUE"""),"2:00 PM")</f>
        <v>2:00 PM</v>
      </c>
      <c r="K155" s="8" t="str">
        <f>IFERROR(__xludf.DUMMYFUNCTION("""COMPUTED_VALUE"""),"FT10-04L")</f>
        <v>FT10-04L</v>
      </c>
      <c r="L155" s="8"/>
      <c r="M155" s="10" t="str">
        <f>IFERROR(VLOOKUP(D155,FacultyList!B:G,6,FALSE),"")</f>
        <v>partha.bhoumik@bracu.ac.bd</v>
      </c>
    </row>
    <row r="156">
      <c r="A156" s="5" t="str">
        <f>IFERROR(__xludf.DUMMYFUNCTION("""COMPUTED_VALUE"""),"CSE260-06A")</f>
        <v>CSE260-06A</v>
      </c>
      <c r="B156" s="8"/>
      <c r="C156" s="8"/>
      <c r="D156" s="8" t="str">
        <f>IFERROR(__xludf.DUMMYFUNCTION("""COMPUTED_VALUE"""),"PBK")</f>
        <v>PBK</v>
      </c>
      <c r="E156" s="8" t="str">
        <f>IFERROR(__xludf.DUMMYFUNCTION("""COMPUTED_VALUE"""),"SUN+TUE")</f>
        <v>SUN+TUE</v>
      </c>
      <c r="F156" s="8" t="str">
        <f>IFERROR(__xludf.DUMMYFUNCTION("""COMPUTED_VALUE"""),"9:30 AM")</f>
        <v>9:30 AM</v>
      </c>
      <c r="G156" s="9" t="str">
        <f>IFERROR(__xludf.DUMMYFUNCTION("""COMPUTED_VALUE"""),"09A-07C")</f>
        <v>09A-07C</v>
      </c>
      <c r="H156" s="8" t="str">
        <f>IFERROR(__xludf.DUMMYFUNCTION("""COMPUTED_VALUE"""),"AFQ,AKHD")</f>
        <v>AFQ,AKHD</v>
      </c>
      <c r="I156" s="8" t="str">
        <f>IFERROR(__xludf.DUMMYFUNCTION("""COMPUTED_VALUE"""),"THU")</f>
        <v>THU</v>
      </c>
      <c r="J156" s="8" t="str">
        <f>IFERROR(__xludf.DUMMYFUNCTION("""COMPUTED_VALUE"""),"8:00 AM")</f>
        <v>8:00 AM</v>
      </c>
      <c r="K156" s="8" t="str">
        <f>IFERROR(__xludf.DUMMYFUNCTION("""COMPUTED_VALUE"""),"FT10-02L")</f>
        <v>FT10-02L</v>
      </c>
      <c r="L156" s="8"/>
      <c r="M156" s="10" t="str">
        <f>IFERROR(VLOOKUP(D156,FacultyList!B:G,6,FALSE),"")</f>
        <v>partha.bhoumik@bracu.ac.bd</v>
      </c>
    </row>
    <row r="157">
      <c r="A157" s="5" t="str">
        <f>IFERROR(__xludf.DUMMYFUNCTION("""COMPUTED_VALUE"""),"CSE260-06B")</f>
        <v>CSE260-06B</v>
      </c>
      <c r="B157" s="8"/>
      <c r="C157" s="8"/>
      <c r="D157" s="8" t="str">
        <f>IFERROR(__xludf.DUMMYFUNCTION("""COMPUTED_VALUE"""),"PBK")</f>
        <v>PBK</v>
      </c>
      <c r="E157" s="8" t="str">
        <f>IFERROR(__xludf.DUMMYFUNCTION("""COMPUTED_VALUE"""),"SUN+TUE")</f>
        <v>SUN+TUE</v>
      </c>
      <c r="F157" s="8" t="str">
        <f>IFERROR(__xludf.DUMMYFUNCTION("""COMPUTED_VALUE"""),"9:30 AM")</f>
        <v>9:30 AM</v>
      </c>
      <c r="G157" s="9" t="str">
        <f>IFERROR(__xludf.DUMMYFUNCTION("""COMPUTED_VALUE"""),"09A-07C")</f>
        <v>09A-07C</v>
      </c>
      <c r="H157" s="8" t="str">
        <f>IFERROR(__xludf.DUMMYFUNCTION("""COMPUTED_VALUE"""),"THR,AAF")</f>
        <v>THR,AAF</v>
      </c>
      <c r="I157" s="8" t="str">
        <f>IFERROR(__xludf.DUMMYFUNCTION("""COMPUTED_VALUE"""),"SAT")</f>
        <v>SAT</v>
      </c>
      <c r="J157" s="8" t="str">
        <f>IFERROR(__xludf.DUMMYFUNCTION("""COMPUTED_VALUE"""),"8:00 AM")</f>
        <v>8:00 AM</v>
      </c>
      <c r="K157" s="8" t="str">
        <f>IFERROR(__xludf.DUMMYFUNCTION("""COMPUTED_VALUE"""),"FT10-03L")</f>
        <v>FT10-03L</v>
      </c>
      <c r="L157" s="8"/>
      <c r="M157" s="10" t="str">
        <f>IFERROR(VLOOKUP(D157,FacultyList!B:G,6,FALSE),"")</f>
        <v>partha.bhoumik@bracu.ac.bd</v>
      </c>
    </row>
    <row r="158">
      <c r="A158" s="5" t="str">
        <f>IFERROR(__xludf.DUMMYFUNCTION("""COMPUTED_VALUE"""),"CSE260-07A")</f>
        <v>CSE260-07A</v>
      </c>
      <c r="B158" s="8"/>
      <c r="C158" s="8"/>
      <c r="D158" s="8" t="str">
        <f>IFERROR(__xludf.DUMMYFUNCTION("""COMPUTED_VALUE"""),"FIC")</f>
        <v>FIC</v>
      </c>
      <c r="E158" s="8" t="str">
        <f>IFERROR(__xludf.DUMMYFUNCTION("""COMPUTED_VALUE"""),"SUN+TUE")</f>
        <v>SUN+TUE</v>
      </c>
      <c r="F158" s="8" t="str">
        <f>IFERROR(__xludf.DUMMYFUNCTION("""COMPUTED_VALUE"""),"2:00 PM")</f>
        <v>2:00 PM</v>
      </c>
      <c r="G158" s="9" t="str">
        <f>IFERROR(__xludf.DUMMYFUNCTION("""COMPUTED_VALUE"""),"09E-20T")</f>
        <v>09E-20T</v>
      </c>
      <c r="H158" s="8" t="str">
        <f>IFERROR(__xludf.DUMMYFUNCTION("""COMPUTED_VALUE"""),"AHA,MAO")</f>
        <v>AHA,MAO</v>
      </c>
      <c r="I158" s="8" t="str">
        <f>IFERROR(__xludf.DUMMYFUNCTION("""COMPUTED_VALUE"""),"THU")</f>
        <v>THU</v>
      </c>
      <c r="J158" s="8" t="str">
        <f>IFERROR(__xludf.DUMMYFUNCTION("""COMPUTED_VALUE"""),"11:00 AM")</f>
        <v>11:00 AM</v>
      </c>
      <c r="K158" s="8" t="str">
        <f>IFERROR(__xludf.DUMMYFUNCTION("""COMPUTED_VALUE"""),"FT10-02L")</f>
        <v>FT10-02L</v>
      </c>
      <c r="L158" s="8"/>
      <c r="M158" s="10" t="str">
        <f>IFERROR(VLOOKUP(D158,FacultyList!B:G,6,FALSE),"")</f>
        <v>fatiha.ishrar@bracu.ac.bd</v>
      </c>
    </row>
    <row r="159">
      <c r="A159" s="5" t="str">
        <f>IFERROR(__xludf.DUMMYFUNCTION("""COMPUTED_VALUE"""),"CSE260-07B")</f>
        <v>CSE260-07B</v>
      </c>
      <c r="B159" s="8"/>
      <c r="C159" s="8"/>
      <c r="D159" s="8" t="str">
        <f>IFERROR(__xludf.DUMMYFUNCTION("""COMPUTED_VALUE"""),"FIC")</f>
        <v>FIC</v>
      </c>
      <c r="E159" s="8" t="str">
        <f>IFERROR(__xludf.DUMMYFUNCTION("""COMPUTED_VALUE"""),"SUN+TUE")</f>
        <v>SUN+TUE</v>
      </c>
      <c r="F159" s="8" t="str">
        <f>IFERROR(__xludf.DUMMYFUNCTION("""COMPUTED_VALUE"""),"2:00 PM")</f>
        <v>2:00 PM</v>
      </c>
      <c r="G159" s="9" t="str">
        <f>IFERROR(__xludf.DUMMYFUNCTION("""COMPUTED_VALUE"""),"09E-20T")</f>
        <v>09E-20T</v>
      </c>
      <c r="H159" s="8" t="str">
        <f>IFERROR(__xludf.DUMMYFUNCTION("""COMPUTED_VALUE"""),"CMHH,MHM")</f>
        <v>CMHH,MHM</v>
      </c>
      <c r="I159" s="8" t="str">
        <f>IFERROR(__xludf.DUMMYFUNCTION("""COMPUTED_VALUE"""),"THU")</f>
        <v>THU</v>
      </c>
      <c r="J159" s="8" t="str">
        <f>IFERROR(__xludf.DUMMYFUNCTION("""COMPUTED_VALUE"""),"2:00 PM")</f>
        <v>2:00 PM</v>
      </c>
      <c r="K159" s="8" t="str">
        <f>IFERROR(__xludf.DUMMYFUNCTION("""COMPUTED_VALUE"""),"FT10-02L")</f>
        <v>FT10-02L</v>
      </c>
      <c r="L159" s="8"/>
      <c r="M159" s="10" t="str">
        <f>IFERROR(VLOOKUP(D159,FacultyList!B:G,6,FALSE),"")</f>
        <v>fatiha.ishrar@bracu.ac.bd</v>
      </c>
    </row>
    <row r="160">
      <c r="A160" s="5" t="str">
        <f>IFERROR(__xludf.DUMMYFUNCTION("""COMPUTED_VALUE"""),"CSE260-08A")</f>
        <v>CSE260-08A</v>
      </c>
      <c r="B160" s="8"/>
      <c r="C160" s="8"/>
      <c r="D160" s="8" t="str">
        <f>IFERROR(__xludf.DUMMYFUNCTION("""COMPUTED_VALUE"""),"FIC")</f>
        <v>FIC</v>
      </c>
      <c r="E160" s="8" t="str">
        <f>IFERROR(__xludf.DUMMYFUNCTION("""COMPUTED_VALUE"""),"SUN+TUE")</f>
        <v>SUN+TUE</v>
      </c>
      <c r="F160" s="8" t="str">
        <f>IFERROR(__xludf.DUMMYFUNCTION("""COMPUTED_VALUE"""),"2:00 PM")</f>
        <v>2:00 PM</v>
      </c>
      <c r="G160" s="9" t="str">
        <f>IFERROR(__xludf.DUMMYFUNCTION("""COMPUTED_VALUE"""),"09E-20T")</f>
        <v>09E-20T</v>
      </c>
      <c r="H160" s="8" t="str">
        <f>IFERROR(__xludf.DUMMYFUNCTION("""COMPUTED_VALUE"""),"FIC,RDS")</f>
        <v>FIC,RDS</v>
      </c>
      <c r="I160" s="8" t="str">
        <f>IFERROR(__xludf.DUMMYFUNCTION("""COMPUTED_VALUE"""),"WED")</f>
        <v>WED</v>
      </c>
      <c r="J160" s="8" t="str">
        <f>IFERROR(__xludf.DUMMYFUNCTION("""COMPUTED_VALUE"""),"2:00 PM")</f>
        <v>2:00 PM</v>
      </c>
      <c r="K160" s="8" t="str">
        <f>IFERROR(__xludf.DUMMYFUNCTION("""COMPUTED_VALUE"""),"FT10-02L")</f>
        <v>FT10-02L</v>
      </c>
      <c r="L160" s="8"/>
      <c r="M160" s="10" t="str">
        <f>IFERROR(VLOOKUP(D160,FacultyList!B:G,6,FALSE),"")</f>
        <v>fatiha.ishrar@bracu.ac.bd</v>
      </c>
    </row>
    <row r="161">
      <c r="A161" s="5" t="str">
        <f>IFERROR(__xludf.DUMMYFUNCTION("""COMPUTED_VALUE"""),"CSE260-08B")</f>
        <v>CSE260-08B</v>
      </c>
      <c r="B161" s="8"/>
      <c r="C161" s="8"/>
      <c r="D161" s="8" t="str">
        <f>IFERROR(__xludf.DUMMYFUNCTION("""COMPUTED_VALUE"""),"FIC")</f>
        <v>FIC</v>
      </c>
      <c r="E161" s="8" t="str">
        <f>IFERROR(__xludf.DUMMYFUNCTION("""COMPUTED_VALUE"""),"SUN+TUE")</f>
        <v>SUN+TUE</v>
      </c>
      <c r="F161" s="8" t="str">
        <f>IFERROR(__xludf.DUMMYFUNCTION("""COMPUTED_VALUE"""),"2:00 PM")</f>
        <v>2:00 PM</v>
      </c>
      <c r="G161" s="9" t="str">
        <f>IFERROR(__xludf.DUMMYFUNCTION("""COMPUTED_VALUE"""),"09E-20T")</f>
        <v>09E-20T</v>
      </c>
      <c r="H161" s="8" t="str">
        <f>IFERROR(__xludf.DUMMYFUNCTION("""COMPUTED_VALUE"""),"MCW,CMHH")</f>
        <v>MCW,CMHH</v>
      </c>
      <c r="I161" s="8" t="str">
        <f>IFERROR(__xludf.DUMMYFUNCTION("""COMPUTED_VALUE"""),"WED")</f>
        <v>WED</v>
      </c>
      <c r="J161" s="8" t="str">
        <f>IFERROR(__xludf.DUMMYFUNCTION("""COMPUTED_VALUE"""),"2:00 PM")</f>
        <v>2:00 PM</v>
      </c>
      <c r="K161" s="8" t="str">
        <f>IFERROR(__xludf.DUMMYFUNCTION("""COMPUTED_VALUE"""),"FT10-03L")</f>
        <v>FT10-03L</v>
      </c>
      <c r="L161" s="8"/>
      <c r="M161" s="10" t="str">
        <f>IFERROR(VLOOKUP(D161,FacultyList!B:G,6,FALSE),"")</f>
        <v>fatiha.ishrar@bracu.ac.bd</v>
      </c>
    </row>
    <row r="162">
      <c r="A162" s="5" t="str">
        <f>IFERROR(__xludf.DUMMYFUNCTION("""COMPUTED_VALUE"""),"CSE260-09A")</f>
        <v>CSE260-09A</v>
      </c>
      <c r="B162" s="8"/>
      <c r="C162" s="8"/>
      <c r="D162" s="8" t="str">
        <f>IFERROR(__xludf.DUMMYFUNCTION("""COMPUTED_VALUE"""),"FIC")</f>
        <v>FIC</v>
      </c>
      <c r="E162" s="8" t="str">
        <f>IFERROR(__xludf.DUMMYFUNCTION("""COMPUTED_VALUE"""),"SUN+TUE")</f>
        <v>SUN+TUE</v>
      </c>
      <c r="F162" s="8" t="str">
        <f>IFERROR(__xludf.DUMMYFUNCTION("""COMPUTED_VALUE"""),"2:00 PM")</f>
        <v>2:00 PM</v>
      </c>
      <c r="G162" s="9" t="str">
        <f>IFERROR(__xludf.DUMMYFUNCTION("""COMPUTED_VALUE"""),"09E-20T")</f>
        <v>09E-20T</v>
      </c>
      <c r="H162" s="8" t="str">
        <f>IFERROR(__xludf.DUMMYFUNCTION("""COMPUTED_VALUE"""),"AWK,RDS")</f>
        <v>AWK,RDS</v>
      </c>
      <c r="I162" s="8" t="str">
        <f>IFERROR(__xludf.DUMMYFUNCTION("""COMPUTED_VALUE"""),"WED")</f>
        <v>WED</v>
      </c>
      <c r="J162" s="8" t="str">
        <f>IFERROR(__xludf.DUMMYFUNCTION("""COMPUTED_VALUE"""),"8:00 AM")</f>
        <v>8:00 AM</v>
      </c>
      <c r="K162" s="8" t="str">
        <f>IFERROR(__xludf.DUMMYFUNCTION("""COMPUTED_VALUE"""),"FT10-02L")</f>
        <v>FT10-02L</v>
      </c>
      <c r="L162" s="8"/>
      <c r="M162" s="10" t="str">
        <f>IFERROR(VLOOKUP(D162,FacultyList!B:G,6,FALSE),"")</f>
        <v>fatiha.ishrar@bracu.ac.bd</v>
      </c>
    </row>
    <row r="163">
      <c r="A163" s="5" t="str">
        <f>IFERROR(__xludf.DUMMYFUNCTION("""COMPUTED_VALUE"""),"CSE260-09B")</f>
        <v>CSE260-09B</v>
      </c>
      <c r="B163" s="8"/>
      <c r="C163" s="8"/>
      <c r="D163" s="8" t="str">
        <f>IFERROR(__xludf.DUMMYFUNCTION("""COMPUTED_VALUE"""),"FIC")</f>
        <v>FIC</v>
      </c>
      <c r="E163" s="8" t="str">
        <f>IFERROR(__xludf.DUMMYFUNCTION("""COMPUTED_VALUE"""),"SUN+TUE")</f>
        <v>SUN+TUE</v>
      </c>
      <c r="F163" s="8" t="str">
        <f>IFERROR(__xludf.DUMMYFUNCTION("""COMPUTED_VALUE"""),"2:00 PM")</f>
        <v>2:00 PM</v>
      </c>
      <c r="G163" s="9" t="str">
        <f>IFERROR(__xludf.DUMMYFUNCTION("""COMPUTED_VALUE"""),"09E-20T")</f>
        <v>09E-20T</v>
      </c>
      <c r="H163" s="8" t="str">
        <f>IFERROR(__xludf.DUMMYFUNCTION("""COMPUTED_VALUE"""),"MAO,LMI")</f>
        <v>MAO,LMI</v>
      </c>
      <c r="I163" s="8" t="str">
        <f>IFERROR(__xludf.DUMMYFUNCTION("""COMPUTED_VALUE"""),"WED")</f>
        <v>WED</v>
      </c>
      <c r="J163" s="8" t="str">
        <f>IFERROR(__xludf.DUMMYFUNCTION("""COMPUTED_VALUE"""),"8:00 AM")</f>
        <v>8:00 AM</v>
      </c>
      <c r="K163" s="8" t="str">
        <f>IFERROR(__xludf.DUMMYFUNCTION("""COMPUTED_VALUE"""),"FT10-03L")</f>
        <v>FT10-03L</v>
      </c>
      <c r="L163" s="8"/>
      <c r="M163" s="10" t="str">
        <f>IFERROR(VLOOKUP(D163,FacultyList!B:G,6,FALSE),"")</f>
        <v>fatiha.ishrar@bracu.ac.bd</v>
      </c>
    </row>
    <row r="164">
      <c r="A164" s="5" t="str">
        <f>IFERROR(__xludf.DUMMYFUNCTION("""COMPUTED_VALUE"""),"CSE260-10A")</f>
        <v>CSE260-10A</v>
      </c>
      <c r="B164" s="8"/>
      <c r="C164" s="8"/>
      <c r="D164" s="8" t="str">
        <f>IFERROR(__xludf.DUMMYFUNCTION("""COMPUTED_VALUE"""),"ASAK")</f>
        <v>ASAK</v>
      </c>
      <c r="E164" s="8" t="str">
        <f>IFERROR(__xludf.DUMMYFUNCTION("""COMPUTED_VALUE"""),"SUN+TUE")</f>
        <v>SUN+TUE</v>
      </c>
      <c r="F164" s="8" t="str">
        <f>IFERROR(__xludf.DUMMYFUNCTION("""COMPUTED_VALUE"""),"3:30 PM")</f>
        <v>3:30 PM</v>
      </c>
      <c r="G164" s="9" t="str">
        <f>IFERROR(__xludf.DUMMYFUNCTION("""COMPUTED_VALUE"""),"09A-04C")</f>
        <v>09A-04C</v>
      </c>
      <c r="H164" s="8" t="str">
        <f>IFERROR(__xludf.DUMMYFUNCTION("""COMPUTED_VALUE"""),"MCW,CAYR")</f>
        <v>MCW,CAYR</v>
      </c>
      <c r="I164" s="8" t="str">
        <f>IFERROR(__xludf.DUMMYFUNCTION("""COMPUTED_VALUE"""),"WED")</f>
        <v>WED</v>
      </c>
      <c r="J164" s="8" t="str">
        <f>IFERROR(__xludf.DUMMYFUNCTION("""COMPUTED_VALUE"""),"11:00 AM")</f>
        <v>11:00 AM</v>
      </c>
      <c r="K164" s="8" t="str">
        <f>IFERROR(__xludf.DUMMYFUNCTION("""COMPUTED_VALUE"""),"FT10-02L")</f>
        <v>FT10-02L</v>
      </c>
      <c r="L164" s="8"/>
      <c r="M164" s="10" t="str">
        <f>IFERROR(VLOOKUP(D164,FacultyList!B:G,6,FALSE),"")</f>
        <v>arnob.ankon@bracu.ac.bd</v>
      </c>
    </row>
    <row r="165">
      <c r="A165" s="5" t="str">
        <f>IFERROR(__xludf.DUMMYFUNCTION("""COMPUTED_VALUE"""),"CSE260-10B")</f>
        <v>CSE260-10B</v>
      </c>
      <c r="B165" s="8"/>
      <c r="C165" s="8"/>
      <c r="D165" s="8" t="str">
        <f>IFERROR(__xludf.DUMMYFUNCTION("""COMPUTED_VALUE"""),"ASAK")</f>
        <v>ASAK</v>
      </c>
      <c r="E165" s="8" t="str">
        <f>IFERROR(__xludf.DUMMYFUNCTION("""COMPUTED_VALUE"""),"SUN+TUE")</f>
        <v>SUN+TUE</v>
      </c>
      <c r="F165" s="8" t="str">
        <f>IFERROR(__xludf.DUMMYFUNCTION("""COMPUTED_VALUE"""),"3:30 PM")</f>
        <v>3:30 PM</v>
      </c>
      <c r="G165" s="9" t="str">
        <f>IFERROR(__xludf.DUMMYFUNCTION("""COMPUTED_VALUE"""),"09A-04C")</f>
        <v>09A-04C</v>
      </c>
      <c r="H165" s="8" t="str">
        <f>IFERROR(__xludf.DUMMYFUNCTION("""COMPUTED_VALUE"""),"MHM,LMI")</f>
        <v>MHM,LMI</v>
      </c>
      <c r="I165" s="8" t="str">
        <f>IFERROR(__xludf.DUMMYFUNCTION("""COMPUTED_VALUE"""),"WED")</f>
        <v>WED</v>
      </c>
      <c r="J165" s="8" t="str">
        <f>IFERROR(__xludf.DUMMYFUNCTION("""COMPUTED_VALUE"""),"11:00 AM")</f>
        <v>11:00 AM</v>
      </c>
      <c r="K165" s="8" t="str">
        <f>IFERROR(__xludf.DUMMYFUNCTION("""COMPUTED_VALUE"""),"FT10-03L")</f>
        <v>FT10-03L</v>
      </c>
      <c r="L165" s="8"/>
      <c r="M165" s="10" t="str">
        <f>IFERROR(VLOOKUP(D165,FacultyList!B:G,6,FALSE),"")</f>
        <v>arnob.ankon@bracu.ac.bd</v>
      </c>
    </row>
    <row r="166">
      <c r="A166" s="5" t="str">
        <f>IFERROR(__xludf.DUMMYFUNCTION("""COMPUTED_VALUE"""),"CSE260-11A")</f>
        <v>CSE260-11A</v>
      </c>
      <c r="B166" s="8"/>
      <c r="C166" s="8"/>
      <c r="D166" s="8" t="str">
        <f>IFERROR(__xludf.DUMMYFUNCTION("""COMPUTED_VALUE"""),"MAJIJ")</f>
        <v>MAJIJ</v>
      </c>
      <c r="E166" s="8" t="str">
        <f>IFERROR(__xludf.DUMMYFUNCTION("""COMPUTED_VALUE"""),"SAT+THU")</f>
        <v>SAT+THU</v>
      </c>
      <c r="F166" s="8" t="str">
        <f>IFERROR(__xludf.DUMMYFUNCTION("""COMPUTED_VALUE"""),"8:00 AM")</f>
        <v>8:00 AM</v>
      </c>
      <c r="G166" s="9" t="str">
        <f>IFERROR(__xludf.DUMMYFUNCTION("""COMPUTED_VALUE"""),"09A-06C")</f>
        <v>09A-06C</v>
      </c>
      <c r="H166" s="8" t="str">
        <f>IFERROR(__xludf.DUMMYFUNCTION("""COMPUTED_VALUE"""),"SUE,CAPN")</f>
        <v>SUE,CAPN</v>
      </c>
      <c r="I166" s="8" t="str">
        <f>IFERROR(__xludf.DUMMYFUNCTION("""COMPUTED_VALUE"""),"TUE")</f>
        <v>TUE</v>
      </c>
      <c r="J166" s="8" t="str">
        <f>IFERROR(__xludf.DUMMYFUNCTION("""COMPUTED_VALUE"""),"8:00 AM")</f>
        <v>8:00 AM</v>
      </c>
      <c r="K166" s="8" t="str">
        <f>IFERROR(__xludf.DUMMYFUNCTION("""COMPUTED_VALUE"""),"FT10-04L")</f>
        <v>FT10-04L</v>
      </c>
      <c r="L166" s="8"/>
      <c r="M166" s="10" t="str">
        <f>IFERROR(VLOOKUP(D166,FacultyList!B:G,6,FALSE),"")</f>
        <v>majisha.jahan@bracu.ac.bd</v>
      </c>
    </row>
    <row r="167">
      <c r="A167" s="5" t="str">
        <f>IFERROR(__xludf.DUMMYFUNCTION("""COMPUTED_VALUE"""),"CSE260-11B")</f>
        <v>CSE260-11B</v>
      </c>
      <c r="B167" s="8"/>
      <c r="C167" s="8"/>
      <c r="D167" s="8" t="str">
        <f>IFERROR(__xludf.DUMMYFUNCTION("""COMPUTED_VALUE"""),"MAJIJ")</f>
        <v>MAJIJ</v>
      </c>
      <c r="E167" s="8" t="str">
        <f>IFERROR(__xludf.DUMMYFUNCTION("""COMPUTED_VALUE"""),"SAT+THU")</f>
        <v>SAT+THU</v>
      </c>
      <c r="F167" s="8" t="str">
        <f>IFERROR(__xludf.DUMMYFUNCTION("""COMPUTED_VALUE"""),"8:00 AM")</f>
        <v>8:00 AM</v>
      </c>
      <c r="G167" s="9" t="str">
        <f>IFERROR(__xludf.DUMMYFUNCTION("""COMPUTED_VALUE"""),"09A-06C")</f>
        <v>09A-06C</v>
      </c>
      <c r="H167" s="8" t="str">
        <f>IFERROR(__xludf.DUMMYFUNCTION("""COMPUTED_VALUE"""),"CMHQ,SMDS")</f>
        <v>CMHQ,SMDS</v>
      </c>
      <c r="I167" s="8" t="str">
        <f>IFERROR(__xludf.DUMMYFUNCTION("""COMPUTED_VALUE"""),"MON")</f>
        <v>MON</v>
      </c>
      <c r="J167" s="8" t="str">
        <f>IFERROR(__xludf.DUMMYFUNCTION("""COMPUTED_VALUE"""),"2:00 PM")</f>
        <v>2:00 PM</v>
      </c>
      <c r="K167" s="8" t="str">
        <f>IFERROR(__xludf.DUMMYFUNCTION("""COMPUTED_VALUE"""),"FT10-04L")</f>
        <v>FT10-04L</v>
      </c>
      <c r="L167" s="8"/>
      <c r="M167" s="10" t="str">
        <f>IFERROR(VLOOKUP(D167,FacultyList!B:G,6,FALSE),"")</f>
        <v>majisha.jahan@bracu.ac.bd</v>
      </c>
    </row>
    <row r="168">
      <c r="A168" s="5" t="str">
        <f>IFERROR(__xludf.DUMMYFUNCTION("""COMPUTED_VALUE"""),"CSE260-12A")</f>
        <v>CSE260-12A</v>
      </c>
      <c r="B168" s="8"/>
      <c r="C168" s="8"/>
      <c r="D168" s="8" t="str">
        <f>IFERROR(__xludf.DUMMYFUNCTION("""COMPUTED_VALUE"""),"MAJIJ")</f>
        <v>MAJIJ</v>
      </c>
      <c r="E168" s="8" t="str">
        <f>IFERROR(__xludf.DUMMYFUNCTION("""COMPUTED_VALUE"""),"SAT+THU")</f>
        <v>SAT+THU</v>
      </c>
      <c r="F168" s="8" t="str">
        <f>IFERROR(__xludf.DUMMYFUNCTION("""COMPUTED_VALUE"""),"9:30 AM")</f>
        <v>9:30 AM</v>
      </c>
      <c r="G168" s="9" t="str">
        <f>IFERROR(__xludf.DUMMYFUNCTION("""COMPUTED_VALUE"""),"09A-06C")</f>
        <v>09A-06C</v>
      </c>
      <c r="H168" s="8" t="str">
        <f>IFERROR(__xludf.DUMMYFUNCTION("""COMPUTED_VALUE"""),"SMDS,MCW")</f>
        <v>SMDS,MCW</v>
      </c>
      <c r="I168" s="8" t="str">
        <f>IFERROR(__xludf.DUMMYFUNCTION("""COMPUTED_VALUE"""),"TUE")</f>
        <v>TUE</v>
      </c>
      <c r="J168" s="8" t="str">
        <f>IFERROR(__xludf.DUMMYFUNCTION("""COMPUTED_VALUE"""),"11:00 AM")</f>
        <v>11:00 AM</v>
      </c>
      <c r="K168" s="8" t="str">
        <f>IFERROR(__xludf.DUMMYFUNCTION("""COMPUTED_VALUE"""),"FT10-04L")</f>
        <v>FT10-04L</v>
      </c>
      <c r="L168" s="8"/>
      <c r="M168" s="10" t="str">
        <f>IFERROR(VLOOKUP(D168,FacultyList!B:G,6,FALSE),"")</f>
        <v>majisha.jahan@bracu.ac.bd</v>
      </c>
    </row>
    <row r="169">
      <c r="A169" s="5" t="str">
        <f>IFERROR(__xludf.DUMMYFUNCTION("""COMPUTED_VALUE"""),"CSE260-12B")</f>
        <v>CSE260-12B</v>
      </c>
      <c r="B169" s="8"/>
      <c r="C169" s="8"/>
      <c r="D169" s="8" t="str">
        <f>IFERROR(__xludf.DUMMYFUNCTION("""COMPUTED_VALUE"""),"MAJIJ")</f>
        <v>MAJIJ</v>
      </c>
      <c r="E169" s="8" t="str">
        <f>IFERROR(__xludf.DUMMYFUNCTION("""COMPUTED_VALUE"""),"SAT+THU")</f>
        <v>SAT+THU</v>
      </c>
      <c r="F169" s="8" t="str">
        <f>IFERROR(__xludf.DUMMYFUNCTION("""COMPUTED_VALUE"""),"9:30 AM")</f>
        <v>9:30 AM</v>
      </c>
      <c r="G169" s="9" t="str">
        <f>IFERROR(__xludf.DUMMYFUNCTION("""COMPUTED_VALUE"""),"09A-06C")</f>
        <v>09A-06C</v>
      </c>
      <c r="H169" s="8" t="str">
        <f>IFERROR(__xludf.DUMMYFUNCTION("""COMPUTED_VALUE"""),"MCW,SMDS")</f>
        <v>MCW,SMDS</v>
      </c>
      <c r="I169" s="8" t="str">
        <f>IFERROR(__xludf.DUMMYFUNCTION("""COMPUTED_VALUE"""),"TUE")</f>
        <v>TUE</v>
      </c>
      <c r="J169" s="8" t="str">
        <f>IFERROR(__xludf.DUMMYFUNCTION("""COMPUTED_VALUE"""),"2:00 PM")</f>
        <v>2:00 PM</v>
      </c>
      <c r="K169" s="8" t="str">
        <f>IFERROR(__xludf.DUMMYFUNCTION("""COMPUTED_VALUE"""),"FT10-04L")</f>
        <v>FT10-04L</v>
      </c>
      <c r="L169" s="8"/>
      <c r="M169" s="10" t="str">
        <f>IFERROR(VLOOKUP(D169,FacultyList!B:G,6,FALSE),"")</f>
        <v>majisha.jahan@bracu.ac.bd</v>
      </c>
    </row>
    <row r="170">
      <c r="A170" s="5" t="str">
        <f>IFERROR(__xludf.DUMMYFUNCTION("""COMPUTED_VALUE"""),"CSE260-13A")</f>
        <v>CSE260-13A</v>
      </c>
      <c r="B170" s="8"/>
      <c r="C170" s="8"/>
      <c r="D170" s="8" t="str">
        <f>IFERROR(__xludf.DUMMYFUNCTION("""COMPUTED_VALUE"""),"MAJIJ")</f>
        <v>MAJIJ</v>
      </c>
      <c r="E170" s="8" t="str">
        <f>IFERROR(__xludf.DUMMYFUNCTION("""COMPUTED_VALUE"""),"SAT+THU")</f>
        <v>SAT+THU</v>
      </c>
      <c r="F170" s="8" t="str">
        <f>IFERROR(__xludf.DUMMYFUNCTION("""COMPUTED_VALUE"""),"12:30 PM")</f>
        <v>12:30 PM</v>
      </c>
      <c r="G170" s="9" t="str">
        <f>IFERROR(__xludf.DUMMYFUNCTION("""COMPUTED_VALUE"""),"09A-06C")</f>
        <v>09A-06C</v>
      </c>
      <c r="H170" s="8" t="str">
        <f>IFERROR(__xludf.DUMMYFUNCTION("""COMPUTED_VALUE"""),"RDS,AWK")</f>
        <v>RDS,AWK</v>
      </c>
      <c r="I170" s="8" t="str">
        <f>IFERROR(__xludf.DUMMYFUNCTION("""COMPUTED_VALUE"""),"TUE")</f>
        <v>TUE</v>
      </c>
      <c r="J170" s="8" t="str">
        <f>IFERROR(__xludf.DUMMYFUNCTION("""COMPUTED_VALUE"""),"2:00 PM")</f>
        <v>2:00 PM</v>
      </c>
      <c r="K170" s="8" t="str">
        <f>IFERROR(__xludf.DUMMYFUNCTION("""COMPUTED_VALUE"""),"FT10-02L")</f>
        <v>FT10-02L</v>
      </c>
      <c r="L170" s="8"/>
      <c r="M170" s="10" t="str">
        <f>IFERROR(VLOOKUP(D170,FacultyList!B:G,6,FALSE),"")</f>
        <v>majisha.jahan@bracu.ac.bd</v>
      </c>
    </row>
    <row r="171">
      <c r="A171" s="5" t="str">
        <f>IFERROR(__xludf.DUMMYFUNCTION("""COMPUTED_VALUE"""),"CSE260-13B")</f>
        <v>CSE260-13B</v>
      </c>
      <c r="B171" s="8"/>
      <c r="C171" s="8"/>
      <c r="D171" s="8" t="str">
        <f>IFERROR(__xludf.DUMMYFUNCTION("""COMPUTED_VALUE"""),"MAJIJ")</f>
        <v>MAJIJ</v>
      </c>
      <c r="E171" s="8" t="str">
        <f>IFERROR(__xludf.DUMMYFUNCTION("""COMPUTED_VALUE"""),"SAT+THU")</f>
        <v>SAT+THU</v>
      </c>
      <c r="F171" s="8" t="str">
        <f>IFERROR(__xludf.DUMMYFUNCTION("""COMPUTED_VALUE"""),"12:30 PM")</f>
        <v>12:30 PM</v>
      </c>
      <c r="G171" s="9" t="str">
        <f>IFERROR(__xludf.DUMMYFUNCTION("""COMPUTED_VALUE"""),"09A-06C")</f>
        <v>09A-06C</v>
      </c>
      <c r="H171" s="8" t="str">
        <f>IFERROR(__xludf.DUMMYFUNCTION("""COMPUTED_VALUE"""),"CSSN,LMI")</f>
        <v>CSSN,LMI</v>
      </c>
      <c r="I171" s="8" t="str">
        <f>IFERROR(__xludf.DUMMYFUNCTION("""COMPUTED_VALUE"""),"TUE")</f>
        <v>TUE</v>
      </c>
      <c r="J171" s="8" t="str">
        <f>IFERROR(__xludf.DUMMYFUNCTION("""COMPUTED_VALUE"""),"2:00 PM")</f>
        <v>2:00 PM</v>
      </c>
      <c r="K171" s="8" t="str">
        <f>IFERROR(__xludf.DUMMYFUNCTION("""COMPUTED_VALUE"""),"FT10-03L")</f>
        <v>FT10-03L</v>
      </c>
      <c r="L171" s="8"/>
      <c r="M171" s="10" t="str">
        <f>IFERROR(VLOOKUP(D171,FacultyList!B:G,6,FALSE),"")</f>
        <v>majisha.jahan@bracu.ac.bd</v>
      </c>
    </row>
    <row r="172">
      <c r="A172" s="5" t="str">
        <f>IFERROR(__xludf.DUMMYFUNCTION("""COMPUTED_VALUE"""),"CSE260-15A")</f>
        <v>CSE260-15A</v>
      </c>
      <c r="B172" s="8"/>
      <c r="C172" s="8"/>
      <c r="D172" s="8" t="str">
        <f>IFERROR(__xludf.DUMMYFUNCTION("""COMPUTED_VALUE"""),"TWK")</f>
        <v>TWK</v>
      </c>
      <c r="E172" s="8" t="str">
        <f>IFERROR(__xludf.DUMMYFUNCTION("""COMPUTED_VALUE"""),"MON+WED")</f>
        <v>MON+WED</v>
      </c>
      <c r="F172" s="8" t="str">
        <f>IFERROR(__xludf.DUMMYFUNCTION("""COMPUTED_VALUE"""),"11:00 AM")</f>
        <v>11:00 AM</v>
      </c>
      <c r="G172" s="9" t="str">
        <f>IFERROR(__xludf.DUMMYFUNCTION("""COMPUTED_VALUE"""),"08H-22C")</f>
        <v>08H-22C</v>
      </c>
      <c r="H172" s="8" t="str">
        <f>IFERROR(__xludf.DUMMYFUNCTION("""COMPUTED_VALUE"""),"RFF,MVH")</f>
        <v>RFF,MVH</v>
      </c>
      <c r="I172" s="8" t="str">
        <f>IFERROR(__xludf.DUMMYFUNCTION("""COMPUTED_VALUE"""),"SAT")</f>
        <v>SAT</v>
      </c>
      <c r="J172" s="8" t="str">
        <f>IFERROR(__xludf.DUMMYFUNCTION("""COMPUTED_VALUE"""),"2:00 PM")</f>
        <v>2:00 PM</v>
      </c>
      <c r="K172" s="8" t="str">
        <f>IFERROR(__xludf.DUMMYFUNCTION("""COMPUTED_VALUE"""),"FT10-02L")</f>
        <v>FT10-02L</v>
      </c>
      <c r="L172" s="8"/>
      <c r="M172" s="10" t="str">
        <f>IFERROR(VLOOKUP(D172,FacultyList!B:G,6,FALSE),"")</f>
        <v>towshik.taj@bracu.ac.bd</v>
      </c>
    </row>
    <row r="173">
      <c r="A173" s="5" t="str">
        <f>IFERROR(__xludf.DUMMYFUNCTION("""COMPUTED_VALUE"""),"CSE260-15B")</f>
        <v>CSE260-15B</v>
      </c>
      <c r="B173" s="8"/>
      <c r="C173" s="8"/>
      <c r="D173" s="8" t="str">
        <f>IFERROR(__xludf.DUMMYFUNCTION("""COMPUTED_VALUE"""),"TWK")</f>
        <v>TWK</v>
      </c>
      <c r="E173" s="8" t="str">
        <f>IFERROR(__xludf.DUMMYFUNCTION("""COMPUTED_VALUE"""),"MON+WED")</f>
        <v>MON+WED</v>
      </c>
      <c r="F173" s="8" t="str">
        <f>IFERROR(__xludf.DUMMYFUNCTION("""COMPUTED_VALUE"""),"11:00 AM")</f>
        <v>11:00 AM</v>
      </c>
      <c r="G173" s="9" t="str">
        <f>IFERROR(__xludf.DUMMYFUNCTION("""COMPUTED_VALUE"""),"08H-22C")</f>
        <v>08H-22C</v>
      </c>
      <c r="H173" s="8" t="str">
        <f>IFERROR(__xludf.DUMMYFUNCTION("""COMPUTED_VALUE"""),"AAF,NQM")</f>
        <v>AAF,NQM</v>
      </c>
      <c r="I173" s="8" t="str">
        <f>IFERROR(__xludf.DUMMYFUNCTION("""COMPUTED_VALUE"""),"SAT")</f>
        <v>SAT</v>
      </c>
      <c r="J173" s="8" t="str">
        <f>IFERROR(__xludf.DUMMYFUNCTION("""COMPUTED_VALUE"""),"2:00 PM")</f>
        <v>2:00 PM</v>
      </c>
      <c r="K173" s="8" t="str">
        <f>IFERROR(__xludf.DUMMYFUNCTION("""COMPUTED_VALUE"""),"FT10-03L")</f>
        <v>FT10-03L</v>
      </c>
      <c r="L173" s="8"/>
      <c r="M173" s="10" t="str">
        <f>IFERROR(VLOOKUP(D173,FacultyList!B:G,6,FALSE),"")</f>
        <v>towshik.taj@bracu.ac.bd</v>
      </c>
    </row>
    <row r="174">
      <c r="A174" s="5" t="str">
        <f>IFERROR(__xludf.DUMMYFUNCTION("""COMPUTED_VALUE"""),"CSE260-16A")</f>
        <v>CSE260-16A</v>
      </c>
      <c r="B174" s="8"/>
      <c r="C174" s="8"/>
      <c r="D174" s="8" t="str">
        <f>IFERROR(__xludf.DUMMYFUNCTION("""COMPUTED_VALUE"""),"TWK")</f>
        <v>TWK</v>
      </c>
      <c r="E174" s="8" t="str">
        <f>IFERROR(__xludf.DUMMYFUNCTION("""COMPUTED_VALUE"""),"MON+WED")</f>
        <v>MON+WED</v>
      </c>
      <c r="F174" s="8" t="str">
        <f>IFERROR(__xludf.DUMMYFUNCTION("""COMPUTED_VALUE"""),"12:30 PM")</f>
        <v>12:30 PM</v>
      </c>
      <c r="G174" s="9" t="str">
        <f>IFERROR(__xludf.DUMMYFUNCTION("""COMPUTED_VALUE"""),"08H-22C")</f>
        <v>08H-22C</v>
      </c>
      <c r="H174" s="8" t="str">
        <f>IFERROR(__xludf.DUMMYFUNCTION("""COMPUTED_VALUE"""),"AFQ,ADD")</f>
        <v>AFQ,ADD</v>
      </c>
      <c r="I174" s="8" t="str">
        <f>IFERROR(__xludf.DUMMYFUNCTION("""COMPUTED_VALUE"""),"SAT")</f>
        <v>SAT</v>
      </c>
      <c r="J174" s="8" t="str">
        <f>IFERROR(__xludf.DUMMYFUNCTION("""COMPUTED_VALUE"""),"8:00 AM")</f>
        <v>8:00 AM</v>
      </c>
      <c r="K174" s="8" t="str">
        <f>IFERROR(__xludf.DUMMYFUNCTION("""COMPUTED_VALUE"""),"FT10-02L")</f>
        <v>FT10-02L</v>
      </c>
      <c r="L174" s="8"/>
      <c r="M174" s="10" t="str">
        <f>IFERROR(VLOOKUP(D174,FacultyList!B:G,6,FALSE),"")</f>
        <v>towshik.taj@bracu.ac.bd</v>
      </c>
    </row>
    <row r="175">
      <c r="A175" s="5" t="str">
        <f>IFERROR(__xludf.DUMMYFUNCTION("""COMPUTED_VALUE"""),"CSE260-16B")</f>
        <v>CSE260-16B</v>
      </c>
      <c r="B175" s="8"/>
      <c r="C175" s="8"/>
      <c r="D175" s="8" t="str">
        <f>IFERROR(__xludf.DUMMYFUNCTION("""COMPUTED_VALUE"""),"TWK")</f>
        <v>TWK</v>
      </c>
      <c r="E175" s="8" t="str">
        <f>IFERROR(__xludf.DUMMYFUNCTION("""COMPUTED_VALUE"""),"MON+WED")</f>
        <v>MON+WED</v>
      </c>
      <c r="F175" s="8" t="str">
        <f>IFERROR(__xludf.DUMMYFUNCTION("""COMPUTED_VALUE"""),"12:30 PM")</f>
        <v>12:30 PM</v>
      </c>
      <c r="G175" s="9" t="str">
        <f>IFERROR(__xludf.DUMMYFUNCTION("""COMPUTED_VALUE"""),"08H-22C")</f>
        <v>08H-22C</v>
      </c>
      <c r="H175" s="8" t="str">
        <f>IFERROR(__xludf.DUMMYFUNCTION("""COMPUTED_VALUE"""),"MDF,MCW")</f>
        <v>MDF,MCW</v>
      </c>
      <c r="I175" s="8" t="str">
        <f>IFERROR(__xludf.DUMMYFUNCTION("""COMPUTED_VALUE"""),"SUN")</f>
        <v>SUN</v>
      </c>
      <c r="J175" s="8" t="str">
        <f>IFERROR(__xludf.DUMMYFUNCTION("""COMPUTED_VALUE"""),"2:00 PM")</f>
        <v>2:00 PM</v>
      </c>
      <c r="K175" s="8" t="str">
        <f>IFERROR(__xludf.DUMMYFUNCTION("""COMPUTED_VALUE"""),"FT10-04L")</f>
        <v>FT10-04L</v>
      </c>
      <c r="L175" s="8"/>
      <c r="M175" s="10" t="str">
        <f>IFERROR(VLOOKUP(D175,FacultyList!B:G,6,FALSE),"")</f>
        <v>towshik.taj@bracu.ac.bd</v>
      </c>
    </row>
    <row r="176">
      <c r="A176" s="5" t="str">
        <f>IFERROR(__xludf.DUMMYFUNCTION("""COMPUTED_VALUE"""),"CSE260-17A")</f>
        <v>CSE260-17A</v>
      </c>
      <c r="B176" s="8"/>
      <c r="C176" s="8"/>
      <c r="D176" s="8" t="str">
        <f>IFERROR(__xludf.DUMMYFUNCTION("""COMPUTED_VALUE"""),"AFQ")</f>
        <v>AFQ</v>
      </c>
      <c r="E176" s="8" t="str">
        <f>IFERROR(__xludf.DUMMYFUNCTION("""COMPUTED_VALUE"""),"SUN+TUE")</f>
        <v>SUN+TUE</v>
      </c>
      <c r="F176" s="8" t="str">
        <f>IFERROR(__xludf.DUMMYFUNCTION("""COMPUTED_VALUE"""),"8:00 AM")</f>
        <v>8:00 AM</v>
      </c>
      <c r="G176" s="9" t="str">
        <f>IFERROR(__xludf.DUMMYFUNCTION("""COMPUTED_VALUE"""),"09A-03C")</f>
        <v>09A-03C</v>
      </c>
      <c r="H176" s="8" t="str">
        <f>IFERROR(__xludf.DUMMYFUNCTION("""COMPUTED_VALUE"""),"FIC,AROY")</f>
        <v>FIC,AROY</v>
      </c>
      <c r="I176" s="8" t="str">
        <f>IFERROR(__xludf.DUMMYFUNCTION("""COMPUTED_VALUE"""),"MON")</f>
        <v>MON</v>
      </c>
      <c r="J176" s="8" t="str">
        <f>IFERROR(__xludf.DUMMYFUNCTION("""COMPUTED_VALUE"""),"2:00 PM")</f>
        <v>2:00 PM</v>
      </c>
      <c r="K176" s="8" t="str">
        <f>IFERROR(__xludf.DUMMYFUNCTION("""COMPUTED_VALUE"""),"FT10-02L")</f>
        <v>FT10-02L</v>
      </c>
      <c r="L176" s="8"/>
      <c r="M176" s="10" t="str">
        <f>IFERROR(VLOOKUP(D176,FacultyList!B:G,6,FALSE),"")</f>
        <v>ashfaqul.haque@bracu.ac.bd</v>
      </c>
    </row>
    <row r="177">
      <c r="A177" s="5" t="str">
        <f>IFERROR(__xludf.DUMMYFUNCTION("""COMPUTED_VALUE"""),"CSE260-17B")</f>
        <v>CSE260-17B</v>
      </c>
      <c r="B177" s="8"/>
      <c r="C177" s="8"/>
      <c r="D177" s="8" t="str">
        <f>IFERROR(__xludf.DUMMYFUNCTION("""COMPUTED_VALUE"""),"AFQ")</f>
        <v>AFQ</v>
      </c>
      <c r="E177" s="8" t="str">
        <f>IFERROR(__xludf.DUMMYFUNCTION("""COMPUTED_VALUE"""),"SUN+TUE")</f>
        <v>SUN+TUE</v>
      </c>
      <c r="F177" s="8" t="str">
        <f>IFERROR(__xludf.DUMMYFUNCTION("""COMPUTED_VALUE"""),"8:00 AM")</f>
        <v>8:00 AM</v>
      </c>
      <c r="G177" s="9" t="str">
        <f>IFERROR(__xludf.DUMMYFUNCTION("""COMPUTED_VALUE"""),"09A-03C")</f>
        <v>09A-03C</v>
      </c>
      <c r="H177" s="8" t="str">
        <f>IFERROR(__xludf.DUMMYFUNCTION("""COMPUTED_VALUE"""),"MDF,MHM")</f>
        <v>MDF,MHM</v>
      </c>
      <c r="I177" s="8" t="str">
        <f>IFERROR(__xludf.DUMMYFUNCTION("""COMPUTED_VALUE"""),"MON")</f>
        <v>MON</v>
      </c>
      <c r="J177" s="8" t="str">
        <f>IFERROR(__xludf.DUMMYFUNCTION("""COMPUTED_VALUE"""),"2:00 PM")</f>
        <v>2:00 PM</v>
      </c>
      <c r="K177" s="8" t="str">
        <f>IFERROR(__xludf.DUMMYFUNCTION("""COMPUTED_VALUE"""),"FT10-03L")</f>
        <v>FT10-03L</v>
      </c>
      <c r="L177" s="8"/>
      <c r="M177" s="10" t="str">
        <f>IFERROR(VLOOKUP(D177,FacultyList!B:G,6,FALSE),"")</f>
        <v>ashfaqul.haque@bracu.ac.bd</v>
      </c>
    </row>
    <row r="178">
      <c r="A178" s="5" t="str">
        <f>IFERROR(__xludf.DUMMYFUNCTION("""COMPUTED_VALUE"""),"CSE260-18A")</f>
        <v>CSE260-18A</v>
      </c>
      <c r="B178" s="8"/>
      <c r="C178" s="8"/>
      <c r="D178" s="8" t="str">
        <f>IFERROR(__xludf.DUMMYFUNCTION("""COMPUTED_VALUE"""),"AFQ")</f>
        <v>AFQ</v>
      </c>
      <c r="E178" s="8" t="str">
        <f>IFERROR(__xludf.DUMMYFUNCTION("""COMPUTED_VALUE"""),"SUN+TUE")</f>
        <v>SUN+TUE</v>
      </c>
      <c r="F178" s="8" t="str">
        <f>IFERROR(__xludf.DUMMYFUNCTION("""COMPUTED_VALUE"""),"11:00 AM")</f>
        <v>11:00 AM</v>
      </c>
      <c r="G178" s="9" t="str">
        <f>IFERROR(__xludf.DUMMYFUNCTION("""COMPUTED_VALUE"""),"07F-22C")</f>
        <v>07F-22C</v>
      </c>
      <c r="H178" s="8" t="str">
        <f>IFERROR(__xludf.DUMMYFUNCTION("""COMPUTED_VALUE"""),"CNZR,CSSN")</f>
        <v>CNZR,CSSN</v>
      </c>
      <c r="I178" s="8" t="str">
        <f>IFERROR(__xludf.DUMMYFUNCTION("""COMPUTED_VALUE"""),"MON")</f>
        <v>MON</v>
      </c>
      <c r="J178" s="8" t="str">
        <f>IFERROR(__xludf.DUMMYFUNCTION("""COMPUTED_VALUE"""),"8:00 AM")</f>
        <v>8:00 AM</v>
      </c>
      <c r="K178" s="8" t="str">
        <f>IFERROR(__xludf.DUMMYFUNCTION("""COMPUTED_VALUE"""),"FT10-02L")</f>
        <v>FT10-02L</v>
      </c>
      <c r="L178" s="8"/>
      <c r="M178" s="10" t="str">
        <f>IFERROR(VLOOKUP(D178,FacultyList!B:G,6,FALSE),"")</f>
        <v>ashfaqul.haque@bracu.ac.bd</v>
      </c>
    </row>
    <row r="179">
      <c r="A179" s="5" t="str">
        <f>IFERROR(__xludf.DUMMYFUNCTION("""COMPUTED_VALUE"""),"CSE260-18B")</f>
        <v>CSE260-18B</v>
      </c>
      <c r="B179" s="8"/>
      <c r="C179" s="8"/>
      <c r="D179" s="8" t="str">
        <f>IFERROR(__xludf.DUMMYFUNCTION("""COMPUTED_VALUE"""),"AFQ")</f>
        <v>AFQ</v>
      </c>
      <c r="E179" s="8" t="str">
        <f>IFERROR(__xludf.DUMMYFUNCTION("""COMPUTED_VALUE"""),"SUN+TUE")</f>
        <v>SUN+TUE</v>
      </c>
      <c r="F179" s="8" t="str">
        <f>IFERROR(__xludf.DUMMYFUNCTION("""COMPUTED_VALUE"""),"11:00 AM")</f>
        <v>11:00 AM</v>
      </c>
      <c r="G179" s="9" t="str">
        <f>IFERROR(__xludf.DUMMYFUNCTION("""COMPUTED_VALUE"""),"07F-22C")</f>
        <v>07F-22C</v>
      </c>
      <c r="H179" s="8" t="str">
        <f>IFERROR(__xludf.DUMMYFUNCTION("""COMPUTED_VALUE"""),"SMDS,AROY")</f>
        <v>SMDS,AROY</v>
      </c>
      <c r="I179" s="8" t="str">
        <f>IFERROR(__xludf.DUMMYFUNCTION("""COMPUTED_VALUE"""),"MON")</f>
        <v>MON</v>
      </c>
      <c r="J179" s="8" t="str">
        <f>IFERROR(__xludf.DUMMYFUNCTION("""COMPUTED_VALUE"""),"8:00 AM")</f>
        <v>8:00 AM</v>
      </c>
      <c r="K179" s="8" t="str">
        <f>IFERROR(__xludf.DUMMYFUNCTION("""COMPUTED_VALUE"""),"FT10-03L")</f>
        <v>FT10-03L</v>
      </c>
      <c r="L179" s="8"/>
      <c r="M179" s="10" t="str">
        <f>IFERROR(VLOOKUP(D179,FacultyList!B:G,6,FALSE),"")</f>
        <v>ashfaqul.haque@bracu.ac.bd</v>
      </c>
    </row>
    <row r="180">
      <c r="A180" s="5" t="str">
        <f>IFERROR(__xludf.DUMMYFUNCTION("""COMPUTED_VALUE"""),"CSE260-19A")</f>
        <v>CSE260-19A</v>
      </c>
      <c r="B180" s="8"/>
      <c r="C180" s="8"/>
      <c r="D180" s="8" t="str">
        <f>IFERROR(__xludf.DUMMYFUNCTION("""COMPUTED_VALUE"""),"SUE")</f>
        <v>SUE</v>
      </c>
      <c r="E180" s="8" t="str">
        <f>IFERROR(__xludf.DUMMYFUNCTION("""COMPUTED_VALUE"""),"SUN+TUE")</f>
        <v>SUN+TUE</v>
      </c>
      <c r="F180" s="8" t="str">
        <f>IFERROR(__xludf.DUMMYFUNCTION("""COMPUTED_VALUE"""),"12:30 PM")</f>
        <v>12:30 PM</v>
      </c>
      <c r="G180" s="9" t="str">
        <f>IFERROR(__xludf.DUMMYFUNCTION("""COMPUTED_VALUE"""),"07F-22C")</f>
        <v>07F-22C</v>
      </c>
      <c r="H180" s="8" t="str">
        <f>IFERROR(__xludf.DUMMYFUNCTION("""COMPUTED_VALUE"""),"MAJIJ,CNZR")</f>
        <v>MAJIJ,CNZR</v>
      </c>
      <c r="I180" s="8" t="str">
        <f>IFERROR(__xludf.DUMMYFUNCTION("""COMPUTED_VALUE"""),"MON")</f>
        <v>MON</v>
      </c>
      <c r="J180" s="8" t="str">
        <f>IFERROR(__xludf.DUMMYFUNCTION("""COMPUTED_VALUE"""),"11:00 AM")</f>
        <v>11:00 AM</v>
      </c>
      <c r="K180" s="8" t="str">
        <f>IFERROR(__xludf.DUMMYFUNCTION("""COMPUTED_VALUE"""),"FT10-02L")</f>
        <v>FT10-02L</v>
      </c>
      <c r="L180" s="8"/>
      <c r="M180" s="10" t="str">
        <f>IFERROR(VLOOKUP(D180,FacultyList!B:G,6,FALSE),"")</f>
        <v>sukarna.sarkar@bracu.ac.bd</v>
      </c>
    </row>
    <row r="181">
      <c r="A181" s="5" t="str">
        <f>IFERROR(__xludf.DUMMYFUNCTION("""COMPUTED_VALUE"""),"CSE260-19B")</f>
        <v>CSE260-19B</v>
      </c>
      <c r="B181" s="8"/>
      <c r="C181" s="8"/>
      <c r="D181" s="8" t="str">
        <f>IFERROR(__xludf.DUMMYFUNCTION("""COMPUTED_VALUE"""),"SUE")</f>
        <v>SUE</v>
      </c>
      <c r="E181" s="8" t="str">
        <f>IFERROR(__xludf.DUMMYFUNCTION("""COMPUTED_VALUE"""),"SUN+TUE")</f>
        <v>SUN+TUE</v>
      </c>
      <c r="F181" s="8" t="str">
        <f>IFERROR(__xludf.DUMMYFUNCTION("""COMPUTED_VALUE"""),"12:30 PM")</f>
        <v>12:30 PM</v>
      </c>
      <c r="G181" s="9" t="str">
        <f>IFERROR(__xludf.DUMMYFUNCTION("""COMPUTED_VALUE"""),"07F-22C")</f>
        <v>07F-22C</v>
      </c>
      <c r="H181" s="8" t="str">
        <f>IFERROR(__xludf.DUMMYFUNCTION("""COMPUTED_VALUE"""),"FIC,NLAM")</f>
        <v>FIC,NLAM</v>
      </c>
      <c r="I181" s="8" t="str">
        <f>IFERROR(__xludf.DUMMYFUNCTION("""COMPUTED_VALUE"""),"MON")</f>
        <v>MON</v>
      </c>
      <c r="J181" s="8" t="str">
        <f>IFERROR(__xludf.DUMMYFUNCTION("""COMPUTED_VALUE"""),"11:00 AM")</f>
        <v>11:00 AM</v>
      </c>
      <c r="K181" s="8" t="str">
        <f>IFERROR(__xludf.DUMMYFUNCTION("""COMPUTED_VALUE"""),"FT10-03L")</f>
        <v>FT10-03L</v>
      </c>
      <c r="L181" s="8"/>
      <c r="M181" s="10" t="str">
        <f>IFERROR(VLOOKUP(D181,FacultyList!B:G,6,FALSE),"")</f>
        <v>sukarna.sarkar@bracu.ac.bd</v>
      </c>
    </row>
    <row r="182">
      <c r="A182" s="5" t="str">
        <f>IFERROR(__xludf.DUMMYFUNCTION("""COMPUTED_VALUE"""),"CSE260-20A")</f>
        <v>CSE260-20A</v>
      </c>
      <c r="B182" s="8"/>
      <c r="C182" s="8"/>
      <c r="D182" s="8" t="str">
        <f>IFERROR(__xludf.DUMMYFUNCTION("""COMPUTED_VALUE"""),"SUE")</f>
        <v>SUE</v>
      </c>
      <c r="E182" s="8" t="str">
        <f>IFERROR(__xludf.DUMMYFUNCTION("""COMPUTED_VALUE"""),"SUN+TUE")</f>
        <v>SUN+TUE</v>
      </c>
      <c r="F182" s="8" t="str">
        <f>IFERROR(__xludf.DUMMYFUNCTION("""COMPUTED_VALUE"""),"2:00 PM")</f>
        <v>2:00 PM</v>
      </c>
      <c r="G182" s="9" t="str">
        <f>IFERROR(__xludf.DUMMYFUNCTION("""COMPUTED_VALUE"""),"07F-22C")</f>
        <v>07F-22C</v>
      </c>
      <c r="H182" s="8" t="str">
        <f>IFERROR(__xludf.DUMMYFUNCTION("""COMPUTED_VALUE"""),"MDF,NMP")</f>
        <v>MDF,NMP</v>
      </c>
      <c r="I182" s="8" t="str">
        <f>IFERROR(__xludf.DUMMYFUNCTION("""COMPUTED_VALUE"""),"SAT")</f>
        <v>SAT</v>
      </c>
      <c r="J182" s="8" t="str">
        <f>IFERROR(__xludf.DUMMYFUNCTION("""COMPUTED_VALUE"""),"8:00 AM")</f>
        <v>8:00 AM</v>
      </c>
      <c r="K182" s="8" t="str">
        <f>IFERROR(__xludf.DUMMYFUNCTION("""COMPUTED_VALUE"""),"FT10-04L")</f>
        <v>FT10-04L</v>
      </c>
      <c r="L182" s="8"/>
      <c r="M182" s="10" t="str">
        <f>IFERROR(VLOOKUP(D182,FacultyList!B:G,6,FALSE),"")</f>
        <v>sukarna.sarkar@bracu.ac.bd</v>
      </c>
    </row>
    <row r="183">
      <c r="A183" s="5" t="str">
        <f>IFERROR(__xludf.DUMMYFUNCTION("""COMPUTED_VALUE"""),"CSE260-20B")</f>
        <v>CSE260-20B</v>
      </c>
      <c r="B183" s="8"/>
      <c r="C183" s="8"/>
      <c r="D183" s="8" t="str">
        <f>IFERROR(__xludf.DUMMYFUNCTION("""COMPUTED_VALUE"""),"SUE")</f>
        <v>SUE</v>
      </c>
      <c r="E183" s="8" t="str">
        <f>IFERROR(__xludf.DUMMYFUNCTION("""COMPUTED_VALUE"""),"SUN+TUE")</f>
        <v>SUN+TUE</v>
      </c>
      <c r="F183" s="8" t="str">
        <f>IFERROR(__xludf.DUMMYFUNCTION("""COMPUTED_VALUE"""),"2:00 PM")</f>
        <v>2:00 PM</v>
      </c>
      <c r="G183" s="9" t="str">
        <f>IFERROR(__xludf.DUMMYFUNCTION("""COMPUTED_VALUE"""),"07F-22C")</f>
        <v>07F-22C</v>
      </c>
      <c r="H183" s="8" t="str">
        <f>IFERROR(__xludf.DUMMYFUNCTION("""COMPUTED_VALUE"""),"ANKH,CAPN")</f>
        <v>ANKH,CAPN</v>
      </c>
      <c r="I183" s="8" t="str">
        <f>IFERROR(__xludf.DUMMYFUNCTION("""COMPUTED_VALUE"""),"SAT")</f>
        <v>SAT</v>
      </c>
      <c r="J183" s="8" t="str">
        <f>IFERROR(__xludf.DUMMYFUNCTION("""COMPUTED_VALUE"""),"2:00 PM")</f>
        <v>2:00 PM</v>
      </c>
      <c r="K183" s="8" t="str">
        <f>IFERROR(__xludf.DUMMYFUNCTION("""COMPUTED_VALUE"""),"FT10-04L")</f>
        <v>FT10-04L</v>
      </c>
      <c r="L183" s="8"/>
      <c r="M183" s="10" t="str">
        <f>IFERROR(VLOOKUP(D183,FacultyList!B:G,6,FALSE),"")</f>
        <v>sukarna.sarkar@bracu.ac.bd</v>
      </c>
    </row>
    <row r="184">
      <c r="A184" s="5" t="str">
        <f>IFERROR(__xludf.DUMMYFUNCTION("""COMPUTED_VALUE"""),"CSE260-21A")</f>
        <v>CSE260-21A</v>
      </c>
      <c r="B184" s="8"/>
      <c r="C184" s="8"/>
      <c r="D184" s="8" t="str">
        <f>IFERROR(__xludf.DUMMYFUNCTION("""COMPUTED_VALUE"""),"ASAK")</f>
        <v>ASAK</v>
      </c>
      <c r="E184" s="8" t="str">
        <f>IFERROR(__xludf.DUMMYFUNCTION("""COMPUTED_VALUE"""),"SAT+THU")</f>
        <v>SAT+THU</v>
      </c>
      <c r="F184" s="8" t="str">
        <f>IFERROR(__xludf.DUMMYFUNCTION("""COMPUTED_VALUE"""),"9:30 AM")</f>
        <v>9:30 AM</v>
      </c>
      <c r="G184" s="9" t="str">
        <f>IFERROR(__xludf.DUMMYFUNCTION("""COMPUTED_VALUE"""),"07F-22C")</f>
        <v>07F-22C</v>
      </c>
      <c r="H184" s="8" t="str">
        <f>IFERROR(__xludf.DUMMYFUNCTION("""COMPUTED_VALUE"""),"MVH,RDS")</f>
        <v>MVH,RDS</v>
      </c>
      <c r="I184" s="8" t="str">
        <f>IFERROR(__xludf.DUMMYFUNCTION("""COMPUTED_VALUE"""),"TUE")</f>
        <v>TUE</v>
      </c>
      <c r="J184" s="8" t="str">
        <f>IFERROR(__xludf.DUMMYFUNCTION("""COMPUTED_VALUE"""),"11:00 AM")</f>
        <v>11:00 AM</v>
      </c>
      <c r="K184" s="8" t="str">
        <f>IFERROR(__xludf.DUMMYFUNCTION("""COMPUTED_VALUE"""),"FT10-02L")</f>
        <v>FT10-02L</v>
      </c>
      <c r="L184" s="8"/>
      <c r="M184" s="10" t="str">
        <f>IFERROR(VLOOKUP(D184,FacultyList!B:G,6,FALSE),"")</f>
        <v>arnob.ankon@bracu.ac.bd</v>
      </c>
    </row>
    <row r="185">
      <c r="A185" s="5" t="str">
        <f>IFERROR(__xludf.DUMMYFUNCTION("""COMPUTED_VALUE"""),"CSE260-21B")</f>
        <v>CSE260-21B</v>
      </c>
      <c r="B185" s="8"/>
      <c r="C185" s="8"/>
      <c r="D185" s="8" t="str">
        <f>IFERROR(__xludf.DUMMYFUNCTION("""COMPUTED_VALUE"""),"ASAK")</f>
        <v>ASAK</v>
      </c>
      <c r="E185" s="8" t="str">
        <f>IFERROR(__xludf.DUMMYFUNCTION("""COMPUTED_VALUE"""),"SAT+THU")</f>
        <v>SAT+THU</v>
      </c>
      <c r="F185" s="8" t="str">
        <f>IFERROR(__xludf.DUMMYFUNCTION("""COMPUTED_VALUE"""),"9:30 AM")</f>
        <v>9:30 AM</v>
      </c>
      <c r="G185" s="9" t="str">
        <f>IFERROR(__xludf.DUMMYFUNCTION("""COMPUTED_VALUE"""),"07F-22C")</f>
        <v>07F-22C</v>
      </c>
      <c r="H185" s="8" t="str">
        <f>IFERROR(__xludf.DUMMYFUNCTION("""COMPUTED_VALUE"""),"CSSN,AHA")</f>
        <v>CSSN,AHA</v>
      </c>
      <c r="I185" s="8" t="str">
        <f>IFERROR(__xludf.DUMMYFUNCTION("""COMPUTED_VALUE"""),"TUE")</f>
        <v>TUE</v>
      </c>
      <c r="J185" s="8" t="str">
        <f>IFERROR(__xludf.DUMMYFUNCTION("""COMPUTED_VALUE"""),"11:00 AM")</f>
        <v>11:00 AM</v>
      </c>
      <c r="K185" s="8" t="str">
        <f>IFERROR(__xludf.DUMMYFUNCTION("""COMPUTED_VALUE"""),"FT10-03L")</f>
        <v>FT10-03L</v>
      </c>
      <c r="L185" s="8"/>
      <c r="M185" s="10" t="str">
        <f>IFERROR(VLOOKUP(D185,FacultyList!B:G,6,FALSE),"")</f>
        <v>arnob.ankon@bracu.ac.bd</v>
      </c>
    </row>
    <row r="186">
      <c r="A186" s="5" t="str">
        <f>IFERROR(__xludf.DUMMYFUNCTION("""COMPUTED_VALUE"""),"CSE260-22A")</f>
        <v>CSE260-22A</v>
      </c>
      <c r="B186" s="8"/>
      <c r="C186" s="8"/>
      <c r="D186" s="8" t="str">
        <f>IFERROR(__xludf.DUMMYFUNCTION("""COMPUTED_VALUE"""),"DZK")</f>
        <v>DZK</v>
      </c>
      <c r="E186" s="8" t="str">
        <f>IFERROR(__xludf.DUMMYFUNCTION("""COMPUTED_VALUE"""),"SUN+TUE")</f>
        <v>SUN+TUE</v>
      </c>
      <c r="F186" s="8" t="str">
        <f>IFERROR(__xludf.DUMMYFUNCTION("""COMPUTED_VALUE"""),"11:00 AM")</f>
        <v>11:00 AM</v>
      </c>
      <c r="G186" s="9" t="str">
        <f>IFERROR(__xludf.DUMMYFUNCTION("""COMPUTED_VALUE"""),"09A-04C")</f>
        <v>09A-04C</v>
      </c>
      <c r="H186" s="8" t="str">
        <f>IFERROR(__xludf.DUMMYFUNCTION("""COMPUTED_VALUE"""),"MDF,AHA")</f>
        <v>MDF,AHA</v>
      </c>
      <c r="I186" s="8" t="str">
        <f>IFERROR(__xludf.DUMMYFUNCTION("""COMPUTED_VALUE"""),"SAT")</f>
        <v>SAT</v>
      </c>
      <c r="J186" s="8" t="str">
        <f>IFERROR(__xludf.DUMMYFUNCTION("""COMPUTED_VALUE"""),"11:00 AM")</f>
        <v>11:00 AM</v>
      </c>
      <c r="K186" s="8" t="str">
        <f>IFERROR(__xludf.DUMMYFUNCTION("""COMPUTED_VALUE"""),"FT10-04L")</f>
        <v>FT10-04L</v>
      </c>
      <c r="L186" s="8"/>
      <c r="M186" s="10" t="str">
        <f>IFERROR(VLOOKUP(D186,FacultyList!B:G,6,FALSE),"")</f>
        <v>ziaul.karim@bracu.ac.bd</v>
      </c>
    </row>
    <row r="187">
      <c r="A187" s="5" t="str">
        <f>IFERROR(__xludf.DUMMYFUNCTION("""COMPUTED_VALUE"""),"CSE260-22B")</f>
        <v>CSE260-22B</v>
      </c>
      <c r="B187" s="8"/>
      <c r="C187" s="8"/>
      <c r="D187" s="8" t="str">
        <f>IFERROR(__xludf.DUMMYFUNCTION("""COMPUTED_VALUE"""),"DZK")</f>
        <v>DZK</v>
      </c>
      <c r="E187" s="8" t="str">
        <f>IFERROR(__xludf.DUMMYFUNCTION("""COMPUTED_VALUE"""),"SUN+TUE")</f>
        <v>SUN+TUE</v>
      </c>
      <c r="F187" s="8" t="str">
        <f>IFERROR(__xludf.DUMMYFUNCTION("""COMPUTED_VALUE"""),"11:00 AM")</f>
        <v>11:00 AM</v>
      </c>
      <c r="G187" s="9" t="str">
        <f>IFERROR(__xludf.DUMMYFUNCTION("""COMPUTED_VALUE"""),"09A-04C")</f>
        <v>09A-04C</v>
      </c>
      <c r="H187" s="8" t="str">
        <f>IFERROR(__xludf.DUMMYFUNCTION("""COMPUTED_VALUE"""),"MAO,NTN")</f>
        <v>MAO,NTN</v>
      </c>
      <c r="I187" s="8" t="str">
        <f>IFERROR(__xludf.DUMMYFUNCTION("""COMPUTED_VALUE"""),"SAT")</f>
        <v>SAT</v>
      </c>
      <c r="J187" s="8" t="str">
        <f>IFERROR(__xludf.DUMMYFUNCTION("""COMPUTED_VALUE"""),"11:00 AM")</f>
        <v>11:00 AM</v>
      </c>
      <c r="K187" s="8" t="str">
        <f>IFERROR(__xludf.DUMMYFUNCTION("""COMPUTED_VALUE"""),"FT11-01L")</f>
        <v>FT11-01L</v>
      </c>
      <c r="L187" s="8"/>
      <c r="M187" s="10" t="str">
        <f>IFERROR(VLOOKUP(D187,FacultyList!B:G,6,FALSE),"")</f>
        <v>ziaul.karim@bracu.ac.bd</v>
      </c>
    </row>
    <row r="188">
      <c r="A188" s="5" t="str">
        <f>IFERROR(__xludf.DUMMYFUNCTION("""COMPUTED_VALUE"""),"CSE260-23A")</f>
        <v>CSE260-23A</v>
      </c>
      <c r="B188" s="8"/>
      <c r="C188" s="8"/>
      <c r="D188" s="8" t="str">
        <f>IFERROR(__xludf.DUMMYFUNCTION("""COMPUTED_VALUE"""),"ADD")</f>
        <v>ADD</v>
      </c>
      <c r="E188" s="8" t="str">
        <f>IFERROR(__xludf.DUMMYFUNCTION("""COMPUTED_VALUE"""),"SAT+THU")</f>
        <v>SAT+THU</v>
      </c>
      <c r="F188" s="8" t="str">
        <f>IFERROR(__xludf.DUMMYFUNCTION("""COMPUTED_VALUE"""),"2:00 PM")</f>
        <v>2:00 PM</v>
      </c>
      <c r="G188" s="9" t="str">
        <f>IFERROR(__xludf.DUMMYFUNCTION("""COMPUTED_VALUE"""),"09C-13C")</f>
        <v>09C-13C</v>
      </c>
      <c r="H188" s="8" t="str">
        <f>IFERROR(__xludf.DUMMYFUNCTION("""COMPUTED_VALUE"""),"MCW,NQM")</f>
        <v>MCW,NQM</v>
      </c>
      <c r="I188" s="8" t="str">
        <f>IFERROR(__xludf.DUMMYFUNCTION("""COMPUTED_VALUE"""),"MON")</f>
        <v>MON</v>
      </c>
      <c r="J188" s="8" t="str">
        <f>IFERROR(__xludf.DUMMYFUNCTION("""COMPUTED_VALUE"""),"8:00 AM")</f>
        <v>8:00 AM</v>
      </c>
      <c r="K188" s="8" t="str">
        <f>IFERROR(__xludf.DUMMYFUNCTION("""COMPUTED_VALUE"""),"FT10-04L")</f>
        <v>FT10-04L</v>
      </c>
      <c r="L188" s="8"/>
      <c r="M188" s="10" t="str">
        <f>IFERROR(VLOOKUP(D188,FacultyList!B:G,6,FALSE),"")</f>
        <v>ext.ayesha.siddika@bracu.ac.bd</v>
      </c>
    </row>
    <row r="189">
      <c r="A189" s="5" t="str">
        <f>IFERROR(__xludf.DUMMYFUNCTION("""COMPUTED_VALUE"""),"CSE260-23B")</f>
        <v>CSE260-23B</v>
      </c>
      <c r="B189" s="8"/>
      <c r="C189" s="8"/>
      <c r="D189" s="8" t="str">
        <f>IFERROR(__xludf.DUMMYFUNCTION("""COMPUTED_VALUE"""),"ADD")</f>
        <v>ADD</v>
      </c>
      <c r="E189" s="8" t="str">
        <f>IFERROR(__xludf.DUMMYFUNCTION("""COMPUTED_VALUE"""),"SAT+THU")</f>
        <v>SAT+THU</v>
      </c>
      <c r="F189" s="8" t="str">
        <f>IFERROR(__xludf.DUMMYFUNCTION("""COMPUTED_VALUE"""),"2:00 PM")</f>
        <v>2:00 PM</v>
      </c>
      <c r="G189" s="9" t="str">
        <f>IFERROR(__xludf.DUMMYFUNCTION("""COMPUTED_VALUE"""),"09C-13C")</f>
        <v>09C-13C</v>
      </c>
      <c r="H189" s="8" t="str">
        <f>IFERROR(__xludf.DUMMYFUNCTION("""COMPUTED_VALUE"""),"CABS,CMHH")</f>
        <v>CABS,CMHH</v>
      </c>
      <c r="I189" s="8" t="str">
        <f>IFERROR(__xludf.DUMMYFUNCTION("""COMPUTED_VALUE"""),"MON")</f>
        <v>MON</v>
      </c>
      <c r="J189" s="8" t="str">
        <f>IFERROR(__xludf.DUMMYFUNCTION("""COMPUTED_VALUE"""),"11:00 AM")</f>
        <v>11:00 AM</v>
      </c>
      <c r="K189" s="8" t="str">
        <f>IFERROR(__xludf.DUMMYFUNCTION("""COMPUTED_VALUE"""),"FT10-04L")</f>
        <v>FT10-04L</v>
      </c>
      <c r="L189" s="8"/>
      <c r="M189" s="10" t="str">
        <f>IFERROR(VLOOKUP(D189,FacultyList!B:G,6,FALSE),"")</f>
        <v>ext.ayesha.siddika@bracu.ac.bd</v>
      </c>
    </row>
    <row r="190">
      <c r="A190" s="5" t="str">
        <f>IFERROR(__xludf.DUMMYFUNCTION("""COMPUTED_VALUE"""),"CSE260-24A")</f>
        <v>CSE260-24A</v>
      </c>
      <c r="B190" s="8"/>
      <c r="C190" s="8"/>
      <c r="D190" s="8" t="str">
        <f>IFERROR(__xludf.DUMMYFUNCTION("""COMPUTED_VALUE"""),"NLH")</f>
        <v>NLH</v>
      </c>
      <c r="E190" s="8" t="str">
        <f>IFERROR(__xludf.DUMMYFUNCTION("""COMPUTED_VALUE"""),"MON+WED")</f>
        <v>MON+WED</v>
      </c>
      <c r="F190" s="8" t="str">
        <f>IFERROR(__xludf.DUMMYFUNCTION("""COMPUTED_VALUE"""),"2:00 PM")</f>
        <v>2:00 PM</v>
      </c>
      <c r="G190" s="9" t="str">
        <f>IFERROR(__xludf.DUMMYFUNCTION("""COMPUTED_VALUE"""),"07D-19C")</f>
        <v>07D-19C</v>
      </c>
      <c r="H190" s="8" t="str">
        <f>IFERROR(__xludf.DUMMYFUNCTION("""COMPUTED_VALUE"""),"PBK,THR")</f>
        <v>PBK,THR</v>
      </c>
      <c r="I190" s="8" t="str">
        <f>IFERROR(__xludf.DUMMYFUNCTION("""COMPUTED_VALUE"""),"SAT")</f>
        <v>SAT</v>
      </c>
      <c r="J190" s="8" t="str">
        <f>IFERROR(__xludf.DUMMYFUNCTION("""COMPUTED_VALUE"""),"11:00 AM")</f>
        <v>11:00 AM</v>
      </c>
      <c r="K190" s="8" t="str">
        <f>IFERROR(__xludf.DUMMYFUNCTION("""COMPUTED_VALUE"""),"FT10-02L")</f>
        <v>FT10-02L</v>
      </c>
      <c r="L190" s="8"/>
      <c r="M190" s="10" t="str">
        <f>IFERROR(VLOOKUP(D190,FacultyList!B:G,6,FALSE),"")</f>
        <v>niloy.farhan@bracu.ac.bd</v>
      </c>
    </row>
    <row r="191">
      <c r="A191" s="5" t="str">
        <f>IFERROR(__xludf.DUMMYFUNCTION("""COMPUTED_VALUE"""),"CSE260-24B")</f>
        <v>CSE260-24B</v>
      </c>
      <c r="B191" s="8"/>
      <c r="C191" s="8"/>
      <c r="D191" s="8" t="str">
        <f>IFERROR(__xludf.DUMMYFUNCTION("""COMPUTED_VALUE"""),"NLH")</f>
        <v>NLH</v>
      </c>
      <c r="E191" s="8" t="str">
        <f>IFERROR(__xludf.DUMMYFUNCTION("""COMPUTED_VALUE"""),"MON+WED")</f>
        <v>MON+WED</v>
      </c>
      <c r="F191" s="8" t="str">
        <f>IFERROR(__xludf.DUMMYFUNCTION("""COMPUTED_VALUE"""),"2:00 PM")</f>
        <v>2:00 PM</v>
      </c>
      <c r="G191" s="9" t="str">
        <f>IFERROR(__xludf.DUMMYFUNCTION("""COMPUTED_VALUE"""),"07D-19C")</f>
        <v>07D-19C</v>
      </c>
      <c r="H191" s="8" t="str">
        <f>IFERROR(__xludf.DUMMYFUNCTION("""COMPUTED_VALUE"""),"ADD,CAYR")</f>
        <v>ADD,CAYR</v>
      </c>
      <c r="I191" s="8" t="str">
        <f>IFERROR(__xludf.DUMMYFUNCTION("""COMPUTED_VALUE"""),"SAT")</f>
        <v>SAT</v>
      </c>
      <c r="J191" s="8" t="str">
        <f>IFERROR(__xludf.DUMMYFUNCTION("""COMPUTED_VALUE"""),"11:00 AM")</f>
        <v>11:00 AM</v>
      </c>
      <c r="K191" s="8" t="str">
        <f>IFERROR(__xludf.DUMMYFUNCTION("""COMPUTED_VALUE"""),"FT10-03L")</f>
        <v>FT10-03L</v>
      </c>
      <c r="L191" s="8"/>
      <c r="M191" s="10" t="str">
        <f>IFERROR(VLOOKUP(D191,FacultyList!B:G,6,FALSE),"")</f>
        <v>niloy.farhan@bracu.ac.bd</v>
      </c>
    </row>
    <row r="192">
      <c r="A192" s="5" t="str">
        <f>IFERROR(__xludf.DUMMYFUNCTION("""COMPUTED_VALUE"""),"CSE260-25A")</f>
        <v>CSE260-25A</v>
      </c>
      <c r="B192" s="8"/>
      <c r="C192" s="8"/>
      <c r="D192" s="8" t="str">
        <f>IFERROR(__xludf.DUMMYFUNCTION("""COMPUTED_VALUE"""),"LMI")</f>
        <v>LMI</v>
      </c>
      <c r="E192" s="8" t="str">
        <f>IFERROR(__xludf.DUMMYFUNCTION("""COMPUTED_VALUE"""),"MON+WED")</f>
        <v>MON+WED</v>
      </c>
      <c r="F192" s="8" t="str">
        <f>IFERROR(__xludf.DUMMYFUNCTION("""COMPUTED_VALUE"""),"3:30 PM")</f>
        <v>3:30 PM</v>
      </c>
      <c r="G192" s="9" t="str">
        <f>IFERROR(__xludf.DUMMYFUNCTION("""COMPUTED_VALUE"""),"07D-19C")</f>
        <v>07D-19C</v>
      </c>
      <c r="H192" s="8" t="str">
        <f>IFERROR(__xludf.DUMMYFUNCTION("""COMPUTED_VALUE"""),"SMDS,THR")</f>
        <v>SMDS,THR</v>
      </c>
      <c r="I192" s="8" t="str">
        <f>IFERROR(__xludf.DUMMYFUNCTION("""COMPUTED_VALUE"""),"SUN")</f>
        <v>SUN</v>
      </c>
      <c r="J192" s="8" t="str">
        <f>IFERROR(__xludf.DUMMYFUNCTION("""COMPUTED_VALUE"""),"8:00 AM")</f>
        <v>8:00 AM</v>
      </c>
      <c r="K192" s="8" t="str">
        <f>IFERROR(__xludf.DUMMYFUNCTION("""COMPUTED_VALUE"""),"FT10-04L")</f>
        <v>FT10-04L</v>
      </c>
      <c r="L192" s="8"/>
      <c r="M192" s="10" t="str">
        <f>IFERROR(VLOOKUP(D192,FacultyList!B:G,6,FALSE),"")</f>
        <v>lamiah.israt@bracu.ac.bd</v>
      </c>
    </row>
    <row r="193">
      <c r="A193" s="5" t="str">
        <f>IFERROR(__xludf.DUMMYFUNCTION("""COMPUTED_VALUE"""),"CSE260-25B")</f>
        <v>CSE260-25B</v>
      </c>
      <c r="B193" s="8"/>
      <c r="C193" s="8"/>
      <c r="D193" s="8" t="str">
        <f>IFERROR(__xludf.DUMMYFUNCTION("""COMPUTED_VALUE"""),"LMI")</f>
        <v>LMI</v>
      </c>
      <c r="E193" s="8" t="str">
        <f>IFERROR(__xludf.DUMMYFUNCTION("""COMPUTED_VALUE"""),"MON+WED")</f>
        <v>MON+WED</v>
      </c>
      <c r="F193" s="8" t="str">
        <f>IFERROR(__xludf.DUMMYFUNCTION("""COMPUTED_VALUE"""),"3:30 PM")</f>
        <v>3:30 PM</v>
      </c>
      <c r="G193" s="9" t="str">
        <f>IFERROR(__xludf.DUMMYFUNCTION("""COMPUTED_VALUE"""),"07D-19C")</f>
        <v>07D-19C</v>
      </c>
      <c r="H193" s="8" t="str">
        <f>IFERROR(__xludf.DUMMYFUNCTION("""COMPUTED_VALUE"""),"ANKH,CAPN")</f>
        <v>ANKH,CAPN</v>
      </c>
      <c r="I193" s="8" t="str">
        <f>IFERROR(__xludf.DUMMYFUNCTION("""COMPUTED_VALUE"""),"SUN")</f>
        <v>SUN</v>
      </c>
      <c r="J193" s="8" t="str">
        <f>IFERROR(__xludf.DUMMYFUNCTION("""COMPUTED_VALUE"""),"11:00 AM")</f>
        <v>11:00 AM</v>
      </c>
      <c r="K193" s="8" t="str">
        <f>IFERROR(__xludf.DUMMYFUNCTION("""COMPUTED_VALUE"""),"FT10-04L")</f>
        <v>FT10-04L</v>
      </c>
      <c r="L193" s="8"/>
      <c r="M193" s="10" t="str">
        <f>IFERROR(VLOOKUP(D193,FacultyList!B:G,6,FALSE),"")</f>
        <v>lamiah.israt@bracu.ac.bd</v>
      </c>
    </row>
    <row r="194">
      <c r="A194" s="5" t="str">
        <f>IFERROR(__xludf.DUMMYFUNCTION("""COMPUTED_VALUE"""),"CSE260-26A")</f>
        <v>CSE260-26A</v>
      </c>
      <c r="B194" s="8"/>
      <c r="C194" s="8"/>
      <c r="D194" s="8" t="str">
        <f>IFERROR(__xludf.DUMMYFUNCTION("""COMPUTED_VALUE"""),"RFF")</f>
        <v>RFF</v>
      </c>
      <c r="E194" s="8" t="str">
        <f>IFERROR(__xludf.DUMMYFUNCTION("""COMPUTED_VALUE"""),"MON+WED")</f>
        <v>MON+WED</v>
      </c>
      <c r="F194" s="8" t="str">
        <f>IFERROR(__xludf.DUMMYFUNCTION("""COMPUTED_VALUE"""),"8:00 AM")</f>
        <v>8:00 AM</v>
      </c>
      <c r="G194" s="9" t="str">
        <f>IFERROR(__xludf.DUMMYFUNCTION("""COMPUTED_VALUE"""),"07F-22C")</f>
        <v>07F-22C</v>
      </c>
      <c r="H194" s="8" t="str">
        <f>IFERROR(__xludf.DUMMYFUNCTION("""COMPUTED_VALUE"""),"PBK,THR")</f>
        <v>PBK,THR</v>
      </c>
      <c r="I194" s="8" t="str">
        <f>IFERROR(__xludf.DUMMYFUNCTION("""COMPUTED_VALUE"""),"SUN")</f>
        <v>SUN</v>
      </c>
      <c r="J194" s="8" t="str">
        <f>IFERROR(__xludf.DUMMYFUNCTION("""COMPUTED_VALUE"""),"11:00 AM")</f>
        <v>11:00 AM</v>
      </c>
      <c r="K194" s="8" t="str">
        <f>IFERROR(__xludf.DUMMYFUNCTION("""COMPUTED_VALUE"""),"FT10-02L")</f>
        <v>FT10-02L</v>
      </c>
      <c r="L194" s="8"/>
      <c r="M194" s="10" t="str">
        <f>IFERROR(VLOOKUP(D194,FacultyList!B:G,6,FALSE),"")</f>
        <v>rafid.ahnaf@bracu.ac.bd</v>
      </c>
    </row>
    <row r="195">
      <c r="A195" s="5" t="str">
        <f>IFERROR(__xludf.DUMMYFUNCTION("""COMPUTED_VALUE"""),"CSE260-26B")</f>
        <v>CSE260-26B</v>
      </c>
      <c r="B195" s="8"/>
      <c r="C195" s="8"/>
      <c r="D195" s="8" t="str">
        <f>IFERROR(__xludf.DUMMYFUNCTION("""COMPUTED_VALUE"""),"RFF")</f>
        <v>RFF</v>
      </c>
      <c r="E195" s="8" t="str">
        <f>IFERROR(__xludf.DUMMYFUNCTION("""COMPUTED_VALUE"""),"MON+WED")</f>
        <v>MON+WED</v>
      </c>
      <c r="F195" s="8" t="str">
        <f>IFERROR(__xludf.DUMMYFUNCTION("""COMPUTED_VALUE"""),"8:00 AM")</f>
        <v>8:00 AM</v>
      </c>
      <c r="G195" s="9" t="str">
        <f>IFERROR(__xludf.DUMMYFUNCTION("""COMPUTED_VALUE"""),"07F-22C")</f>
        <v>07F-22C</v>
      </c>
      <c r="H195" s="8" t="str">
        <f>IFERROR(__xludf.DUMMYFUNCTION("""COMPUTED_VALUE"""),"MDF,SMDS")</f>
        <v>MDF,SMDS</v>
      </c>
      <c r="I195" s="8" t="str">
        <f>IFERROR(__xludf.DUMMYFUNCTION("""COMPUTED_VALUE"""),"SUN")</f>
        <v>SUN</v>
      </c>
      <c r="J195" s="8" t="str">
        <f>IFERROR(__xludf.DUMMYFUNCTION("""COMPUTED_VALUE"""),"11:00 AM")</f>
        <v>11:00 AM</v>
      </c>
      <c r="K195" s="8" t="str">
        <f>IFERROR(__xludf.DUMMYFUNCTION("""COMPUTED_VALUE"""),"FT10-03L")</f>
        <v>FT10-03L</v>
      </c>
      <c r="L195" s="8"/>
      <c r="M195" s="10" t="str">
        <f>IFERROR(VLOOKUP(D195,FacultyList!B:G,6,FALSE),"")</f>
        <v>rafid.ahnaf@bracu.ac.bd</v>
      </c>
    </row>
    <row r="196">
      <c r="A196" s="5" t="str">
        <f>IFERROR(__xludf.DUMMYFUNCTION("""COMPUTED_VALUE"""),"CSE260-27A")</f>
        <v>CSE260-27A</v>
      </c>
      <c r="B196" s="8"/>
      <c r="C196" s="8"/>
      <c r="D196" s="8" t="str">
        <f>IFERROR(__xludf.DUMMYFUNCTION("""COMPUTED_VALUE"""),"RFF")</f>
        <v>RFF</v>
      </c>
      <c r="E196" s="8" t="str">
        <f>IFERROR(__xludf.DUMMYFUNCTION("""COMPUTED_VALUE"""),"MON+WED")</f>
        <v>MON+WED</v>
      </c>
      <c r="F196" s="8" t="str">
        <f>IFERROR(__xludf.DUMMYFUNCTION("""COMPUTED_VALUE"""),"9:30 AM")</f>
        <v>9:30 AM</v>
      </c>
      <c r="G196" s="9" t="str">
        <f>IFERROR(__xludf.DUMMYFUNCTION("""COMPUTED_VALUE"""),"07F-22C")</f>
        <v>07F-22C</v>
      </c>
      <c r="H196" s="8" t="str">
        <f>IFERROR(__xludf.DUMMYFUNCTION("""COMPUTED_VALUE"""),"MAJIJ,AWK")</f>
        <v>MAJIJ,AWK</v>
      </c>
      <c r="I196" s="8" t="str">
        <f>IFERROR(__xludf.DUMMYFUNCTION("""COMPUTED_VALUE"""),"SUN")</f>
        <v>SUN</v>
      </c>
      <c r="J196" s="8" t="str">
        <f>IFERROR(__xludf.DUMMYFUNCTION("""COMPUTED_VALUE"""),"2:00 PM")</f>
        <v>2:00 PM</v>
      </c>
      <c r="K196" s="8" t="str">
        <f>IFERROR(__xludf.DUMMYFUNCTION("""COMPUTED_VALUE"""),"FT10-02L")</f>
        <v>FT10-02L</v>
      </c>
      <c r="L196" s="8"/>
      <c r="M196" s="10" t="str">
        <f>IFERROR(VLOOKUP(D196,FacultyList!B:G,6,FALSE),"")</f>
        <v>rafid.ahnaf@bracu.ac.bd</v>
      </c>
    </row>
    <row r="197">
      <c r="A197" s="5" t="str">
        <f>IFERROR(__xludf.DUMMYFUNCTION("""COMPUTED_VALUE"""),"CSE260-27B")</f>
        <v>CSE260-27B</v>
      </c>
      <c r="B197" s="8"/>
      <c r="C197" s="8"/>
      <c r="D197" s="8" t="str">
        <f>IFERROR(__xludf.DUMMYFUNCTION("""COMPUTED_VALUE"""),"RFF")</f>
        <v>RFF</v>
      </c>
      <c r="E197" s="8" t="str">
        <f>IFERROR(__xludf.DUMMYFUNCTION("""COMPUTED_VALUE"""),"MON+WED")</f>
        <v>MON+WED</v>
      </c>
      <c r="F197" s="8" t="str">
        <f>IFERROR(__xludf.DUMMYFUNCTION("""COMPUTED_VALUE"""),"9:30 AM")</f>
        <v>9:30 AM</v>
      </c>
      <c r="G197" s="9" t="str">
        <f>IFERROR(__xludf.DUMMYFUNCTION("""COMPUTED_VALUE"""),"07F-22C")</f>
        <v>07F-22C</v>
      </c>
      <c r="H197" s="8" t="str">
        <f>IFERROR(__xludf.DUMMYFUNCTION("""COMPUTED_VALUE"""),"AAF,CAPN")</f>
        <v>AAF,CAPN</v>
      </c>
      <c r="I197" s="8" t="str">
        <f>IFERROR(__xludf.DUMMYFUNCTION("""COMPUTED_VALUE"""),"SUN")</f>
        <v>SUN</v>
      </c>
      <c r="J197" s="8" t="str">
        <f>IFERROR(__xludf.DUMMYFUNCTION("""COMPUTED_VALUE"""),"2:00 PM")</f>
        <v>2:00 PM</v>
      </c>
      <c r="K197" s="8" t="str">
        <f>IFERROR(__xludf.DUMMYFUNCTION("""COMPUTED_VALUE"""),"FT10-03L")</f>
        <v>FT10-03L</v>
      </c>
      <c r="L197" s="8"/>
      <c r="M197" s="10" t="str">
        <f>IFERROR(VLOOKUP(D197,FacultyList!B:G,6,FALSE),"")</f>
        <v>rafid.ahnaf@bracu.ac.bd</v>
      </c>
    </row>
    <row r="198">
      <c r="A198" s="5" t="str">
        <f>IFERROR(__xludf.DUMMYFUNCTION("""COMPUTED_VALUE"""),"CSE320-01")</f>
        <v>CSE320-01</v>
      </c>
      <c r="B198" s="8" t="str">
        <f>IFERROR(__xludf.DUMMYFUNCTION("""COMPUTED_VALUE"""),"EEE361")</f>
        <v>EEE361</v>
      </c>
      <c r="C198" s="8" t="str">
        <f>IFERROR(__xludf.DUMMYFUNCTION("""COMPUTED_VALUE"""),"EEE362")</f>
        <v>EEE362</v>
      </c>
      <c r="D198" s="8" t="str">
        <f>IFERROR(__xludf.DUMMYFUNCTION("""COMPUTED_VALUE"""),"SRJ")</f>
        <v>SRJ</v>
      </c>
      <c r="E198" s="8" t="str">
        <f>IFERROR(__xludf.DUMMYFUNCTION("""COMPUTED_VALUE"""),"SAT+THU")</f>
        <v>SAT+THU</v>
      </c>
      <c r="F198" s="8" t="str">
        <f>IFERROR(__xludf.DUMMYFUNCTION("""COMPUTED_VALUE"""),"3:30 PM")</f>
        <v>3:30 PM</v>
      </c>
      <c r="G198" s="9" t="str">
        <f>IFERROR(__xludf.DUMMYFUNCTION("""COMPUTED_VALUE"""),"10A-04C")</f>
        <v>10A-04C</v>
      </c>
      <c r="H198" s="8"/>
      <c r="I198" s="8"/>
      <c r="J198" s="8"/>
      <c r="K198" s="8"/>
      <c r="L198" s="8"/>
      <c r="M198" s="10" t="str">
        <f>IFERROR(VLOOKUP(D198,FacultyList!B:G,6,FALSE),"")</f>
        <v>seraj.mehnaz@bracu.ac.bd</v>
      </c>
    </row>
    <row r="199">
      <c r="A199" s="5" t="str">
        <f>IFERROR(__xludf.DUMMYFUNCTION("""COMPUTED_VALUE"""),"CSE320-02")</f>
        <v>CSE320-02</v>
      </c>
      <c r="B199" s="8" t="str">
        <f>IFERROR(__xludf.DUMMYFUNCTION("""COMPUTED_VALUE"""),"EEE361")</f>
        <v>EEE361</v>
      </c>
      <c r="C199" s="8" t="str">
        <f>IFERROR(__xludf.DUMMYFUNCTION("""COMPUTED_VALUE"""),"EEE362")</f>
        <v>EEE362</v>
      </c>
      <c r="D199" s="8" t="str">
        <f>IFERROR(__xludf.DUMMYFUNCTION("""COMPUTED_VALUE"""),"AKTD")</f>
        <v>AKTD</v>
      </c>
      <c r="E199" s="8" t="str">
        <f>IFERROR(__xludf.DUMMYFUNCTION("""COMPUTED_VALUE"""),"SUN+TUE")</f>
        <v>SUN+TUE</v>
      </c>
      <c r="F199" s="8" t="str">
        <f>IFERROR(__xludf.DUMMYFUNCTION("""COMPUTED_VALUE"""),"2:00 PM")</f>
        <v>2:00 PM</v>
      </c>
      <c r="G199" s="9" t="str">
        <f>IFERROR(__xludf.DUMMYFUNCTION("""COMPUTED_VALUE"""),"10A-10C")</f>
        <v>10A-10C</v>
      </c>
      <c r="H199" s="8"/>
      <c r="I199" s="8"/>
      <c r="J199" s="8"/>
      <c r="K199" s="8"/>
      <c r="L199" s="8"/>
      <c r="M199" s="10" t="str">
        <f>IFERROR(VLOOKUP(D199,FacultyList!B:G,6,FALSE),"")</f>
        <v>akhtaruzzaman.adnan@bracu.ac.bd</v>
      </c>
    </row>
    <row r="200">
      <c r="A200" s="5" t="str">
        <f>IFERROR(__xludf.DUMMYFUNCTION("""COMPUTED_VALUE"""),"CSE320-03")</f>
        <v>CSE320-03</v>
      </c>
      <c r="B200" s="8" t="str">
        <f>IFERROR(__xludf.DUMMYFUNCTION("""COMPUTED_VALUE"""),"EEE361")</f>
        <v>EEE361</v>
      </c>
      <c r="C200" s="8" t="str">
        <f>IFERROR(__xludf.DUMMYFUNCTION("""COMPUTED_VALUE"""),"EEE362")</f>
        <v>EEE362</v>
      </c>
      <c r="D200" s="8" t="str">
        <f>IFERROR(__xludf.DUMMYFUNCTION("""COMPUTED_VALUE"""),"NTR")</f>
        <v>NTR</v>
      </c>
      <c r="E200" s="8" t="str">
        <f>IFERROR(__xludf.DUMMYFUNCTION("""COMPUTED_VALUE"""),"SUN+TUE")</f>
        <v>SUN+TUE</v>
      </c>
      <c r="F200" s="8" t="str">
        <f>IFERROR(__xludf.DUMMYFUNCTION("""COMPUTED_VALUE"""),"12:30 PM")</f>
        <v>12:30 PM</v>
      </c>
      <c r="G200" s="9" t="str">
        <f>IFERROR(__xludf.DUMMYFUNCTION("""COMPUTED_VALUE"""),"10B-16C")</f>
        <v>10B-16C</v>
      </c>
      <c r="H200" s="8"/>
      <c r="I200" s="8"/>
      <c r="J200" s="8"/>
      <c r="K200" s="8"/>
      <c r="L200" s="8"/>
      <c r="M200" s="10" t="str">
        <f>IFERROR(VLOOKUP(D200,FacultyList!B:G,6,FALSE),"")</f>
        <v>narzu.tarannum@bracu.ac.bd</v>
      </c>
    </row>
    <row r="201">
      <c r="A201" s="5" t="str">
        <f>IFERROR(__xludf.DUMMYFUNCTION("""COMPUTED_VALUE"""),"CSE320-04")</f>
        <v>CSE320-04</v>
      </c>
      <c r="B201" s="8" t="str">
        <f>IFERROR(__xludf.DUMMYFUNCTION("""COMPUTED_VALUE"""),"EEE361")</f>
        <v>EEE361</v>
      </c>
      <c r="C201" s="8" t="str">
        <f>IFERROR(__xludf.DUMMYFUNCTION("""COMPUTED_VALUE"""),"EEE362")</f>
        <v>EEE362</v>
      </c>
      <c r="D201" s="8" t="str">
        <f>IFERROR(__xludf.DUMMYFUNCTION("""COMPUTED_VALUE"""),"NTR")</f>
        <v>NTR</v>
      </c>
      <c r="E201" s="8" t="str">
        <f>IFERROR(__xludf.DUMMYFUNCTION("""COMPUTED_VALUE"""),"SUN+TUE")</f>
        <v>SUN+TUE</v>
      </c>
      <c r="F201" s="8" t="str">
        <f>IFERROR(__xludf.DUMMYFUNCTION("""COMPUTED_VALUE"""),"2:00 PM")</f>
        <v>2:00 PM</v>
      </c>
      <c r="G201" s="9" t="str">
        <f>IFERROR(__xludf.DUMMYFUNCTION("""COMPUTED_VALUE"""),"10B-16C")</f>
        <v>10B-16C</v>
      </c>
      <c r="H201" s="8"/>
      <c r="I201" s="8"/>
      <c r="J201" s="8"/>
      <c r="K201" s="8"/>
      <c r="L201" s="8"/>
      <c r="M201" s="10" t="str">
        <f>IFERROR(VLOOKUP(D201,FacultyList!B:G,6,FALSE),"")</f>
        <v>narzu.tarannum@bracu.ac.bd</v>
      </c>
    </row>
    <row r="202">
      <c r="A202" s="5" t="str">
        <f>IFERROR(__xludf.DUMMYFUNCTION("""COMPUTED_VALUE"""),"CSE320-05")</f>
        <v>CSE320-05</v>
      </c>
      <c r="B202" s="8" t="str">
        <f>IFERROR(__xludf.DUMMYFUNCTION("""COMPUTED_VALUE"""),"EEE361")</f>
        <v>EEE361</v>
      </c>
      <c r="C202" s="8" t="str">
        <f>IFERROR(__xludf.DUMMYFUNCTION("""COMPUTED_VALUE"""),"EEE362")</f>
        <v>EEE362</v>
      </c>
      <c r="D202" s="8" t="str">
        <f>IFERROR(__xludf.DUMMYFUNCTION("""COMPUTED_VALUE"""),"SHRR")</f>
        <v>SHRR</v>
      </c>
      <c r="E202" s="8" t="str">
        <f>IFERROR(__xludf.DUMMYFUNCTION("""COMPUTED_VALUE"""),"MON+WED")</f>
        <v>MON+WED</v>
      </c>
      <c r="F202" s="8" t="str">
        <f>IFERROR(__xludf.DUMMYFUNCTION("""COMPUTED_VALUE"""),"9:30 AM")</f>
        <v>9:30 AM</v>
      </c>
      <c r="G202" s="9" t="str">
        <f>IFERROR(__xludf.DUMMYFUNCTION("""COMPUTED_VALUE"""),"09H-34C")</f>
        <v>09H-34C</v>
      </c>
      <c r="H202" s="8"/>
      <c r="I202" s="8"/>
      <c r="J202" s="8"/>
      <c r="K202" s="8"/>
      <c r="L202" s="8"/>
      <c r="M202" s="10" t="str">
        <f>IFERROR(VLOOKUP(D202,FacultyList!B:G,6,FALSE),"")</f>
        <v>shahriar.rahman@bracu.ac.bd</v>
      </c>
    </row>
    <row r="203">
      <c r="A203" s="5" t="str">
        <f>IFERROR(__xludf.DUMMYFUNCTION("""COMPUTED_VALUE"""),"CSE320-06")</f>
        <v>CSE320-06</v>
      </c>
      <c r="B203" s="8" t="str">
        <f>IFERROR(__xludf.DUMMYFUNCTION("""COMPUTED_VALUE"""),"EEE361")</f>
        <v>EEE361</v>
      </c>
      <c r="C203" s="8" t="str">
        <f>IFERROR(__xludf.DUMMYFUNCTION("""COMPUTED_VALUE"""),"EEE362")</f>
        <v>EEE362</v>
      </c>
      <c r="D203" s="8" t="str">
        <f>IFERROR(__xludf.DUMMYFUNCTION("""COMPUTED_VALUE"""),"SHRR")</f>
        <v>SHRR</v>
      </c>
      <c r="E203" s="8" t="str">
        <f>IFERROR(__xludf.DUMMYFUNCTION("""COMPUTED_VALUE"""),"MON+WED")</f>
        <v>MON+WED</v>
      </c>
      <c r="F203" s="8" t="str">
        <f>IFERROR(__xludf.DUMMYFUNCTION("""COMPUTED_VALUE"""),"11:00 AM")</f>
        <v>11:00 AM</v>
      </c>
      <c r="G203" s="9" t="str">
        <f>IFERROR(__xludf.DUMMYFUNCTION("""COMPUTED_VALUE"""),"09H-34C")</f>
        <v>09H-34C</v>
      </c>
      <c r="H203" s="8"/>
      <c r="I203" s="8"/>
      <c r="J203" s="8"/>
      <c r="K203" s="8"/>
      <c r="L203" s="8"/>
      <c r="M203" s="10" t="str">
        <f>IFERROR(VLOOKUP(D203,FacultyList!B:G,6,FALSE),"")</f>
        <v>shahriar.rahman@bracu.ac.bd</v>
      </c>
    </row>
    <row r="204">
      <c r="A204" s="5" t="str">
        <f>IFERROR(__xludf.DUMMYFUNCTION("""COMPUTED_VALUE"""),"CSE320-07")</f>
        <v>CSE320-07</v>
      </c>
      <c r="B204" s="8" t="str">
        <f>IFERROR(__xludf.DUMMYFUNCTION("""COMPUTED_VALUE"""),"EEE361")</f>
        <v>EEE361</v>
      </c>
      <c r="C204" s="8" t="str">
        <f>IFERROR(__xludf.DUMMYFUNCTION("""COMPUTED_VALUE"""),"EEE362")</f>
        <v>EEE362</v>
      </c>
      <c r="D204" s="8" t="str">
        <f>IFERROR(__xludf.DUMMYFUNCTION("""COMPUTED_VALUE"""),"FGZ")</f>
        <v>FGZ</v>
      </c>
      <c r="E204" s="8" t="str">
        <f>IFERROR(__xludf.DUMMYFUNCTION("""COMPUTED_VALUE"""),"SUN+TUE")</f>
        <v>SUN+TUE</v>
      </c>
      <c r="F204" s="8" t="str">
        <f>IFERROR(__xludf.DUMMYFUNCTION("""COMPUTED_VALUE"""),"8:00 AM")</f>
        <v>8:00 AM</v>
      </c>
      <c r="G204" s="9" t="str">
        <f>IFERROR(__xludf.DUMMYFUNCTION("""COMPUTED_VALUE"""),"09D-17C")</f>
        <v>09D-17C</v>
      </c>
      <c r="H204" s="8"/>
      <c r="I204" s="8"/>
      <c r="J204" s="8"/>
      <c r="K204" s="8"/>
      <c r="L204" s="8"/>
      <c r="M204" s="10" t="str">
        <f>IFERROR(VLOOKUP(D204,FacultyList!B:G,6,FALSE),"")</f>
        <v>fakhruddin.gazzali@bracu.ac.bd</v>
      </c>
    </row>
    <row r="205">
      <c r="A205" s="5" t="str">
        <f>IFERROR(__xludf.DUMMYFUNCTION("""COMPUTED_VALUE"""),"CSE320-08")</f>
        <v>CSE320-08</v>
      </c>
      <c r="B205" s="8" t="str">
        <f>IFERROR(__xludf.DUMMYFUNCTION("""COMPUTED_VALUE"""),"EEE361")</f>
        <v>EEE361</v>
      </c>
      <c r="C205" s="8" t="str">
        <f>IFERROR(__xludf.DUMMYFUNCTION("""COMPUTED_VALUE"""),"EEE362")</f>
        <v>EEE362</v>
      </c>
      <c r="D205" s="8" t="str">
        <f>IFERROR(__xludf.DUMMYFUNCTION("""COMPUTED_VALUE"""),"FGZ")</f>
        <v>FGZ</v>
      </c>
      <c r="E205" s="8" t="str">
        <f>IFERROR(__xludf.DUMMYFUNCTION("""COMPUTED_VALUE"""),"SUN+TUE")</f>
        <v>SUN+TUE</v>
      </c>
      <c r="F205" s="8" t="str">
        <f>IFERROR(__xludf.DUMMYFUNCTION("""COMPUTED_VALUE"""),"9:30 AM")</f>
        <v>9:30 AM</v>
      </c>
      <c r="G205" s="9" t="str">
        <f>IFERROR(__xludf.DUMMYFUNCTION("""COMPUTED_VALUE"""),"09D-17C")</f>
        <v>09D-17C</v>
      </c>
      <c r="H205" s="8"/>
      <c r="I205" s="8"/>
      <c r="J205" s="8"/>
      <c r="K205" s="8"/>
      <c r="L205" s="8"/>
      <c r="M205" s="10" t="str">
        <f>IFERROR(VLOOKUP(D205,FacultyList!B:G,6,FALSE),"")</f>
        <v>fakhruddin.gazzali@bracu.ac.bd</v>
      </c>
    </row>
    <row r="206">
      <c r="A206" s="5" t="str">
        <f>IFERROR(__xludf.DUMMYFUNCTION("""COMPUTED_VALUE"""),"CSE320-09")</f>
        <v>CSE320-09</v>
      </c>
      <c r="B206" s="8" t="str">
        <f>IFERROR(__xludf.DUMMYFUNCTION("""COMPUTED_VALUE"""),"EEE361")</f>
        <v>EEE361</v>
      </c>
      <c r="C206" s="8" t="str">
        <f>IFERROR(__xludf.DUMMYFUNCTION("""COMPUTED_VALUE"""),"EEE362")</f>
        <v>EEE362</v>
      </c>
      <c r="D206" s="8" t="str">
        <f>IFERROR(__xludf.DUMMYFUNCTION("""COMPUTED_VALUE"""),"SRJ")</f>
        <v>SRJ</v>
      </c>
      <c r="E206" s="8" t="str">
        <f>IFERROR(__xludf.DUMMYFUNCTION("""COMPUTED_VALUE"""),"SAT+THU")</f>
        <v>SAT+THU</v>
      </c>
      <c r="F206" s="8" t="str">
        <f>IFERROR(__xludf.DUMMYFUNCTION("""COMPUTED_VALUE"""),"11:00 AM")</f>
        <v>11:00 AM</v>
      </c>
      <c r="G206" s="9" t="str">
        <f>IFERROR(__xludf.DUMMYFUNCTION("""COMPUTED_VALUE"""),"07D-19C")</f>
        <v>07D-19C</v>
      </c>
      <c r="H206" s="8"/>
      <c r="I206" s="8"/>
      <c r="J206" s="8"/>
      <c r="K206" s="8"/>
      <c r="L206" s="8"/>
      <c r="M206" s="10" t="str">
        <f>IFERROR(VLOOKUP(D206,FacultyList!B:G,6,FALSE),"")</f>
        <v>seraj.mehnaz@bracu.ac.bd</v>
      </c>
    </row>
    <row r="207">
      <c r="A207" s="5" t="str">
        <f>IFERROR(__xludf.DUMMYFUNCTION("""COMPUTED_VALUE"""),"CSE320-11")</f>
        <v>CSE320-11</v>
      </c>
      <c r="B207" s="8" t="str">
        <f>IFERROR(__xludf.DUMMYFUNCTION("""COMPUTED_VALUE"""),"EEE361")</f>
        <v>EEE361</v>
      </c>
      <c r="C207" s="8" t="str">
        <f>IFERROR(__xludf.DUMMYFUNCTION("""COMPUTED_VALUE"""),"EEE362")</f>
        <v>EEE362</v>
      </c>
      <c r="D207" s="8" t="str">
        <f>IFERROR(__xludf.DUMMYFUNCTION("""COMPUTED_VALUE"""),"TAP")</f>
        <v>TAP</v>
      </c>
      <c r="E207" s="8" t="str">
        <f>IFERROR(__xludf.DUMMYFUNCTION("""COMPUTED_VALUE"""),"SUN+TUE")</f>
        <v>SUN+TUE</v>
      </c>
      <c r="F207" s="8" t="str">
        <f>IFERROR(__xludf.DUMMYFUNCTION("""COMPUTED_VALUE"""),"2:00 PM")</f>
        <v>2:00 PM</v>
      </c>
      <c r="G207" s="9" t="str">
        <f>IFERROR(__xludf.DUMMYFUNCTION("""COMPUTED_VALUE"""),"09D-18C")</f>
        <v>09D-18C</v>
      </c>
      <c r="H207" s="8"/>
      <c r="I207" s="8"/>
      <c r="J207" s="8"/>
      <c r="K207" s="8"/>
      <c r="L207" s="8"/>
      <c r="M207" s="10" t="str">
        <f>IFERROR(VLOOKUP(D207,FacultyList!B:G,6,FALSE),"")</f>
        <v>tasnim.ahsan@bracu.ac.bd</v>
      </c>
    </row>
    <row r="208">
      <c r="A208" s="5" t="str">
        <f>IFERROR(__xludf.DUMMYFUNCTION("""COMPUTED_VALUE"""),"CSE320-12")</f>
        <v>CSE320-12</v>
      </c>
      <c r="B208" s="8" t="str">
        <f>IFERROR(__xludf.DUMMYFUNCTION("""COMPUTED_VALUE"""),"EEE361")</f>
        <v>EEE361</v>
      </c>
      <c r="C208" s="8" t="str">
        <f>IFERROR(__xludf.DUMMYFUNCTION("""COMPUTED_VALUE"""),"EEE362")</f>
        <v>EEE362</v>
      </c>
      <c r="D208" s="8" t="str">
        <f>IFERROR(__xludf.DUMMYFUNCTION("""COMPUTED_VALUE"""),"TAP")</f>
        <v>TAP</v>
      </c>
      <c r="E208" s="8" t="str">
        <f>IFERROR(__xludf.DUMMYFUNCTION("""COMPUTED_VALUE"""),"SUN+TUE")</f>
        <v>SUN+TUE</v>
      </c>
      <c r="F208" s="8" t="str">
        <f>IFERROR(__xludf.DUMMYFUNCTION("""COMPUTED_VALUE"""),"3:30 PM")</f>
        <v>3:30 PM</v>
      </c>
      <c r="G208" s="9" t="str">
        <f>IFERROR(__xludf.DUMMYFUNCTION("""COMPUTED_VALUE"""),"09D-18C")</f>
        <v>09D-18C</v>
      </c>
      <c r="H208" s="8"/>
      <c r="I208" s="8"/>
      <c r="J208" s="8"/>
      <c r="K208" s="8"/>
      <c r="L208" s="8"/>
      <c r="M208" s="10" t="str">
        <f>IFERROR(VLOOKUP(D208,FacultyList!B:G,6,FALSE),"")</f>
        <v>tasnim.ahsan@bracu.ac.bd</v>
      </c>
    </row>
    <row r="209">
      <c r="A209" s="5" t="str">
        <f>IFERROR(__xludf.DUMMYFUNCTION("""COMPUTED_VALUE"""),"CSE320-13")</f>
        <v>CSE320-13</v>
      </c>
      <c r="B209" s="8" t="str">
        <f>IFERROR(__xludf.DUMMYFUNCTION("""COMPUTED_VALUE"""),"EEE361")</f>
        <v>EEE361</v>
      </c>
      <c r="C209" s="8" t="str">
        <f>IFERROR(__xludf.DUMMYFUNCTION("""COMPUTED_VALUE"""),"EEE362")</f>
        <v>EEE362</v>
      </c>
      <c r="D209" s="8" t="str">
        <f>IFERROR(__xludf.DUMMYFUNCTION("""COMPUTED_VALUE"""),"SHAH")</f>
        <v>SHAH</v>
      </c>
      <c r="E209" s="8" t="str">
        <f>IFERROR(__xludf.DUMMYFUNCTION("""COMPUTED_VALUE"""),"SUN+TUE")</f>
        <v>SUN+TUE</v>
      </c>
      <c r="F209" s="8" t="str">
        <f>IFERROR(__xludf.DUMMYFUNCTION("""COMPUTED_VALUE"""),"12:30 PM")</f>
        <v>12:30 PM</v>
      </c>
      <c r="G209" s="9" t="str">
        <f>IFERROR(__xludf.DUMMYFUNCTION("""COMPUTED_VALUE"""),"09A-06C")</f>
        <v>09A-06C</v>
      </c>
      <c r="H209" s="8"/>
      <c r="I209" s="8"/>
      <c r="J209" s="8"/>
      <c r="K209" s="8"/>
      <c r="L209" s="8"/>
      <c r="M209" s="10" t="str">
        <f>IFERROR(VLOOKUP(D209,FacultyList!B:G,6,FALSE),"")</f>
        <v>asif.shahriar@bracu.ac.bd</v>
      </c>
    </row>
    <row r="210">
      <c r="A210" s="5" t="str">
        <f>IFERROR(__xludf.DUMMYFUNCTION("""COMPUTED_VALUE"""),"CSE320-14")</f>
        <v>CSE320-14</v>
      </c>
      <c r="B210" s="8" t="str">
        <f>IFERROR(__xludf.DUMMYFUNCTION("""COMPUTED_VALUE"""),"EEE361")</f>
        <v>EEE361</v>
      </c>
      <c r="C210" s="8" t="str">
        <f>IFERROR(__xludf.DUMMYFUNCTION("""COMPUTED_VALUE"""),"EEE362")</f>
        <v>EEE362</v>
      </c>
      <c r="D210" s="8" t="str">
        <f>IFERROR(__xludf.DUMMYFUNCTION("""COMPUTED_VALUE"""),"LBBH")</f>
        <v>LBBH</v>
      </c>
      <c r="E210" s="8" t="str">
        <f>IFERROR(__xludf.DUMMYFUNCTION("""COMPUTED_VALUE"""),"SAT+THU")</f>
        <v>SAT+THU</v>
      </c>
      <c r="F210" s="8" t="str">
        <f>IFERROR(__xludf.DUMMYFUNCTION("""COMPUTED_VALUE"""),"8:00 AM")</f>
        <v>8:00 AM</v>
      </c>
      <c r="G210" s="9" t="str">
        <f>IFERROR(__xludf.DUMMYFUNCTION("""COMPUTED_VALUE"""),"10B-15C")</f>
        <v>10B-15C</v>
      </c>
      <c r="H210" s="8"/>
      <c r="I210" s="8"/>
      <c r="J210" s="8"/>
      <c r="K210" s="8"/>
      <c r="L210" s="8"/>
      <c r="M210" s="10" t="str">
        <f>IFERROR(VLOOKUP(D210,FacultyList!B:G,6,FALSE),"")</f>
        <v>labib.hasan@bracu.ac.bd</v>
      </c>
    </row>
    <row r="211">
      <c r="A211" s="5" t="str">
        <f>IFERROR(__xludf.DUMMYFUNCTION("""COMPUTED_VALUE"""),"CSE320-15")</f>
        <v>CSE320-15</v>
      </c>
      <c r="B211" s="8" t="str">
        <f>IFERROR(__xludf.DUMMYFUNCTION("""COMPUTED_VALUE"""),"EEE361")</f>
        <v>EEE361</v>
      </c>
      <c r="C211" s="8" t="str">
        <f>IFERROR(__xludf.DUMMYFUNCTION("""COMPUTED_VALUE"""),"EEE362")</f>
        <v>EEE362</v>
      </c>
      <c r="D211" s="8" t="str">
        <f>IFERROR(__xludf.DUMMYFUNCTION("""COMPUTED_VALUE"""),"LBBH")</f>
        <v>LBBH</v>
      </c>
      <c r="E211" s="8" t="str">
        <f>IFERROR(__xludf.DUMMYFUNCTION("""COMPUTED_VALUE"""),"SAT+THU")</f>
        <v>SAT+THU</v>
      </c>
      <c r="F211" s="8" t="str">
        <f>IFERROR(__xludf.DUMMYFUNCTION("""COMPUTED_VALUE"""),"9:30 AM")</f>
        <v>9:30 AM</v>
      </c>
      <c r="G211" s="9" t="str">
        <f>IFERROR(__xludf.DUMMYFUNCTION("""COMPUTED_VALUE"""),"10B-15C")</f>
        <v>10B-15C</v>
      </c>
      <c r="H211" s="8"/>
      <c r="I211" s="8"/>
      <c r="J211" s="8"/>
      <c r="K211" s="8"/>
      <c r="L211" s="8"/>
      <c r="M211" s="10" t="str">
        <f>IFERROR(VLOOKUP(D211,FacultyList!B:G,6,FALSE),"")</f>
        <v>labib.hasan@bracu.ac.bd</v>
      </c>
    </row>
    <row r="212">
      <c r="A212" s="5" t="str">
        <f>IFERROR(__xludf.DUMMYFUNCTION("""COMPUTED_VALUE"""),"CSE320-16")</f>
        <v>CSE320-16</v>
      </c>
      <c r="B212" s="8" t="str">
        <f>IFERROR(__xludf.DUMMYFUNCTION("""COMPUTED_VALUE"""),"EEE361")</f>
        <v>EEE361</v>
      </c>
      <c r="C212" s="8" t="str">
        <f>IFERROR(__xludf.DUMMYFUNCTION("""COMPUTED_VALUE"""),"EEE362")</f>
        <v>EEE362</v>
      </c>
      <c r="D212" s="8" t="str">
        <f>IFERROR(__xludf.DUMMYFUNCTION("""COMPUTED_VALUE"""),"YND")</f>
        <v>YND</v>
      </c>
      <c r="E212" s="8" t="str">
        <f>IFERROR(__xludf.DUMMYFUNCTION("""COMPUTED_VALUE"""),"SUN+TUE")</f>
        <v>SUN+TUE</v>
      </c>
      <c r="F212" s="8" t="str">
        <f>IFERROR(__xludf.DUMMYFUNCTION("""COMPUTED_VALUE"""),"11:00 AM")</f>
        <v>11:00 AM</v>
      </c>
      <c r="G212" s="9" t="str">
        <f>IFERROR(__xludf.DUMMYFUNCTION("""COMPUTED_VALUE"""),"07D-20C")</f>
        <v>07D-20C</v>
      </c>
      <c r="H212" s="8"/>
      <c r="I212" s="8"/>
      <c r="J212" s="8"/>
      <c r="K212" s="8"/>
      <c r="L212" s="8"/>
      <c r="M212" s="10" t="str">
        <f>IFERROR(VLOOKUP(D212,FacultyList!B:G,6,FALSE),"")</f>
        <v>yasmin.nadia@bracu.ac.bd</v>
      </c>
    </row>
    <row r="213">
      <c r="A213" s="5" t="str">
        <f>IFERROR(__xludf.DUMMYFUNCTION("""COMPUTED_VALUE"""),"CSE320-17")</f>
        <v>CSE320-17</v>
      </c>
      <c r="B213" s="8" t="str">
        <f>IFERROR(__xludf.DUMMYFUNCTION("""COMPUTED_VALUE"""),"EEE361")</f>
        <v>EEE361</v>
      </c>
      <c r="C213" s="8" t="str">
        <f>IFERROR(__xludf.DUMMYFUNCTION("""COMPUTED_VALUE"""),"EEE362")</f>
        <v>EEE362</v>
      </c>
      <c r="D213" s="8" t="str">
        <f>IFERROR(__xludf.DUMMYFUNCTION("""COMPUTED_VALUE"""),"YND")</f>
        <v>YND</v>
      </c>
      <c r="E213" s="8" t="str">
        <f>IFERROR(__xludf.DUMMYFUNCTION("""COMPUTED_VALUE"""),"SUN+TUE")</f>
        <v>SUN+TUE</v>
      </c>
      <c r="F213" s="8" t="str">
        <f>IFERROR(__xludf.DUMMYFUNCTION("""COMPUTED_VALUE"""),"12:30 PM")</f>
        <v>12:30 PM</v>
      </c>
      <c r="G213" s="9" t="str">
        <f>IFERROR(__xludf.DUMMYFUNCTION("""COMPUTED_VALUE"""),"07D-20C")</f>
        <v>07D-20C</v>
      </c>
      <c r="H213" s="8"/>
      <c r="I213" s="8"/>
      <c r="J213" s="8"/>
      <c r="K213" s="8"/>
      <c r="L213" s="8"/>
      <c r="M213" s="10" t="str">
        <f>IFERROR(VLOOKUP(D213,FacultyList!B:G,6,FALSE),"")</f>
        <v>yasmin.nadia@bracu.ac.bd</v>
      </c>
    </row>
    <row r="214">
      <c r="A214" s="5" t="str">
        <f>IFERROR(__xludf.DUMMYFUNCTION("""COMPUTED_VALUE"""),"CSE321-01")</f>
        <v>CSE321-01</v>
      </c>
      <c r="B214" s="8"/>
      <c r="C214" s="8"/>
      <c r="D214" s="8" t="str">
        <f>IFERROR(__xludf.DUMMYFUNCTION("""COMPUTED_VALUE"""),"ACH")</f>
        <v>ACH</v>
      </c>
      <c r="E214" s="8" t="str">
        <f>IFERROR(__xludf.DUMMYFUNCTION("""COMPUTED_VALUE"""),"MON+WED")</f>
        <v>MON+WED</v>
      </c>
      <c r="F214" s="8" t="str">
        <f>IFERROR(__xludf.DUMMYFUNCTION("""COMPUTED_VALUE"""),"9:30 AM")</f>
        <v>9:30 AM</v>
      </c>
      <c r="G214" s="9" t="str">
        <f>IFERROR(__xludf.DUMMYFUNCTION("""COMPUTED_VALUE"""),"10A-04C")</f>
        <v>10A-04C</v>
      </c>
      <c r="H214" s="8" t="str">
        <f>IFERROR(__xludf.DUMMYFUNCTION("""COMPUTED_VALUE"""),"CAKM,MLH")</f>
        <v>CAKM,MLH</v>
      </c>
      <c r="I214" s="8" t="str">
        <f>IFERROR(__xludf.DUMMYFUNCTION("""COMPUTED_VALUE"""),"TUE")</f>
        <v>TUE</v>
      </c>
      <c r="J214" s="8" t="str">
        <f>IFERROR(__xludf.DUMMYFUNCTION("""COMPUTED_VALUE"""),"2:00 PM")</f>
        <v>2:00 PM</v>
      </c>
      <c r="K214" s="8" t="str">
        <f>IFERROR(__xludf.DUMMYFUNCTION("""COMPUTED_VALUE"""),"12D-26L")</f>
        <v>12D-26L</v>
      </c>
      <c r="L214" s="8"/>
      <c r="M214" s="10" t="str">
        <f>IFERROR(VLOOKUP(D214,FacultyList!B:G,6,FALSE),"")</f>
        <v>amitabha@bracu.ac.bd</v>
      </c>
    </row>
    <row r="215">
      <c r="A215" s="5" t="str">
        <f>IFERROR(__xludf.DUMMYFUNCTION("""COMPUTED_VALUE"""),"CSE321-02")</f>
        <v>CSE321-02</v>
      </c>
      <c r="B215" s="8"/>
      <c r="C215" s="8"/>
      <c r="D215" s="8" t="str">
        <f>IFERROR(__xludf.DUMMYFUNCTION("""COMPUTED_VALUE"""),"NTR")</f>
        <v>NTR</v>
      </c>
      <c r="E215" s="8" t="str">
        <f>IFERROR(__xludf.DUMMYFUNCTION("""COMPUTED_VALUE"""),"MON+WED")</f>
        <v>MON+WED</v>
      </c>
      <c r="F215" s="8" t="str">
        <f>IFERROR(__xludf.DUMMYFUNCTION("""COMPUTED_VALUE"""),"11:00 AM")</f>
        <v>11:00 AM</v>
      </c>
      <c r="G215" s="9" t="str">
        <f>IFERROR(__xludf.DUMMYFUNCTION("""COMPUTED_VALUE"""),"10B-13C")</f>
        <v>10B-13C</v>
      </c>
      <c r="H215" s="8" t="str">
        <f>IFERROR(__xludf.DUMMYFUNCTION("""COMPUTED_VALUE"""),"HFN,MAO")</f>
        <v>HFN,MAO</v>
      </c>
      <c r="I215" s="8" t="str">
        <f>IFERROR(__xludf.DUMMYFUNCTION("""COMPUTED_VALUE"""),"SUN")</f>
        <v>SUN</v>
      </c>
      <c r="J215" s="8" t="str">
        <f>IFERROR(__xludf.DUMMYFUNCTION("""COMPUTED_VALUE"""),"2:00 PM")</f>
        <v>2:00 PM</v>
      </c>
      <c r="K215" s="8" t="str">
        <f>IFERROR(__xludf.DUMMYFUNCTION("""COMPUTED_VALUE"""),"12D-27L")</f>
        <v>12D-27L</v>
      </c>
      <c r="L215" s="8"/>
      <c r="M215" s="10" t="str">
        <f>IFERROR(VLOOKUP(D215,FacultyList!B:G,6,FALSE),"")</f>
        <v>narzu.tarannum@bracu.ac.bd</v>
      </c>
    </row>
    <row r="216">
      <c r="A216" s="5" t="str">
        <f>IFERROR(__xludf.DUMMYFUNCTION("""COMPUTED_VALUE"""),"CSE321-03")</f>
        <v>CSE321-03</v>
      </c>
      <c r="B216" s="8"/>
      <c r="C216" s="8"/>
      <c r="D216" s="8" t="str">
        <f>IFERROR(__xludf.DUMMYFUNCTION("""COMPUTED_VALUE"""),"NTR")</f>
        <v>NTR</v>
      </c>
      <c r="E216" s="8" t="str">
        <f>IFERROR(__xludf.DUMMYFUNCTION("""COMPUTED_VALUE"""),"MON+WED")</f>
        <v>MON+WED</v>
      </c>
      <c r="F216" s="8" t="str">
        <f>IFERROR(__xludf.DUMMYFUNCTION("""COMPUTED_VALUE"""),"12:30 PM")</f>
        <v>12:30 PM</v>
      </c>
      <c r="G216" s="9" t="str">
        <f>IFERROR(__xludf.DUMMYFUNCTION("""COMPUTED_VALUE"""),"10B-13C")</f>
        <v>10B-13C</v>
      </c>
      <c r="H216" s="8" t="str">
        <f>IFERROR(__xludf.DUMMYFUNCTION("""COMPUTED_VALUE"""),"HFN,CAKM")</f>
        <v>HFN,CAKM</v>
      </c>
      <c r="I216" s="8" t="str">
        <f>IFERROR(__xludf.DUMMYFUNCTION("""COMPUTED_VALUE"""),"SUN")</f>
        <v>SUN</v>
      </c>
      <c r="J216" s="8" t="str">
        <f>IFERROR(__xludf.DUMMYFUNCTION("""COMPUTED_VALUE"""),"8:00 AM")</f>
        <v>8:00 AM</v>
      </c>
      <c r="K216" s="8" t="str">
        <f>IFERROR(__xludf.DUMMYFUNCTION("""COMPUTED_VALUE"""),"12D-26L")</f>
        <v>12D-26L</v>
      </c>
      <c r="L216" s="8"/>
      <c r="M216" s="10" t="str">
        <f>IFERROR(VLOOKUP(D216,FacultyList!B:G,6,FALSE),"")</f>
        <v>narzu.tarannum@bracu.ac.bd</v>
      </c>
    </row>
    <row r="217">
      <c r="A217" s="5" t="str">
        <f>IFERROR(__xludf.DUMMYFUNCTION("""COMPUTED_VALUE"""),"CSE321-04")</f>
        <v>CSE321-04</v>
      </c>
      <c r="B217" s="8"/>
      <c r="C217" s="8"/>
      <c r="D217" s="8" t="str">
        <f>IFERROR(__xludf.DUMMYFUNCTION("""COMPUTED_VALUE"""),"ZMD")</f>
        <v>ZMD</v>
      </c>
      <c r="E217" s="8" t="str">
        <f>IFERROR(__xludf.DUMMYFUNCTION("""COMPUTED_VALUE"""),"SUN+TUE")</f>
        <v>SUN+TUE</v>
      </c>
      <c r="F217" s="8" t="str">
        <f>IFERROR(__xludf.DUMMYFUNCTION("""COMPUTED_VALUE"""),"11:00 AM")</f>
        <v>11:00 AM</v>
      </c>
      <c r="G217" s="9" t="str">
        <f>IFERROR(__xludf.DUMMYFUNCTION("""COMPUTED_VALUE"""),"09E-20T")</f>
        <v>09E-20T</v>
      </c>
      <c r="H217" s="8" t="str">
        <f>IFERROR(__xludf.DUMMYFUNCTION("""COMPUTED_VALUE"""),"CRHB,CNZR")</f>
        <v>CRHB,CNZR</v>
      </c>
      <c r="I217" s="8" t="str">
        <f>IFERROR(__xludf.DUMMYFUNCTION("""COMPUTED_VALUE"""),"SAT")</f>
        <v>SAT</v>
      </c>
      <c r="J217" s="8" t="str">
        <f>IFERROR(__xludf.DUMMYFUNCTION("""COMPUTED_VALUE"""),"2:00 PM")</f>
        <v>2:00 PM</v>
      </c>
      <c r="K217" s="8" t="str">
        <f>IFERROR(__xludf.DUMMYFUNCTION("""COMPUTED_VALUE"""),"12D-26L")</f>
        <v>12D-26L</v>
      </c>
      <c r="L217" s="8"/>
      <c r="M217" s="10" t="str">
        <f>IFERROR(VLOOKUP(D217,FacultyList!B:G,6,FALSE),"")</f>
        <v>zaber.mohammad@bracu.ac.bd</v>
      </c>
    </row>
    <row r="218">
      <c r="A218" s="5" t="str">
        <f>IFERROR(__xludf.DUMMYFUNCTION("""COMPUTED_VALUE"""),"CSE321-05")</f>
        <v>CSE321-05</v>
      </c>
      <c r="B218" s="8"/>
      <c r="C218" s="8"/>
      <c r="D218" s="8" t="str">
        <f>IFERROR(__xludf.DUMMYFUNCTION("""COMPUTED_VALUE"""),"ZMD")</f>
        <v>ZMD</v>
      </c>
      <c r="E218" s="8" t="str">
        <f>IFERROR(__xludf.DUMMYFUNCTION("""COMPUTED_VALUE"""),"SUN+TUE")</f>
        <v>SUN+TUE</v>
      </c>
      <c r="F218" s="8" t="str">
        <f>IFERROR(__xludf.DUMMYFUNCTION("""COMPUTED_VALUE"""),"11:00 AM")</f>
        <v>11:00 AM</v>
      </c>
      <c r="G218" s="9" t="str">
        <f>IFERROR(__xludf.DUMMYFUNCTION("""COMPUTED_VALUE"""),"09E-20T")</f>
        <v>09E-20T</v>
      </c>
      <c r="H218" s="8" t="str">
        <f>IFERROR(__xludf.DUMMYFUNCTION("""COMPUTED_VALUE"""),"CSSA,AHA")</f>
        <v>CSSA,AHA</v>
      </c>
      <c r="I218" s="8" t="str">
        <f>IFERROR(__xludf.DUMMYFUNCTION("""COMPUTED_VALUE"""),"SAT")</f>
        <v>SAT</v>
      </c>
      <c r="J218" s="8" t="str">
        <f>IFERROR(__xludf.DUMMYFUNCTION("""COMPUTED_VALUE"""),"8:00 AM")</f>
        <v>8:00 AM</v>
      </c>
      <c r="K218" s="8" t="str">
        <f>IFERROR(__xludf.DUMMYFUNCTION("""COMPUTED_VALUE"""),"12D-27L")</f>
        <v>12D-27L</v>
      </c>
      <c r="L218" s="8"/>
      <c r="M218" s="10" t="str">
        <f>IFERROR(VLOOKUP(D218,FacultyList!B:G,6,FALSE),"")</f>
        <v>zaber.mohammad@bracu.ac.bd</v>
      </c>
    </row>
    <row r="219">
      <c r="A219" s="5" t="str">
        <f>IFERROR(__xludf.DUMMYFUNCTION("""COMPUTED_VALUE"""),"CSE321-06")</f>
        <v>CSE321-06</v>
      </c>
      <c r="B219" s="8"/>
      <c r="C219" s="8"/>
      <c r="D219" s="8" t="str">
        <f>IFERROR(__xludf.DUMMYFUNCTION("""COMPUTED_VALUE"""),"ZMD")</f>
        <v>ZMD</v>
      </c>
      <c r="E219" s="8" t="str">
        <f>IFERROR(__xludf.DUMMYFUNCTION("""COMPUTED_VALUE"""),"SUN+TUE")</f>
        <v>SUN+TUE</v>
      </c>
      <c r="F219" s="8" t="str">
        <f>IFERROR(__xludf.DUMMYFUNCTION("""COMPUTED_VALUE"""),"11:00 AM")</f>
        <v>11:00 AM</v>
      </c>
      <c r="G219" s="9" t="str">
        <f>IFERROR(__xludf.DUMMYFUNCTION("""COMPUTED_VALUE"""),"09E-20T")</f>
        <v>09E-20T</v>
      </c>
      <c r="H219" s="8" t="str">
        <f>IFERROR(__xludf.DUMMYFUNCTION("""COMPUTED_VALUE"""),"ZYH,SMKD")</f>
        <v>ZYH,SMKD</v>
      </c>
      <c r="I219" s="8" t="str">
        <f>IFERROR(__xludf.DUMMYFUNCTION("""COMPUTED_VALUE"""),"SAT")</f>
        <v>SAT</v>
      </c>
      <c r="J219" s="8" t="str">
        <f>IFERROR(__xludf.DUMMYFUNCTION("""COMPUTED_VALUE"""),"11:00 AM")</f>
        <v>11:00 AM</v>
      </c>
      <c r="K219" s="8" t="str">
        <f>IFERROR(__xludf.DUMMYFUNCTION("""COMPUTED_VALUE"""),"12D-27L")</f>
        <v>12D-27L</v>
      </c>
      <c r="L219" s="8"/>
      <c r="M219" s="10" t="str">
        <f>IFERROR(VLOOKUP(D219,FacultyList!B:G,6,FALSE),"")</f>
        <v>zaber.mohammad@bracu.ac.bd</v>
      </c>
    </row>
    <row r="220">
      <c r="A220" s="5" t="str">
        <f>IFERROR(__xludf.DUMMYFUNCTION("""COMPUTED_VALUE"""),"CSE321-07")</f>
        <v>CSE321-07</v>
      </c>
      <c r="B220" s="8"/>
      <c r="C220" s="8"/>
      <c r="D220" s="8" t="str">
        <f>IFERROR(__xludf.DUMMYFUNCTION("""COMPUTED_VALUE"""),"BDH")</f>
        <v>BDH</v>
      </c>
      <c r="E220" s="8" t="str">
        <f>IFERROR(__xludf.DUMMYFUNCTION("""COMPUTED_VALUE"""),"SUN+TUE")</f>
        <v>SUN+TUE</v>
      </c>
      <c r="F220" s="8" t="str">
        <f>IFERROR(__xludf.DUMMYFUNCTION("""COMPUTED_VALUE"""),"11:00 AM")</f>
        <v>11:00 AM</v>
      </c>
      <c r="G220" s="9" t="str">
        <f>IFERROR(__xludf.DUMMYFUNCTION("""COMPUTED_VALUE"""),"09D-18C")</f>
        <v>09D-18C</v>
      </c>
      <c r="H220" s="8" t="str">
        <f>IFERROR(__xludf.DUMMYFUNCTION("""COMPUTED_VALUE"""),"BDH,MLH")</f>
        <v>BDH,MLH</v>
      </c>
      <c r="I220" s="8" t="str">
        <f>IFERROR(__xludf.DUMMYFUNCTION("""COMPUTED_VALUE"""),"MON")</f>
        <v>MON</v>
      </c>
      <c r="J220" s="8" t="str">
        <f>IFERROR(__xludf.DUMMYFUNCTION("""COMPUTED_VALUE"""),"11:00 AM")</f>
        <v>11:00 AM</v>
      </c>
      <c r="K220" s="8" t="str">
        <f>IFERROR(__xludf.DUMMYFUNCTION("""COMPUTED_VALUE"""),"12D-27L")</f>
        <v>12D-27L</v>
      </c>
      <c r="L220" s="8"/>
      <c r="M220" s="10" t="str">
        <f>IFERROR(VLOOKUP(D220,FacultyList!B:G,6,FALSE),"")</f>
        <v>badrul.hossain@bracu.ac.bd</v>
      </c>
    </row>
    <row r="221">
      <c r="A221" s="5" t="str">
        <f>IFERROR(__xludf.DUMMYFUNCTION("""COMPUTED_VALUE"""),"CSE321-08")</f>
        <v>CSE321-08</v>
      </c>
      <c r="B221" s="8"/>
      <c r="C221" s="8"/>
      <c r="D221" s="8" t="str">
        <f>IFERROR(__xludf.DUMMYFUNCTION("""COMPUTED_VALUE"""),"BDH")</f>
        <v>BDH</v>
      </c>
      <c r="E221" s="8" t="str">
        <f>IFERROR(__xludf.DUMMYFUNCTION("""COMPUTED_VALUE"""),"SUN+TUE")</f>
        <v>SUN+TUE</v>
      </c>
      <c r="F221" s="8" t="str">
        <f>IFERROR(__xludf.DUMMYFUNCTION("""COMPUTED_VALUE"""),"12:30 PM")</f>
        <v>12:30 PM</v>
      </c>
      <c r="G221" s="9" t="str">
        <f>IFERROR(__xludf.DUMMYFUNCTION("""COMPUTED_VALUE"""),"09D-18C")</f>
        <v>09D-18C</v>
      </c>
      <c r="H221" s="8" t="str">
        <f>IFERROR(__xludf.DUMMYFUNCTION("""COMPUTED_VALUE"""),"BDH,MLH")</f>
        <v>BDH,MLH</v>
      </c>
      <c r="I221" s="8" t="str">
        <f>IFERROR(__xludf.DUMMYFUNCTION("""COMPUTED_VALUE"""),"WED")</f>
        <v>WED</v>
      </c>
      <c r="J221" s="8" t="str">
        <f>IFERROR(__xludf.DUMMYFUNCTION("""COMPUTED_VALUE"""),"11:00 AM")</f>
        <v>11:00 AM</v>
      </c>
      <c r="K221" s="8" t="str">
        <f>IFERROR(__xludf.DUMMYFUNCTION("""COMPUTED_VALUE"""),"12D-26L")</f>
        <v>12D-26L</v>
      </c>
      <c r="L221" s="8"/>
      <c r="M221" s="10" t="str">
        <f>IFERROR(VLOOKUP(D221,FacultyList!B:G,6,FALSE),"")</f>
        <v>badrul.hossain@bracu.ac.bd</v>
      </c>
    </row>
    <row r="222">
      <c r="A222" s="5" t="str">
        <f>IFERROR(__xludf.DUMMYFUNCTION("""COMPUTED_VALUE"""),"CSE321-09")</f>
        <v>CSE321-09</v>
      </c>
      <c r="B222" s="8"/>
      <c r="C222" s="8"/>
      <c r="D222" s="8" t="str">
        <f>IFERROR(__xludf.DUMMYFUNCTION("""COMPUTED_VALUE"""),"ZYH")</f>
        <v>ZYH</v>
      </c>
      <c r="E222" s="8" t="str">
        <f>IFERROR(__xludf.DUMMYFUNCTION("""COMPUTED_VALUE"""),"SAT+THU")</f>
        <v>SAT+THU</v>
      </c>
      <c r="F222" s="8" t="str">
        <f>IFERROR(__xludf.DUMMYFUNCTION("""COMPUTED_VALUE"""),"8:00 AM")</f>
        <v>8:00 AM</v>
      </c>
      <c r="G222" s="9" t="str">
        <f>IFERROR(__xludf.DUMMYFUNCTION("""COMPUTED_VALUE"""),"07H-27C")</f>
        <v>07H-27C</v>
      </c>
      <c r="H222" s="8" t="str">
        <f>IFERROR(__xludf.DUMMYFUNCTION("""COMPUTED_VALUE"""),"CRHB,CNZR")</f>
        <v>CRHB,CNZR</v>
      </c>
      <c r="I222" s="8" t="str">
        <f>IFERROR(__xludf.DUMMYFUNCTION("""COMPUTED_VALUE"""),"SUN")</f>
        <v>SUN</v>
      </c>
      <c r="J222" s="8" t="str">
        <f>IFERROR(__xludf.DUMMYFUNCTION("""COMPUTED_VALUE"""),"8:00 AM")</f>
        <v>8:00 AM</v>
      </c>
      <c r="K222" s="8" t="str">
        <f>IFERROR(__xludf.DUMMYFUNCTION("""COMPUTED_VALUE"""),"12D-27L")</f>
        <v>12D-27L</v>
      </c>
      <c r="L222" s="8"/>
      <c r="M222" s="10" t="str">
        <f>IFERROR(VLOOKUP(D222,FacultyList!B:G,6,FALSE),"")</f>
        <v>zayed.humayun@bracu.ac.bd</v>
      </c>
    </row>
    <row r="223">
      <c r="A223" s="5" t="str">
        <f>IFERROR(__xludf.DUMMYFUNCTION("""COMPUTED_VALUE"""),"CSE321-10")</f>
        <v>CSE321-10</v>
      </c>
      <c r="B223" s="8"/>
      <c r="C223" s="8"/>
      <c r="D223" s="8" t="str">
        <f>IFERROR(__xludf.DUMMYFUNCTION("""COMPUTED_VALUE"""),"RHD")</f>
        <v>RHD</v>
      </c>
      <c r="E223" s="8" t="str">
        <f>IFERROR(__xludf.DUMMYFUNCTION("""COMPUTED_VALUE"""),"SUN+TUE")</f>
        <v>SUN+TUE</v>
      </c>
      <c r="F223" s="8" t="str">
        <f>IFERROR(__xludf.DUMMYFUNCTION("""COMPUTED_VALUE"""),"8:00 AM")</f>
        <v>8:00 AM</v>
      </c>
      <c r="G223" s="9" t="str">
        <f>IFERROR(__xludf.DUMMYFUNCTION("""COMPUTED_VALUE"""),"09H-33C")</f>
        <v>09H-33C</v>
      </c>
      <c r="H223" s="8" t="str">
        <f>IFERROR(__xludf.DUMMYFUNCTION("""COMPUTED_VALUE"""),"SULT,MLH")</f>
        <v>SULT,MLH</v>
      </c>
      <c r="I223" s="8" t="str">
        <f>IFERROR(__xludf.DUMMYFUNCTION("""COMPUTED_VALUE"""),"WED")</f>
        <v>WED</v>
      </c>
      <c r="J223" s="8" t="str">
        <f>IFERROR(__xludf.DUMMYFUNCTION("""COMPUTED_VALUE"""),"8:00 AM")</f>
        <v>8:00 AM</v>
      </c>
      <c r="K223" s="8" t="str">
        <f>IFERROR(__xludf.DUMMYFUNCTION("""COMPUTED_VALUE"""),"12D-26L")</f>
        <v>12D-26L</v>
      </c>
      <c r="L223" s="8"/>
      <c r="M223" s="10" t="str">
        <f>IFERROR(VLOOKUP(D223,FacultyList!B:G,6,FALSE),"")</f>
        <v>imran.zahid@bracu.ac.bd</v>
      </c>
    </row>
    <row r="224">
      <c r="A224" s="5" t="str">
        <f>IFERROR(__xludf.DUMMYFUNCTION("""COMPUTED_VALUE"""),"CSE321-11")</f>
        <v>CSE321-11</v>
      </c>
      <c r="B224" s="8"/>
      <c r="C224" s="8"/>
      <c r="D224" s="8" t="str">
        <f>IFERROR(__xludf.DUMMYFUNCTION("""COMPUTED_VALUE"""),"RHD")</f>
        <v>RHD</v>
      </c>
      <c r="E224" s="8" t="str">
        <f>IFERROR(__xludf.DUMMYFUNCTION("""COMPUTED_VALUE"""),"SUN+TUE")</f>
        <v>SUN+TUE</v>
      </c>
      <c r="F224" s="8" t="str">
        <f>IFERROR(__xludf.DUMMYFUNCTION("""COMPUTED_VALUE"""),"9:30 AM")</f>
        <v>9:30 AM</v>
      </c>
      <c r="G224" s="9" t="str">
        <f>IFERROR(__xludf.DUMMYFUNCTION("""COMPUTED_VALUE"""),"09H-33C")</f>
        <v>09H-33C</v>
      </c>
      <c r="H224" s="8" t="str">
        <f>IFERROR(__xludf.DUMMYFUNCTION("""COMPUTED_VALUE"""),"ZYH,ANNH")</f>
        <v>ZYH,ANNH</v>
      </c>
      <c r="I224" s="8" t="str">
        <f>IFERROR(__xludf.DUMMYFUNCTION("""COMPUTED_VALUE"""),"MON")</f>
        <v>MON</v>
      </c>
      <c r="J224" s="8" t="str">
        <f>IFERROR(__xludf.DUMMYFUNCTION("""COMPUTED_VALUE"""),"8:00 AM")</f>
        <v>8:00 AM</v>
      </c>
      <c r="K224" s="8" t="str">
        <f>IFERROR(__xludf.DUMMYFUNCTION("""COMPUTED_VALUE"""),"10G-33L")</f>
        <v>10G-33L</v>
      </c>
      <c r="L224" s="8"/>
      <c r="M224" s="10" t="str">
        <f>IFERROR(VLOOKUP(D224,FacultyList!B:G,6,FALSE),"")</f>
        <v>imran.zahid@bracu.ac.bd</v>
      </c>
    </row>
    <row r="225">
      <c r="A225" s="5" t="str">
        <f>IFERROR(__xludf.DUMMYFUNCTION("""COMPUTED_VALUE"""),"CSE321-12")</f>
        <v>CSE321-12</v>
      </c>
      <c r="B225" s="8"/>
      <c r="C225" s="8"/>
      <c r="D225" s="8" t="str">
        <f>IFERROR(__xludf.DUMMYFUNCTION("""COMPUTED_VALUE"""),"SWV")</f>
        <v>SWV</v>
      </c>
      <c r="E225" s="8" t="str">
        <f>IFERROR(__xludf.DUMMYFUNCTION("""COMPUTED_VALUE"""),"SUN+TUE")</f>
        <v>SUN+TUE</v>
      </c>
      <c r="F225" s="8" t="str">
        <f>IFERROR(__xludf.DUMMYFUNCTION("""COMPUTED_VALUE"""),"2:00 PM")</f>
        <v>2:00 PM</v>
      </c>
      <c r="G225" s="9" t="str">
        <f>IFERROR(__xludf.DUMMYFUNCTION("""COMPUTED_VALUE"""),"09D-17C")</f>
        <v>09D-17C</v>
      </c>
      <c r="H225" s="8" t="str">
        <f>IFERROR(__xludf.DUMMYFUNCTION("""COMPUTED_VALUE"""),"SMKD,MAO")</f>
        <v>SMKD,MAO</v>
      </c>
      <c r="I225" s="8" t="str">
        <f>IFERROR(__xludf.DUMMYFUNCTION("""COMPUTED_VALUE"""),"WED")</f>
        <v>WED</v>
      </c>
      <c r="J225" s="8" t="str">
        <f>IFERROR(__xludf.DUMMYFUNCTION("""COMPUTED_VALUE"""),"2:00 PM")</f>
        <v>2:00 PM</v>
      </c>
      <c r="K225" s="8" t="str">
        <f>IFERROR(__xludf.DUMMYFUNCTION("""COMPUTED_VALUE"""),"12D-26L")</f>
        <v>12D-26L</v>
      </c>
      <c r="L225" s="8"/>
      <c r="M225" s="10" t="str">
        <f>IFERROR(VLOOKUP(D225,FacultyList!B:G,6,FALSE),"")</f>
        <v>showvik.biswas@bracu.ac.bd</v>
      </c>
    </row>
    <row r="226">
      <c r="A226" s="5" t="str">
        <f>IFERROR(__xludf.DUMMYFUNCTION("""COMPUTED_VALUE"""),"CSE321-13")</f>
        <v>CSE321-13</v>
      </c>
      <c r="B226" s="8"/>
      <c r="C226" s="8"/>
      <c r="D226" s="8" t="str">
        <f>IFERROR(__xludf.DUMMYFUNCTION("""COMPUTED_VALUE"""),"SWV")</f>
        <v>SWV</v>
      </c>
      <c r="E226" s="8" t="str">
        <f>IFERROR(__xludf.DUMMYFUNCTION("""COMPUTED_VALUE"""),"SUN+TUE")</f>
        <v>SUN+TUE</v>
      </c>
      <c r="F226" s="8" t="str">
        <f>IFERROR(__xludf.DUMMYFUNCTION("""COMPUTED_VALUE"""),"3:30 PM")</f>
        <v>3:30 PM</v>
      </c>
      <c r="G226" s="9" t="str">
        <f>IFERROR(__xludf.DUMMYFUNCTION("""COMPUTED_VALUE"""),"09D-17C")</f>
        <v>09D-17C</v>
      </c>
      <c r="H226" s="8" t="str">
        <f>IFERROR(__xludf.DUMMYFUNCTION("""COMPUTED_VALUE"""),"SULT,MAO")</f>
        <v>SULT,MAO</v>
      </c>
      <c r="I226" s="8" t="str">
        <f>IFERROR(__xludf.DUMMYFUNCTION("""COMPUTED_VALUE"""),"WED")</f>
        <v>WED</v>
      </c>
      <c r="J226" s="8" t="str">
        <f>IFERROR(__xludf.DUMMYFUNCTION("""COMPUTED_VALUE"""),"11:00 AM")</f>
        <v>11:00 AM</v>
      </c>
      <c r="K226" s="8" t="str">
        <f>IFERROR(__xludf.DUMMYFUNCTION("""COMPUTED_VALUE"""),"12D-27L")</f>
        <v>12D-27L</v>
      </c>
      <c r="L226" s="8"/>
      <c r="M226" s="10" t="str">
        <f>IFERROR(VLOOKUP(D226,FacultyList!B:G,6,FALSE),"")</f>
        <v>showvik.biswas@bracu.ac.bd</v>
      </c>
    </row>
    <row r="227">
      <c r="A227" s="5" t="str">
        <f>IFERROR(__xludf.DUMMYFUNCTION("""COMPUTED_VALUE"""),"CSE321-14")</f>
        <v>CSE321-14</v>
      </c>
      <c r="B227" s="8"/>
      <c r="C227" s="8"/>
      <c r="D227" s="8" t="str">
        <f>IFERROR(__xludf.DUMMYFUNCTION("""COMPUTED_VALUE"""),"SHBK")</f>
        <v>SHBK</v>
      </c>
      <c r="E227" s="8" t="str">
        <f>IFERROR(__xludf.DUMMYFUNCTION("""COMPUTED_VALUE"""),"SAT+THU")</f>
        <v>SAT+THU</v>
      </c>
      <c r="F227" s="8" t="str">
        <f>IFERROR(__xludf.DUMMYFUNCTION("""COMPUTED_VALUE"""),"8:00 AM")</f>
        <v>8:00 AM</v>
      </c>
      <c r="G227" s="9" t="str">
        <f>IFERROR(__xludf.DUMMYFUNCTION("""COMPUTED_VALUE"""),"09A-02C")</f>
        <v>09A-02C</v>
      </c>
      <c r="H227" s="8" t="str">
        <f>IFERROR(__xludf.DUMMYFUNCTION("""COMPUTED_VALUE"""),"CNZR,MAO")</f>
        <v>CNZR,MAO</v>
      </c>
      <c r="I227" s="8" t="str">
        <f>IFERROR(__xludf.DUMMYFUNCTION("""COMPUTED_VALUE"""),"SUN")</f>
        <v>SUN</v>
      </c>
      <c r="J227" s="8" t="str">
        <f>IFERROR(__xludf.DUMMYFUNCTION("""COMPUTED_VALUE"""),"11:00 AM")</f>
        <v>11:00 AM</v>
      </c>
      <c r="K227" s="8" t="str">
        <f>IFERROR(__xludf.DUMMYFUNCTION("""COMPUTED_VALUE"""),"12D-27L")</f>
        <v>12D-27L</v>
      </c>
      <c r="L227" s="8"/>
      <c r="M227" s="10" t="str">
        <f>IFERROR(VLOOKUP(D227,FacultyList!B:G,6,FALSE),"")</f>
        <v>sahib.kowsar@bracu.ac.bd</v>
      </c>
    </row>
    <row r="228">
      <c r="A228" s="5" t="str">
        <f>IFERROR(__xludf.DUMMYFUNCTION("""COMPUTED_VALUE"""),"CSE321-15")</f>
        <v>CSE321-15</v>
      </c>
      <c r="B228" s="8"/>
      <c r="C228" s="8"/>
      <c r="D228" s="8" t="str">
        <f>IFERROR(__xludf.DUMMYFUNCTION("""COMPUTED_VALUE"""),"SHBK")</f>
        <v>SHBK</v>
      </c>
      <c r="E228" s="8" t="str">
        <f>IFERROR(__xludf.DUMMYFUNCTION("""COMPUTED_VALUE"""),"SAT+THU")</f>
        <v>SAT+THU</v>
      </c>
      <c r="F228" s="8" t="str">
        <f>IFERROR(__xludf.DUMMYFUNCTION("""COMPUTED_VALUE"""),"9:30 AM")</f>
        <v>9:30 AM</v>
      </c>
      <c r="G228" s="9" t="str">
        <f>IFERROR(__xludf.DUMMYFUNCTION("""COMPUTED_VALUE"""),"09A-02C")</f>
        <v>09A-02C</v>
      </c>
      <c r="H228" s="8" t="str">
        <f>IFERROR(__xludf.DUMMYFUNCTION("""COMPUTED_VALUE"""),"HFN,KBS")</f>
        <v>HFN,KBS</v>
      </c>
      <c r="I228" s="8" t="str">
        <f>IFERROR(__xludf.DUMMYFUNCTION("""COMPUTED_VALUE"""),"MON")</f>
        <v>MON</v>
      </c>
      <c r="J228" s="8" t="str">
        <f>IFERROR(__xludf.DUMMYFUNCTION("""COMPUTED_VALUE"""),"8:00 AM")</f>
        <v>8:00 AM</v>
      </c>
      <c r="K228" s="8" t="str">
        <f>IFERROR(__xludf.DUMMYFUNCTION("""COMPUTED_VALUE"""),"12D-27L")</f>
        <v>12D-27L</v>
      </c>
      <c r="L228" s="8"/>
      <c r="M228" s="10" t="str">
        <f>IFERROR(VLOOKUP(D228,FacultyList!B:G,6,FALSE),"")</f>
        <v>sahib.kowsar@bracu.ac.bd</v>
      </c>
    </row>
    <row r="229">
      <c r="A229" s="5" t="str">
        <f>IFERROR(__xludf.DUMMYFUNCTION("""COMPUTED_VALUE"""),"CSE321-16")</f>
        <v>CSE321-16</v>
      </c>
      <c r="B229" s="8"/>
      <c r="C229" s="8"/>
      <c r="D229" s="8" t="str">
        <f>IFERROR(__xludf.DUMMYFUNCTION("""COMPUTED_VALUE"""),"SHBK")</f>
        <v>SHBK</v>
      </c>
      <c r="E229" s="8" t="str">
        <f>IFERROR(__xludf.DUMMYFUNCTION("""COMPUTED_VALUE"""),"SAT+THU")</f>
        <v>SAT+THU</v>
      </c>
      <c r="F229" s="8" t="str">
        <f>IFERROR(__xludf.DUMMYFUNCTION("""COMPUTED_VALUE"""),"12:30 PM")</f>
        <v>12:30 PM</v>
      </c>
      <c r="G229" s="9" t="str">
        <f>IFERROR(__xludf.DUMMYFUNCTION("""COMPUTED_VALUE"""),"09H-32C")</f>
        <v>09H-32C</v>
      </c>
      <c r="H229" s="8" t="str">
        <f>IFERROR(__xludf.DUMMYFUNCTION("""COMPUTED_VALUE"""),"SWV,KBS")</f>
        <v>SWV,KBS</v>
      </c>
      <c r="I229" s="8" t="str">
        <f>IFERROR(__xludf.DUMMYFUNCTION("""COMPUTED_VALUE"""),"MON")</f>
        <v>MON</v>
      </c>
      <c r="J229" s="8" t="str">
        <f>IFERROR(__xludf.DUMMYFUNCTION("""COMPUTED_VALUE"""),"2:00 PM")</f>
        <v>2:00 PM</v>
      </c>
      <c r="K229" s="8" t="str">
        <f>IFERROR(__xludf.DUMMYFUNCTION("""COMPUTED_VALUE"""),"12D-27L")</f>
        <v>12D-27L</v>
      </c>
      <c r="L229" s="8"/>
      <c r="M229" s="10" t="str">
        <f>IFERROR(VLOOKUP(D229,FacultyList!B:G,6,FALSE),"")</f>
        <v>sahib.kowsar@bracu.ac.bd</v>
      </c>
    </row>
    <row r="230">
      <c r="A230" s="5" t="str">
        <f>IFERROR(__xludf.DUMMYFUNCTION("""COMPUTED_VALUE"""),"CSE321-17")</f>
        <v>CSE321-17</v>
      </c>
      <c r="B230" s="8"/>
      <c r="C230" s="8"/>
      <c r="D230" s="8" t="str">
        <f>IFERROR(__xludf.DUMMYFUNCTION("""COMPUTED_VALUE"""),"SZD")</f>
        <v>SZD</v>
      </c>
      <c r="E230" s="8" t="str">
        <f>IFERROR(__xludf.DUMMYFUNCTION("""COMPUTED_VALUE"""),"MON+WED")</f>
        <v>MON+WED</v>
      </c>
      <c r="F230" s="8" t="str">
        <f>IFERROR(__xludf.DUMMYFUNCTION("""COMPUTED_VALUE"""),"2:00 PM")</f>
        <v>2:00 PM</v>
      </c>
      <c r="G230" s="9" t="str">
        <f>IFERROR(__xludf.DUMMYFUNCTION("""COMPUTED_VALUE"""),"09A-05C")</f>
        <v>09A-05C</v>
      </c>
      <c r="H230" s="8" t="str">
        <f>IFERROR(__xludf.DUMMYFUNCTION("""COMPUTED_VALUE"""),"CAKM,HFN")</f>
        <v>CAKM,HFN</v>
      </c>
      <c r="I230" s="8" t="str">
        <f>IFERROR(__xludf.DUMMYFUNCTION("""COMPUTED_VALUE"""),"TUE")</f>
        <v>TUE</v>
      </c>
      <c r="J230" s="8" t="str">
        <f>IFERROR(__xludf.DUMMYFUNCTION("""COMPUTED_VALUE"""),"8:00 AM")</f>
        <v>8:00 AM</v>
      </c>
      <c r="K230" s="8" t="str">
        <f>IFERROR(__xludf.DUMMYFUNCTION("""COMPUTED_VALUE"""),"12D-27L")</f>
        <v>12D-27L</v>
      </c>
      <c r="L230" s="8"/>
      <c r="M230" s="10" t="str">
        <f>IFERROR(VLOOKUP(D230,FacultyList!B:G,6,FALSE),"")</f>
        <v>shazid.mahbub@bracu.ac.bd</v>
      </c>
    </row>
    <row r="231">
      <c r="A231" s="5" t="str">
        <f>IFERROR(__xludf.DUMMYFUNCTION("""COMPUTED_VALUE"""),"CSE321-18")</f>
        <v>CSE321-18</v>
      </c>
      <c r="B231" s="8"/>
      <c r="C231" s="8"/>
      <c r="D231" s="8" t="str">
        <f>IFERROR(__xludf.DUMMYFUNCTION("""COMPUTED_VALUE"""),"TNF")</f>
        <v>TNF</v>
      </c>
      <c r="E231" s="8" t="str">
        <f>IFERROR(__xludf.DUMMYFUNCTION("""COMPUTED_VALUE"""),"SAT+THU")</f>
        <v>SAT+THU</v>
      </c>
      <c r="F231" s="8" t="str">
        <f>IFERROR(__xludf.DUMMYFUNCTION("""COMPUTED_VALUE"""),"9:30 AM")</f>
        <v>9:30 AM</v>
      </c>
      <c r="G231" s="9" t="str">
        <f>IFERROR(__xludf.DUMMYFUNCTION("""COMPUTED_VALUE"""),"09H-32C")</f>
        <v>09H-32C</v>
      </c>
      <c r="H231" s="8" t="str">
        <f>IFERROR(__xludf.DUMMYFUNCTION("""COMPUTED_VALUE"""),"SULT,ASMN")</f>
        <v>SULT,ASMN</v>
      </c>
      <c r="I231" s="8" t="str">
        <f>IFERROR(__xludf.DUMMYFUNCTION("""COMPUTED_VALUE"""),"TUE")</f>
        <v>TUE</v>
      </c>
      <c r="J231" s="8" t="str">
        <f>IFERROR(__xludf.DUMMYFUNCTION("""COMPUTED_VALUE"""),"8:00 AM")</f>
        <v>8:00 AM</v>
      </c>
      <c r="K231" s="8" t="str">
        <f>IFERROR(__xludf.DUMMYFUNCTION("""COMPUTED_VALUE"""),"12D-26L")</f>
        <v>12D-26L</v>
      </c>
      <c r="L231" s="8"/>
      <c r="M231" s="10" t="str">
        <f>IFERROR(VLOOKUP(D231,FacultyList!B:G,6,FALSE),"")</f>
        <v>tanhiat.fatema@bracu.ac.bd</v>
      </c>
    </row>
    <row r="232">
      <c r="A232" s="5" t="str">
        <f>IFERROR(__xludf.DUMMYFUNCTION("""COMPUTED_VALUE"""),"CSE321-19")</f>
        <v>CSE321-19</v>
      </c>
      <c r="B232" s="8"/>
      <c r="C232" s="8"/>
      <c r="D232" s="8" t="str">
        <f>IFERROR(__xludf.DUMMYFUNCTION("""COMPUTED_VALUE"""),"TNF")</f>
        <v>TNF</v>
      </c>
      <c r="E232" s="8" t="str">
        <f>IFERROR(__xludf.DUMMYFUNCTION("""COMPUTED_VALUE"""),"SAT+THU")</f>
        <v>SAT+THU</v>
      </c>
      <c r="F232" s="8" t="str">
        <f>IFERROR(__xludf.DUMMYFUNCTION("""COMPUTED_VALUE"""),"11:00 AM")</f>
        <v>11:00 AM</v>
      </c>
      <c r="G232" s="9" t="str">
        <f>IFERROR(__xludf.DUMMYFUNCTION("""COMPUTED_VALUE"""),"09H-32C")</f>
        <v>09H-32C</v>
      </c>
      <c r="H232" s="8" t="str">
        <f>IFERROR(__xludf.DUMMYFUNCTION("""COMPUTED_VALUE"""),"SULT,SWV")</f>
        <v>SULT,SWV</v>
      </c>
      <c r="I232" s="8" t="str">
        <f>IFERROR(__xludf.DUMMYFUNCTION("""COMPUTED_VALUE"""),"TUE")</f>
        <v>TUE</v>
      </c>
      <c r="J232" s="8" t="str">
        <f>IFERROR(__xludf.DUMMYFUNCTION("""COMPUTED_VALUE"""),"11:00 AM")</f>
        <v>11:00 AM</v>
      </c>
      <c r="K232" s="8" t="str">
        <f>IFERROR(__xludf.DUMMYFUNCTION("""COMPUTED_VALUE"""),"12D-26L")</f>
        <v>12D-26L</v>
      </c>
      <c r="L232" s="8"/>
      <c r="M232" s="10" t="str">
        <f>IFERROR(VLOOKUP(D232,FacultyList!B:G,6,FALSE),"")</f>
        <v>tanhiat.fatema@bracu.ac.bd</v>
      </c>
    </row>
    <row r="233">
      <c r="A233" s="5" t="str">
        <f>IFERROR(__xludf.DUMMYFUNCTION("""COMPUTED_VALUE"""),"CSE321-20")</f>
        <v>CSE321-20</v>
      </c>
      <c r="B233" s="8"/>
      <c r="C233" s="8"/>
      <c r="D233" s="8" t="str">
        <f>IFERROR(__xludf.DUMMYFUNCTION("""COMPUTED_VALUE"""),"TNF")</f>
        <v>TNF</v>
      </c>
      <c r="E233" s="8" t="str">
        <f>IFERROR(__xludf.DUMMYFUNCTION("""COMPUTED_VALUE"""),"MON+WED")</f>
        <v>MON+WED</v>
      </c>
      <c r="F233" s="8" t="str">
        <f>IFERROR(__xludf.DUMMYFUNCTION("""COMPUTED_VALUE"""),"11:00 AM")</f>
        <v>11:00 AM</v>
      </c>
      <c r="G233" s="9" t="str">
        <f>IFERROR(__xludf.DUMMYFUNCTION("""COMPUTED_VALUE"""),"09A-07C")</f>
        <v>09A-07C</v>
      </c>
      <c r="H233" s="8" t="str">
        <f>IFERROR(__xludf.DUMMYFUNCTION("""COMPUTED_VALUE"""),"SMKD,KBS")</f>
        <v>SMKD,KBS</v>
      </c>
      <c r="I233" s="8" t="str">
        <f>IFERROR(__xludf.DUMMYFUNCTION("""COMPUTED_VALUE"""),"THU")</f>
        <v>THU</v>
      </c>
      <c r="J233" s="8" t="str">
        <f>IFERROR(__xludf.DUMMYFUNCTION("""COMPUTED_VALUE"""),"8:00 AM")</f>
        <v>8:00 AM</v>
      </c>
      <c r="K233" s="8" t="str">
        <f>IFERROR(__xludf.DUMMYFUNCTION("""COMPUTED_VALUE"""),"10G-34L")</f>
        <v>10G-34L</v>
      </c>
      <c r="L233" s="8"/>
      <c r="M233" s="10" t="str">
        <f>IFERROR(VLOOKUP(D233,FacultyList!B:G,6,FALSE),"")</f>
        <v>tanhiat.fatema@bracu.ac.bd</v>
      </c>
    </row>
    <row r="234">
      <c r="A234" s="5" t="str">
        <f>IFERROR(__xludf.DUMMYFUNCTION("""COMPUTED_VALUE"""),"CSE321-21")</f>
        <v>CSE321-21</v>
      </c>
      <c r="B234" s="8"/>
      <c r="C234" s="8"/>
      <c r="D234" s="8" t="str">
        <f>IFERROR(__xludf.DUMMYFUNCTION("""COMPUTED_VALUE"""),"SVKG")</f>
        <v>SVKG</v>
      </c>
      <c r="E234" s="8" t="str">
        <f>IFERROR(__xludf.DUMMYFUNCTION("""COMPUTED_VALUE"""),"MON+WED")</f>
        <v>MON+WED</v>
      </c>
      <c r="F234" s="8" t="str">
        <f>IFERROR(__xludf.DUMMYFUNCTION("""COMPUTED_VALUE"""),"8:00 AM")</f>
        <v>8:00 AM</v>
      </c>
      <c r="G234" s="9" t="str">
        <f>IFERROR(__xludf.DUMMYFUNCTION("""COMPUTED_VALUE"""),"09A-07C")</f>
        <v>09A-07C</v>
      </c>
      <c r="H234" s="8" t="str">
        <f>IFERROR(__xludf.DUMMYFUNCTION("""COMPUTED_VALUE"""),"SMKD,KBS")</f>
        <v>SMKD,KBS</v>
      </c>
      <c r="I234" s="8" t="str">
        <f>IFERROR(__xludf.DUMMYFUNCTION("""COMPUTED_VALUE"""),"THU")</f>
        <v>THU</v>
      </c>
      <c r="J234" s="8" t="str">
        <f>IFERROR(__xludf.DUMMYFUNCTION("""COMPUTED_VALUE"""),"11:00 AM")</f>
        <v>11:00 AM</v>
      </c>
      <c r="K234" s="8" t="str">
        <f>IFERROR(__xludf.DUMMYFUNCTION("""COMPUTED_VALUE"""),"10G-34L")</f>
        <v>10G-34L</v>
      </c>
      <c r="L234" s="8"/>
      <c r="M234" s="10" t="str">
        <f>IFERROR(VLOOKUP(D234,FacultyList!B:G,6,FALSE),"")</f>
        <v>souvik.ghosh@bracu.ac.bd</v>
      </c>
    </row>
    <row r="235">
      <c r="A235" s="5" t="str">
        <f>IFERROR(__xludf.DUMMYFUNCTION("""COMPUTED_VALUE"""),"CSE321-22")</f>
        <v>CSE321-22</v>
      </c>
      <c r="B235" s="8"/>
      <c r="C235" s="8"/>
      <c r="D235" s="8" t="str">
        <f>IFERROR(__xludf.DUMMYFUNCTION("""COMPUTED_VALUE"""),"SVKG")</f>
        <v>SVKG</v>
      </c>
      <c r="E235" s="8" t="str">
        <f>IFERROR(__xludf.DUMMYFUNCTION("""COMPUTED_VALUE"""),"MON+WED")</f>
        <v>MON+WED</v>
      </c>
      <c r="F235" s="8" t="str">
        <f>IFERROR(__xludf.DUMMYFUNCTION("""COMPUTED_VALUE"""),"9:30 AM")</f>
        <v>9:30 AM</v>
      </c>
      <c r="G235" s="9" t="str">
        <f>IFERROR(__xludf.DUMMYFUNCTION("""COMPUTED_VALUE"""),"09A-07C")</f>
        <v>09A-07C</v>
      </c>
      <c r="H235" s="8" t="str">
        <f>IFERROR(__xludf.DUMMYFUNCTION("""COMPUTED_VALUE"""),"CRHB,SJM")</f>
        <v>CRHB,SJM</v>
      </c>
      <c r="I235" s="8" t="str">
        <f>IFERROR(__xludf.DUMMYFUNCTION("""COMPUTED_VALUE"""),"THU")</f>
        <v>THU</v>
      </c>
      <c r="J235" s="8" t="str">
        <f>IFERROR(__xludf.DUMMYFUNCTION("""COMPUTED_VALUE"""),"2:00 PM")</f>
        <v>2:00 PM</v>
      </c>
      <c r="K235" s="8" t="str">
        <f>IFERROR(__xludf.DUMMYFUNCTION("""COMPUTED_VALUE"""),"10G-34L")</f>
        <v>10G-34L</v>
      </c>
      <c r="L235" s="8"/>
      <c r="M235" s="10" t="str">
        <f>IFERROR(VLOOKUP(D235,FacultyList!B:G,6,FALSE),"")</f>
        <v>souvik.ghosh@bracu.ac.bd</v>
      </c>
    </row>
    <row r="236">
      <c r="A236" s="5" t="str">
        <f>IFERROR(__xludf.DUMMYFUNCTION("""COMPUTED_VALUE"""),"CSE321-23")</f>
        <v>CSE321-23</v>
      </c>
      <c r="B236" s="8"/>
      <c r="C236" s="8"/>
      <c r="D236" s="8" t="str">
        <f>IFERROR(__xludf.DUMMYFUNCTION("""COMPUTED_VALUE"""),"TVRR")</f>
        <v>TVRR</v>
      </c>
      <c r="E236" s="8" t="str">
        <f>IFERROR(__xludf.DUMMYFUNCTION("""COMPUTED_VALUE"""),"MON+WED")</f>
        <v>MON+WED</v>
      </c>
      <c r="F236" s="8" t="str">
        <f>IFERROR(__xludf.DUMMYFUNCTION("""COMPUTED_VALUE"""),"9:30 AM")</f>
        <v>9:30 AM</v>
      </c>
      <c r="G236" s="9" t="str">
        <f>IFERROR(__xludf.DUMMYFUNCTION("""COMPUTED_VALUE"""),"07D-20C")</f>
        <v>07D-20C</v>
      </c>
      <c r="H236" s="8" t="str">
        <f>IFERROR(__xludf.DUMMYFUNCTION("""COMPUTED_VALUE"""),"CNFH,NMP")</f>
        <v>CNFH,NMP</v>
      </c>
      <c r="I236" s="8" t="str">
        <f>IFERROR(__xludf.DUMMYFUNCTION("""COMPUTED_VALUE"""),"THU")</f>
        <v>THU</v>
      </c>
      <c r="J236" s="8" t="str">
        <f>IFERROR(__xludf.DUMMYFUNCTION("""COMPUTED_VALUE"""),"8:00 AM")</f>
        <v>8:00 AM</v>
      </c>
      <c r="K236" s="8" t="str">
        <f>IFERROR(__xludf.DUMMYFUNCTION("""COMPUTED_VALUE"""),"12D-26L")</f>
        <v>12D-26L</v>
      </c>
      <c r="L236" s="8"/>
      <c r="M236" s="10" t="str">
        <f>IFERROR(VLOOKUP(D236,FacultyList!B:G,6,FALSE),"")</f>
        <v>tanveer.rahman@bracu.ac.bd</v>
      </c>
    </row>
    <row r="237">
      <c r="A237" s="5" t="str">
        <f>IFERROR(__xludf.DUMMYFUNCTION("""COMPUTED_VALUE"""),"CSE321-24")</f>
        <v>CSE321-24</v>
      </c>
      <c r="B237" s="8"/>
      <c r="C237" s="8"/>
      <c r="D237" s="8" t="str">
        <f>IFERROR(__xludf.DUMMYFUNCTION("""COMPUTED_VALUE"""),"HFN")</f>
        <v>HFN</v>
      </c>
      <c r="E237" s="8" t="str">
        <f>IFERROR(__xludf.DUMMYFUNCTION("""COMPUTED_VALUE"""),"MON+WED")</f>
        <v>MON+WED</v>
      </c>
      <c r="F237" s="8" t="str">
        <f>IFERROR(__xludf.DUMMYFUNCTION("""COMPUTED_VALUE"""),"11:00 AM")</f>
        <v>11:00 AM</v>
      </c>
      <c r="G237" s="9" t="str">
        <f>IFERROR(__xludf.DUMMYFUNCTION("""COMPUTED_VALUE"""),"07D-19C")</f>
        <v>07D-19C</v>
      </c>
      <c r="H237" s="8" t="str">
        <f>IFERROR(__xludf.DUMMYFUNCTION("""COMPUTED_VALUE"""),"SJM,NMP")</f>
        <v>SJM,NMP</v>
      </c>
      <c r="I237" s="8" t="str">
        <f>IFERROR(__xludf.DUMMYFUNCTION("""COMPUTED_VALUE"""),"THU")</f>
        <v>THU</v>
      </c>
      <c r="J237" s="8" t="str">
        <f>IFERROR(__xludf.DUMMYFUNCTION("""COMPUTED_VALUE"""),"11:00 AM")</f>
        <v>11:00 AM</v>
      </c>
      <c r="K237" s="8" t="str">
        <f>IFERROR(__xludf.DUMMYFUNCTION("""COMPUTED_VALUE"""),"12D-26L")</f>
        <v>12D-26L</v>
      </c>
      <c r="L237" s="8"/>
      <c r="M237" s="10" t="str">
        <f>IFERROR(VLOOKUP(D237,FacultyList!B:G,6,FALSE),"")</f>
        <v>araf.noshin@bracu.ac.bd</v>
      </c>
    </row>
    <row r="238">
      <c r="A238" s="5" t="str">
        <f>IFERROR(__xludf.DUMMYFUNCTION("""COMPUTED_VALUE"""),"CSE321-25")</f>
        <v>CSE321-25</v>
      </c>
      <c r="B238" s="8"/>
      <c r="C238" s="8"/>
      <c r="D238" s="8" t="str">
        <f>IFERROR(__xludf.DUMMYFUNCTION("""COMPUTED_VALUE"""),"HFN")</f>
        <v>HFN</v>
      </c>
      <c r="E238" s="8" t="str">
        <f>IFERROR(__xludf.DUMMYFUNCTION("""COMPUTED_VALUE"""),"MON+WED")</f>
        <v>MON+WED</v>
      </c>
      <c r="F238" s="8" t="str">
        <f>IFERROR(__xludf.DUMMYFUNCTION("""COMPUTED_VALUE"""),"12:30 PM")</f>
        <v>12:30 PM</v>
      </c>
      <c r="G238" s="9" t="str">
        <f>IFERROR(__xludf.DUMMYFUNCTION("""COMPUTED_VALUE"""),"07D-19C")</f>
        <v>07D-19C</v>
      </c>
      <c r="H238" s="8" t="str">
        <f>IFERROR(__xludf.DUMMYFUNCTION("""COMPUTED_VALUE"""),"CNZR,CRHB")</f>
        <v>CNZR,CRHB</v>
      </c>
      <c r="I238" s="8" t="str">
        <f>IFERROR(__xludf.DUMMYFUNCTION("""COMPUTED_VALUE"""),"SAT")</f>
        <v>SAT</v>
      </c>
      <c r="J238" s="8" t="str">
        <f>IFERROR(__xludf.DUMMYFUNCTION("""COMPUTED_VALUE"""),"8:00 AM")</f>
        <v>8:00 AM</v>
      </c>
      <c r="K238" s="8" t="str">
        <f>IFERROR(__xludf.DUMMYFUNCTION("""COMPUTED_VALUE"""),"12D-26L")</f>
        <v>12D-26L</v>
      </c>
      <c r="L238" s="8"/>
      <c r="M238" s="10" t="str">
        <f>IFERROR(VLOOKUP(D238,FacultyList!B:G,6,FALSE),"")</f>
        <v>araf.noshin@bracu.ac.bd</v>
      </c>
    </row>
    <row r="239">
      <c r="A239" s="5" t="str">
        <f>IFERROR(__xludf.DUMMYFUNCTION("""COMPUTED_VALUE"""),"CSE321-26")</f>
        <v>CSE321-26</v>
      </c>
      <c r="B239" s="8"/>
      <c r="C239" s="8"/>
      <c r="D239" s="8" t="str">
        <f>IFERROR(__xludf.DUMMYFUNCTION("""COMPUTED_VALUE"""),"SMUR")</f>
        <v>SMUR</v>
      </c>
      <c r="E239" s="8" t="str">
        <f>IFERROR(__xludf.DUMMYFUNCTION("""COMPUTED_VALUE"""),"MON+WED")</f>
        <v>MON+WED</v>
      </c>
      <c r="F239" s="8" t="str">
        <f>IFERROR(__xludf.DUMMYFUNCTION("""COMPUTED_VALUE"""),"2:00 PM")</f>
        <v>2:00 PM</v>
      </c>
      <c r="G239" s="9" t="str">
        <f>IFERROR(__xludf.DUMMYFUNCTION("""COMPUTED_VALUE"""),"07H-27C")</f>
        <v>07H-27C</v>
      </c>
      <c r="H239" s="8" t="str">
        <f>IFERROR(__xludf.DUMMYFUNCTION("""COMPUTED_VALUE"""),"AHC,KBS")</f>
        <v>AHC,KBS</v>
      </c>
      <c r="I239" s="8" t="str">
        <f>IFERROR(__xludf.DUMMYFUNCTION("""COMPUTED_VALUE"""),"SAT")</f>
        <v>SAT</v>
      </c>
      <c r="J239" s="8" t="str">
        <f>IFERROR(__xludf.DUMMYFUNCTION("""COMPUTED_VALUE"""),"11:00 AM")</f>
        <v>11:00 AM</v>
      </c>
      <c r="K239" s="8" t="str">
        <f>IFERROR(__xludf.DUMMYFUNCTION("""COMPUTED_VALUE"""),"12D-26L")</f>
        <v>12D-26L</v>
      </c>
      <c r="L239" s="8"/>
      <c r="M239" s="10" t="str">
        <f>IFERROR(VLOOKUP(D239,FacultyList!B:G,6,FALSE),"")</f>
        <v>rahman.samiur@bracu.ac.bd</v>
      </c>
    </row>
    <row r="240">
      <c r="A240" s="5" t="str">
        <f>IFERROR(__xludf.DUMMYFUNCTION("""COMPUTED_VALUE"""),"CSE321-27")</f>
        <v>CSE321-27</v>
      </c>
      <c r="B240" s="8"/>
      <c r="C240" s="8"/>
      <c r="D240" s="8" t="str">
        <f>IFERROR(__xludf.DUMMYFUNCTION("""COMPUTED_VALUE"""),"MNY")</f>
        <v>MNY</v>
      </c>
      <c r="E240" s="8" t="str">
        <f>IFERROR(__xludf.DUMMYFUNCTION("""COMPUTED_VALUE"""),"SUN+TUE")</f>
        <v>SUN+TUE</v>
      </c>
      <c r="F240" s="8" t="str">
        <f>IFERROR(__xludf.DUMMYFUNCTION("""COMPUTED_VALUE"""),"3:30 PM")</f>
        <v>3:30 PM</v>
      </c>
      <c r="G240" s="9" t="str">
        <f>IFERROR(__xludf.DUMMYFUNCTION("""COMPUTED_VALUE"""),"09A-06C")</f>
        <v>09A-06C</v>
      </c>
      <c r="H240" s="8" t="str">
        <f>IFERROR(__xludf.DUMMYFUNCTION("""COMPUTED_VALUE"""),"CSSA,AHA")</f>
        <v>CSSA,AHA</v>
      </c>
      <c r="I240" s="8" t="str">
        <f>IFERROR(__xludf.DUMMYFUNCTION("""COMPUTED_VALUE"""),"MON")</f>
        <v>MON</v>
      </c>
      <c r="J240" s="8" t="str">
        <f>IFERROR(__xludf.DUMMYFUNCTION("""COMPUTED_VALUE"""),"11:00 AM")</f>
        <v>11:00 AM</v>
      </c>
      <c r="K240" s="8" t="str">
        <f>IFERROR(__xludf.DUMMYFUNCTION("""COMPUTED_VALUE"""),"09E-22L")</f>
        <v>09E-22L</v>
      </c>
      <c r="L240" s="8"/>
      <c r="M240" s="10" t="str">
        <f>IFERROR(VLOOKUP(D240,FacultyList!B:G,6,FALSE),"")</f>
        <v>nur.yanhaona@bracu.ac.bd</v>
      </c>
    </row>
    <row r="241">
      <c r="A241" s="5" t="str">
        <f>IFERROR(__xludf.DUMMYFUNCTION("""COMPUTED_VALUE"""),"CSE330-01")</f>
        <v>CSE330-01</v>
      </c>
      <c r="B241" s="8"/>
      <c r="C241" s="8"/>
      <c r="D241" s="8" t="str">
        <f>IFERROR(__xludf.DUMMYFUNCTION("""COMPUTED_VALUE"""),"AMK")</f>
        <v>AMK</v>
      </c>
      <c r="E241" s="8" t="str">
        <f>IFERROR(__xludf.DUMMYFUNCTION("""COMPUTED_VALUE"""),"MON+WED")</f>
        <v>MON+WED</v>
      </c>
      <c r="F241" s="8" t="str">
        <f>IFERROR(__xludf.DUMMYFUNCTION("""COMPUTED_VALUE"""),"11:00 AM")</f>
        <v>11:00 AM</v>
      </c>
      <c r="G241" s="9" t="str">
        <f>IFERROR(__xludf.DUMMYFUNCTION("""COMPUTED_VALUE"""),"10A-10C")</f>
        <v>10A-10C</v>
      </c>
      <c r="H241" s="8" t="str">
        <f>IFERROR(__xludf.DUMMYFUNCTION("""COMPUTED_VALUE"""),"NTN,MZW")</f>
        <v>NTN,MZW</v>
      </c>
      <c r="I241" s="8" t="str">
        <f>IFERROR(__xludf.DUMMYFUNCTION("""COMPUTED_VALUE"""),"TUE")</f>
        <v>TUE</v>
      </c>
      <c r="J241" s="8" t="str">
        <f>IFERROR(__xludf.DUMMYFUNCTION("""COMPUTED_VALUE"""),"8:00 AM")</f>
        <v>8:00 AM</v>
      </c>
      <c r="K241" s="8" t="str">
        <f>IFERROR(__xludf.DUMMYFUNCTION("""COMPUTED_VALUE"""),"10G-34L")</f>
        <v>10G-34L</v>
      </c>
      <c r="L241" s="8"/>
      <c r="M241" s="10" t="str">
        <f>IFERROR(VLOOKUP(D241,FacultyList!B:G,6,FALSE),"")</f>
        <v>abu.khan@bracu.ac.bd</v>
      </c>
    </row>
    <row r="242">
      <c r="A242" s="5" t="str">
        <f>IFERROR(__xludf.DUMMYFUNCTION("""COMPUTED_VALUE"""),"CSE330-02")</f>
        <v>CSE330-02</v>
      </c>
      <c r="B242" s="8"/>
      <c r="C242" s="8"/>
      <c r="D242" s="8" t="str">
        <f>IFERROR(__xludf.DUMMYFUNCTION("""COMPUTED_VALUE"""),"AMK")</f>
        <v>AMK</v>
      </c>
      <c r="E242" s="8" t="str">
        <f>IFERROR(__xludf.DUMMYFUNCTION("""COMPUTED_VALUE"""),"MON+WED")</f>
        <v>MON+WED</v>
      </c>
      <c r="F242" s="8" t="str">
        <f>IFERROR(__xludf.DUMMYFUNCTION("""COMPUTED_VALUE"""),"12:30 PM")</f>
        <v>12:30 PM</v>
      </c>
      <c r="G242" s="9" t="str">
        <f>IFERROR(__xludf.DUMMYFUNCTION("""COMPUTED_VALUE"""),"10A-10C")</f>
        <v>10A-10C</v>
      </c>
      <c r="H242" s="8" t="str">
        <f>IFERROR(__xludf.DUMMYFUNCTION("""COMPUTED_VALUE"""),"ARD,SADF")</f>
        <v>ARD,SADF</v>
      </c>
      <c r="I242" s="8" t="str">
        <f>IFERROR(__xludf.DUMMYFUNCTION("""COMPUTED_VALUE"""),"TUE")</f>
        <v>TUE</v>
      </c>
      <c r="J242" s="8" t="str">
        <f>IFERROR(__xludf.DUMMYFUNCTION("""COMPUTED_VALUE"""),"11:00 AM")</f>
        <v>11:00 AM</v>
      </c>
      <c r="K242" s="8" t="str">
        <f>IFERROR(__xludf.DUMMYFUNCTION("""COMPUTED_VALUE"""),"10G-34L")</f>
        <v>10G-34L</v>
      </c>
      <c r="L242" s="8"/>
      <c r="M242" s="10" t="str">
        <f>IFERROR(VLOOKUP(D242,FacultyList!B:G,6,FALSE),"")</f>
        <v>abu.khan@bracu.ac.bd</v>
      </c>
    </row>
    <row r="243">
      <c r="A243" s="5" t="str">
        <f>IFERROR(__xludf.DUMMYFUNCTION("""COMPUTED_VALUE"""),"CSE330-03")</f>
        <v>CSE330-03</v>
      </c>
      <c r="B243" s="8"/>
      <c r="C243" s="8"/>
      <c r="D243" s="8" t="str">
        <f>IFERROR(__xludf.DUMMYFUNCTION("""COMPUTED_VALUE"""),"AQU")</f>
        <v>AQU</v>
      </c>
      <c r="E243" s="8" t="str">
        <f>IFERROR(__xludf.DUMMYFUNCTION("""COMPUTED_VALUE"""),"SUN+TUE")</f>
        <v>SUN+TUE</v>
      </c>
      <c r="F243" s="8" t="str">
        <f>IFERROR(__xludf.DUMMYFUNCTION("""COMPUTED_VALUE"""),"11:00 AM")</f>
        <v>11:00 AM</v>
      </c>
      <c r="G243" s="9" t="str">
        <f>IFERROR(__xludf.DUMMYFUNCTION("""COMPUTED_VALUE"""),"09H-35C")</f>
        <v>09H-35C</v>
      </c>
      <c r="H243" s="8" t="str">
        <f>IFERROR(__xludf.DUMMYFUNCTION("""COMPUTED_VALUE"""),"SMDS,KBS")</f>
        <v>SMDS,KBS</v>
      </c>
      <c r="I243" s="8" t="str">
        <f>IFERROR(__xludf.DUMMYFUNCTION("""COMPUTED_VALUE"""),"SAT")</f>
        <v>SAT</v>
      </c>
      <c r="J243" s="8" t="str">
        <f>IFERROR(__xludf.DUMMYFUNCTION("""COMPUTED_VALUE"""),"8:00 AM")</f>
        <v>8:00 AM</v>
      </c>
      <c r="K243" s="8" t="str">
        <f>IFERROR(__xludf.DUMMYFUNCTION("""COMPUTED_VALUE"""),"10G-34L")</f>
        <v>10G-34L</v>
      </c>
      <c r="L243" s="8"/>
      <c r="M243" s="10" t="str">
        <f>IFERROR(VLOOKUP(D243,FacultyList!B:G,6,FALSE),"")</f>
        <v>aquib.azmain@bracu.ac.bd</v>
      </c>
    </row>
    <row r="244">
      <c r="A244" s="5" t="str">
        <f>IFERROR(__xludf.DUMMYFUNCTION("""COMPUTED_VALUE"""),"CSE330-04")</f>
        <v>CSE330-04</v>
      </c>
      <c r="B244" s="8"/>
      <c r="C244" s="8"/>
      <c r="D244" s="8" t="str">
        <f>IFERROR(__xludf.DUMMYFUNCTION("""COMPUTED_VALUE"""),"AQU")</f>
        <v>AQU</v>
      </c>
      <c r="E244" s="8" t="str">
        <f>IFERROR(__xludf.DUMMYFUNCTION("""COMPUTED_VALUE"""),"SUN+TUE")</f>
        <v>SUN+TUE</v>
      </c>
      <c r="F244" s="8" t="str">
        <f>IFERROR(__xludf.DUMMYFUNCTION("""COMPUTED_VALUE"""),"12:30 PM")</f>
        <v>12:30 PM</v>
      </c>
      <c r="G244" s="9" t="str">
        <f>IFERROR(__xludf.DUMMYFUNCTION("""COMPUTED_VALUE"""),"09H-35C")</f>
        <v>09H-35C</v>
      </c>
      <c r="H244" s="8" t="str">
        <f>IFERROR(__xludf.DUMMYFUNCTION("""COMPUTED_VALUE"""),"ALB,RFTS")</f>
        <v>ALB,RFTS</v>
      </c>
      <c r="I244" s="8" t="str">
        <f>IFERROR(__xludf.DUMMYFUNCTION("""COMPUTED_VALUE"""),"SAT")</f>
        <v>SAT</v>
      </c>
      <c r="J244" s="8" t="str">
        <f>IFERROR(__xludf.DUMMYFUNCTION("""COMPUTED_VALUE"""),"11:00 AM")</f>
        <v>11:00 AM</v>
      </c>
      <c r="K244" s="8" t="str">
        <f>IFERROR(__xludf.DUMMYFUNCTION("""COMPUTED_VALUE"""),"10G-34L")</f>
        <v>10G-34L</v>
      </c>
      <c r="L244" s="8"/>
      <c r="M244" s="10" t="str">
        <f>IFERROR(VLOOKUP(D244,FacultyList!B:G,6,FALSE),"")</f>
        <v>aquib.azmain@bracu.ac.bd</v>
      </c>
    </row>
    <row r="245">
      <c r="A245" s="5" t="str">
        <f>IFERROR(__xludf.DUMMYFUNCTION("""COMPUTED_VALUE"""),"CSE330-05")</f>
        <v>CSE330-05</v>
      </c>
      <c r="B245" s="8"/>
      <c r="C245" s="8"/>
      <c r="D245" s="8" t="str">
        <f>IFERROR(__xludf.DUMMYFUNCTION("""COMPUTED_VALUE"""),"MNP")</f>
        <v>MNP</v>
      </c>
      <c r="E245" s="8" t="str">
        <f>IFERROR(__xludf.DUMMYFUNCTION("""COMPUTED_VALUE"""),"SAT+THU")</f>
        <v>SAT+THU</v>
      </c>
      <c r="F245" s="8" t="str">
        <f>IFERROR(__xludf.DUMMYFUNCTION("""COMPUTED_VALUE"""),"8:00 AM")</f>
        <v>8:00 AM</v>
      </c>
      <c r="G245" s="9" t="str">
        <f>IFERROR(__xludf.DUMMYFUNCTION("""COMPUTED_VALUE"""),"09H-35C")</f>
        <v>09H-35C</v>
      </c>
      <c r="H245" s="8" t="str">
        <f>IFERROR(__xludf.DUMMYFUNCTION("""COMPUTED_VALUE"""),"SADF,NLAM")</f>
        <v>SADF,NLAM</v>
      </c>
      <c r="I245" s="8" t="str">
        <f>IFERROR(__xludf.DUMMYFUNCTION("""COMPUTED_VALUE"""),"SUN")</f>
        <v>SUN</v>
      </c>
      <c r="J245" s="8" t="str">
        <f>IFERROR(__xludf.DUMMYFUNCTION("""COMPUTED_VALUE"""),"11:00 AM")</f>
        <v>11:00 AM</v>
      </c>
      <c r="K245" s="8" t="str">
        <f>IFERROR(__xludf.DUMMYFUNCTION("""COMPUTED_VALUE"""),"10G-34L")</f>
        <v>10G-34L</v>
      </c>
      <c r="L245" s="8"/>
      <c r="M245" s="10" t="str">
        <f>IFERROR(VLOOKUP(D245,FacultyList!B:G,6,FALSE),"")</f>
        <v>mushfique.nasir@bracu.ac.bd</v>
      </c>
    </row>
    <row r="246">
      <c r="A246" s="5" t="str">
        <f>IFERROR(__xludf.DUMMYFUNCTION("""COMPUTED_VALUE"""),"CSE330-06")</f>
        <v>CSE330-06</v>
      </c>
      <c r="B246" s="8"/>
      <c r="C246" s="8"/>
      <c r="D246" s="8" t="str">
        <f>IFERROR(__xludf.DUMMYFUNCTION("""COMPUTED_VALUE"""),"MNP")</f>
        <v>MNP</v>
      </c>
      <c r="E246" s="8" t="str">
        <f>IFERROR(__xludf.DUMMYFUNCTION("""COMPUTED_VALUE"""),"SAT+THU")</f>
        <v>SAT+THU</v>
      </c>
      <c r="F246" s="8" t="str">
        <f>IFERROR(__xludf.DUMMYFUNCTION("""COMPUTED_VALUE"""),"9:30 AM")</f>
        <v>9:30 AM</v>
      </c>
      <c r="G246" s="9" t="str">
        <f>IFERROR(__xludf.DUMMYFUNCTION("""COMPUTED_VALUE"""),"09H-35C")</f>
        <v>09H-35C</v>
      </c>
      <c r="H246" s="8" t="str">
        <f>IFERROR(__xludf.DUMMYFUNCTION("""COMPUTED_VALUE"""),"ALB,ASRF")</f>
        <v>ALB,ASRF</v>
      </c>
      <c r="I246" s="8" t="str">
        <f>IFERROR(__xludf.DUMMYFUNCTION("""COMPUTED_VALUE"""),"SUN")</f>
        <v>SUN</v>
      </c>
      <c r="J246" s="8" t="str">
        <f>IFERROR(__xludf.DUMMYFUNCTION("""COMPUTED_VALUE"""),"11:00 AM")</f>
        <v>11:00 AM</v>
      </c>
      <c r="K246" s="8" t="str">
        <f>IFERROR(__xludf.DUMMYFUNCTION("""COMPUTED_VALUE"""),"09F-27L")</f>
        <v>09F-27L</v>
      </c>
      <c r="L246" s="8"/>
      <c r="M246" s="10" t="str">
        <f>IFERROR(VLOOKUP(D246,FacultyList!B:G,6,FALSE),"")</f>
        <v>mushfique.nasir@bracu.ac.bd</v>
      </c>
    </row>
    <row r="247">
      <c r="A247" s="5" t="str">
        <f>IFERROR(__xludf.DUMMYFUNCTION("""COMPUTED_VALUE"""),"CSE330-07")</f>
        <v>CSE330-07</v>
      </c>
      <c r="B247" s="8"/>
      <c r="C247" s="8"/>
      <c r="D247" s="8" t="str">
        <f>IFERROR(__xludf.DUMMYFUNCTION("""COMPUTED_VALUE"""),"MNP")</f>
        <v>MNP</v>
      </c>
      <c r="E247" s="8" t="str">
        <f>IFERROR(__xludf.DUMMYFUNCTION("""COMPUTED_VALUE"""),"SAT+THU")</f>
        <v>SAT+THU</v>
      </c>
      <c r="F247" s="8" t="str">
        <f>IFERROR(__xludf.DUMMYFUNCTION("""COMPUTED_VALUE"""),"12:30 PM")</f>
        <v>12:30 PM</v>
      </c>
      <c r="G247" s="9" t="str">
        <f>IFERROR(__xludf.DUMMYFUNCTION("""COMPUTED_VALUE"""),"09H-34C")</f>
        <v>09H-34C</v>
      </c>
      <c r="H247" s="8" t="str">
        <f>IFERROR(__xludf.DUMMYFUNCTION("""COMPUTED_VALUE"""),"SULT,SADF")</f>
        <v>SULT,SADF</v>
      </c>
      <c r="I247" s="8" t="str">
        <f>IFERROR(__xludf.DUMMYFUNCTION("""COMPUTED_VALUE"""),"SUN")</f>
        <v>SUN</v>
      </c>
      <c r="J247" s="8" t="str">
        <f>IFERROR(__xludf.DUMMYFUNCTION("""COMPUTED_VALUE"""),"2:00 PM")</f>
        <v>2:00 PM</v>
      </c>
      <c r="K247" s="8" t="str">
        <f>IFERROR(__xludf.DUMMYFUNCTION("""COMPUTED_VALUE"""),"09F-27L")</f>
        <v>09F-27L</v>
      </c>
      <c r="L247" s="8"/>
      <c r="M247" s="10" t="str">
        <f>IFERROR(VLOOKUP(D247,FacultyList!B:G,6,FALSE),"")</f>
        <v>mushfique.nasir@bracu.ac.bd</v>
      </c>
    </row>
    <row r="248">
      <c r="A248" s="5" t="str">
        <f>IFERROR(__xludf.DUMMYFUNCTION("""COMPUTED_VALUE"""),"CSE330-08")</f>
        <v>CSE330-08</v>
      </c>
      <c r="B248" s="8"/>
      <c r="C248" s="8"/>
      <c r="D248" s="8" t="str">
        <f>IFERROR(__xludf.DUMMYFUNCTION("""COMPUTED_VALUE"""),"ITTSC")</f>
        <v>ITTSC</v>
      </c>
      <c r="E248" s="8" t="str">
        <f>IFERROR(__xludf.DUMMYFUNCTION("""COMPUTED_VALUE"""),"MON+WED")</f>
        <v>MON+WED</v>
      </c>
      <c r="F248" s="8" t="str">
        <f>IFERROR(__xludf.DUMMYFUNCTION("""COMPUTED_VALUE"""),"2:00 PM")</f>
        <v>2:00 PM</v>
      </c>
      <c r="G248" s="9" t="str">
        <f>IFERROR(__xludf.DUMMYFUNCTION("""COMPUTED_VALUE"""),"07D-20C")</f>
        <v>07D-20C</v>
      </c>
      <c r="H248" s="8" t="str">
        <f>IFERROR(__xludf.DUMMYFUNCTION("""COMPUTED_VALUE"""),"AQU,SADF")</f>
        <v>AQU,SADF</v>
      </c>
      <c r="I248" s="8" t="str">
        <f>IFERROR(__xludf.DUMMYFUNCTION("""COMPUTED_VALUE"""),"TUE")</f>
        <v>TUE</v>
      </c>
      <c r="J248" s="8" t="str">
        <f>IFERROR(__xludf.DUMMYFUNCTION("""COMPUTED_VALUE"""),"2:00 PM")</f>
        <v>2:00 PM</v>
      </c>
      <c r="K248" s="8" t="str">
        <f>IFERROR(__xludf.DUMMYFUNCTION("""COMPUTED_VALUE"""),"10G-34L")</f>
        <v>10G-34L</v>
      </c>
      <c r="L248" s="8"/>
      <c r="M248" s="10" t="str">
        <f>IFERROR(VLOOKUP(D248,FacultyList!B:G,6,FALSE),"")</f>
        <v>ittehad.chowdhury@bracu.ac.bd</v>
      </c>
    </row>
    <row r="249">
      <c r="A249" s="5" t="str">
        <f>IFERROR(__xludf.DUMMYFUNCTION("""COMPUTED_VALUE"""),"CSE330-09")</f>
        <v>CSE330-09</v>
      </c>
      <c r="B249" s="8"/>
      <c r="C249" s="8"/>
      <c r="D249" s="8" t="str">
        <f>IFERROR(__xludf.DUMMYFUNCTION("""COMPUTED_VALUE"""),"ITTSC")</f>
        <v>ITTSC</v>
      </c>
      <c r="E249" s="8" t="str">
        <f>IFERROR(__xludf.DUMMYFUNCTION("""COMPUTED_VALUE"""),"MON+WED")</f>
        <v>MON+WED</v>
      </c>
      <c r="F249" s="8" t="str">
        <f>IFERROR(__xludf.DUMMYFUNCTION("""COMPUTED_VALUE"""),"3:30 PM")</f>
        <v>3:30 PM</v>
      </c>
      <c r="G249" s="9" t="str">
        <f>IFERROR(__xludf.DUMMYFUNCTION("""COMPUTED_VALUE"""),"07D-20C")</f>
        <v>07D-20C</v>
      </c>
      <c r="H249" s="8" t="str">
        <f>IFERROR(__xludf.DUMMYFUNCTION("""COMPUTED_VALUE"""),"CPTH,MZFZ")</f>
        <v>CPTH,MZFZ</v>
      </c>
      <c r="I249" s="8" t="str">
        <f>IFERROR(__xludf.DUMMYFUNCTION("""COMPUTED_VALUE"""),"THU")</f>
        <v>THU</v>
      </c>
      <c r="J249" s="8" t="str">
        <f>IFERROR(__xludf.DUMMYFUNCTION("""COMPUTED_VALUE"""),"8:00 AM")</f>
        <v>8:00 AM</v>
      </c>
      <c r="K249" s="8" t="str">
        <f>IFERROR(__xludf.DUMMYFUNCTION("""COMPUTED_VALUE"""),"12D-27L")</f>
        <v>12D-27L</v>
      </c>
      <c r="L249" s="8"/>
      <c r="M249" s="10" t="str">
        <f>IFERROR(VLOOKUP(D249,FacultyList!B:G,6,FALSE),"")</f>
        <v>ittehad.chowdhury@bracu.ac.bd</v>
      </c>
    </row>
    <row r="250">
      <c r="A250" s="5" t="str">
        <f>IFERROR(__xludf.DUMMYFUNCTION("""COMPUTED_VALUE"""),"CSE330-10")</f>
        <v>CSE330-10</v>
      </c>
      <c r="B250" s="8"/>
      <c r="C250" s="8"/>
      <c r="D250" s="8" t="str">
        <f>IFERROR(__xludf.DUMMYFUNCTION("""COMPUTED_VALUE"""),"NAFR")</f>
        <v>NAFR</v>
      </c>
      <c r="E250" s="8" t="str">
        <f>IFERROR(__xludf.DUMMYFUNCTION("""COMPUTED_VALUE"""),"SUN+TUE")</f>
        <v>SUN+TUE</v>
      </c>
      <c r="F250" s="8" t="str">
        <f>IFERROR(__xludf.DUMMYFUNCTION("""COMPUTED_VALUE"""),"8:00 AM")</f>
        <v>8:00 AM</v>
      </c>
      <c r="G250" s="9" t="str">
        <f>IFERROR(__xludf.DUMMYFUNCTION("""COMPUTED_VALUE"""),"09A-02C")</f>
        <v>09A-02C</v>
      </c>
      <c r="H250" s="8" t="str">
        <f>IFERROR(__xludf.DUMMYFUNCTION("""COMPUTED_VALUE"""),"SHBK,KBS")</f>
        <v>SHBK,KBS</v>
      </c>
      <c r="I250" s="8" t="str">
        <f>IFERROR(__xludf.DUMMYFUNCTION("""COMPUTED_VALUE"""),"SAT")</f>
        <v>SAT</v>
      </c>
      <c r="J250" s="8" t="str">
        <f>IFERROR(__xludf.DUMMYFUNCTION("""COMPUTED_VALUE"""),"2:00 PM")</f>
        <v>2:00 PM</v>
      </c>
      <c r="K250" s="8" t="str">
        <f>IFERROR(__xludf.DUMMYFUNCTION("""COMPUTED_VALUE"""),"10G-34L")</f>
        <v>10G-34L</v>
      </c>
      <c r="L250" s="8"/>
      <c r="M250" s="10" t="str">
        <f>IFERROR(VLOOKUP(D250,FacultyList!B:G,6,FALSE),"")</f>
        <v>nafiu.rahman@bracu.ac.bd</v>
      </c>
    </row>
    <row r="251">
      <c r="A251" s="5" t="str">
        <f>IFERROR(__xludf.DUMMYFUNCTION("""COMPUTED_VALUE"""),"CSE330-11")</f>
        <v>CSE330-11</v>
      </c>
      <c r="B251" s="8"/>
      <c r="C251" s="8"/>
      <c r="D251" s="8" t="str">
        <f>IFERROR(__xludf.DUMMYFUNCTION("""COMPUTED_VALUE"""),"NAFR")</f>
        <v>NAFR</v>
      </c>
      <c r="E251" s="8" t="str">
        <f>IFERROR(__xludf.DUMMYFUNCTION("""COMPUTED_VALUE"""),"SUN+TUE")</f>
        <v>SUN+TUE</v>
      </c>
      <c r="F251" s="8" t="str">
        <f>IFERROR(__xludf.DUMMYFUNCTION("""COMPUTED_VALUE"""),"9:30 AM")</f>
        <v>9:30 AM</v>
      </c>
      <c r="G251" s="9" t="str">
        <f>IFERROR(__xludf.DUMMYFUNCTION("""COMPUTED_VALUE"""),"09A-02C")</f>
        <v>09A-02C</v>
      </c>
      <c r="H251" s="8" t="str">
        <f>IFERROR(__xludf.DUMMYFUNCTION("""COMPUTED_VALUE"""),"ASRF,AAF")</f>
        <v>ASRF,AAF</v>
      </c>
      <c r="I251" s="8" t="str">
        <f>IFERROR(__xludf.DUMMYFUNCTION("""COMPUTED_VALUE"""),"MON")</f>
        <v>MON</v>
      </c>
      <c r="J251" s="8" t="str">
        <f>IFERROR(__xludf.DUMMYFUNCTION("""COMPUTED_VALUE"""),"8:00 AM")</f>
        <v>8:00 AM</v>
      </c>
      <c r="K251" s="8" t="str">
        <f>IFERROR(__xludf.DUMMYFUNCTION("""COMPUTED_VALUE"""),"10G-34L")</f>
        <v>10G-34L</v>
      </c>
      <c r="L251" s="8"/>
      <c r="M251" s="10" t="str">
        <f>IFERROR(VLOOKUP(D251,FacultyList!B:G,6,FALSE),"")</f>
        <v>nafiu.rahman@bracu.ac.bd</v>
      </c>
    </row>
    <row r="252">
      <c r="A252" s="5" t="str">
        <f>IFERROR(__xludf.DUMMYFUNCTION("""COMPUTED_VALUE"""),"CSE330-12")</f>
        <v>CSE330-12</v>
      </c>
      <c r="B252" s="8"/>
      <c r="C252" s="8"/>
      <c r="D252" s="8" t="str">
        <f>IFERROR(__xludf.DUMMYFUNCTION("""COMPUTED_VALUE"""),"SADF")</f>
        <v>SADF</v>
      </c>
      <c r="E252" s="8" t="str">
        <f>IFERROR(__xludf.DUMMYFUNCTION("""COMPUTED_VALUE"""),"MON+WED")</f>
        <v>MON+WED</v>
      </c>
      <c r="F252" s="8" t="str">
        <f>IFERROR(__xludf.DUMMYFUNCTION("""COMPUTED_VALUE"""),"8:00 AM")</f>
        <v>8:00 AM</v>
      </c>
      <c r="G252" s="9" t="str">
        <f>IFERROR(__xludf.DUMMYFUNCTION("""COMPUTED_VALUE"""),"09A-03C")</f>
        <v>09A-03C</v>
      </c>
      <c r="H252" s="8" t="str">
        <f>IFERROR(__xludf.DUMMYFUNCTION("""COMPUTED_VALUE"""),"RFTS,MZFZ")</f>
        <v>RFTS,MZFZ</v>
      </c>
      <c r="I252" s="8" t="str">
        <f>IFERROR(__xludf.DUMMYFUNCTION("""COMPUTED_VALUE"""),"THU")</f>
        <v>THU</v>
      </c>
      <c r="J252" s="8" t="str">
        <f>IFERROR(__xludf.DUMMYFUNCTION("""COMPUTED_VALUE"""),"11:00 AM")</f>
        <v>11:00 AM</v>
      </c>
      <c r="K252" s="8" t="str">
        <f>IFERROR(__xludf.DUMMYFUNCTION("""COMPUTED_VALUE"""),"12D-27L")</f>
        <v>12D-27L</v>
      </c>
      <c r="L252" s="8"/>
      <c r="M252" s="10" t="str">
        <f>IFERROR(VLOOKUP(D252,FacultyList!B:G,6,FALSE),"")</f>
        <v>saadat.ahmed@bracu.ac.bd</v>
      </c>
    </row>
    <row r="253">
      <c r="A253" s="5" t="str">
        <f>IFERROR(__xludf.DUMMYFUNCTION("""COMPUTED_VALUE"""),"CSE330-13")</f>
        <v>CSE330-13</v>
      </c>
      <c r="B253" s="8"/>
      <c r="C253" s="8"/>
      <c r="D253" s="8" t="str">
        <f>IFERROR(__xludf.DUMMYFUNCTION("""COMPUTED_VALUE"""),"SADF")</f>
        <v>SADF</v>
      </c>
      <c r="E253" s="8" t="str">
        <f>IFERROR(__xludf.DUMMYFUNCTION("""COMPUTED_VALUE"""),"MON+WED")</f>
        <v>MON+WED</v>
      </c>
      <c r="F253" s="8" t="str">
        <f>IFERROR(__xludf.DUMMYFUNCTION("""COMPUTED_VALUE"""),"11:00 AM")</f>
        <v>11:00 AM</v>
      </c>
      <c r="G253" s="9" t="str">
        <f>IFERROR(__xludf.DUMMYFUNCTION("""COMPUTED_VALUE"""),"09A-02C")</f>
        <v>09A-02C</v>
      </c>
      <c r="H253" s="8" t="str">
        <f>IFERROR(__xludf.DUMMYFUNCTION("""COMPUTED_VALUE"""),"AQU,SHBK")</f>
        <v>AQU,SHBK</v>
      </c>
      <c r="I253" s="8" t="str">
        <f>IFERROR(__xludf.DUMMYFUNCTION("""COMPUTED_VALUE"""),"THU")</f>
        <v>THU</v>
      </c>
      <c r="J253" s="8" t="str">
        <f>IFERROR(__xludf.DUMMYFUNCTION("""COMPUTED_VALUE"""),"2:00 PM")</f>
        <v>2:00 PM</v>
      </c>
      <c r="K253" s="8" t="str">
        <f>IFERROR(__xludf.DUMMYFUNCTION("""COMPUTED_VALUE"""),"12D-27L")</f>
        <v>12D-27L</v>
      </c>
      <c r="L253" s="8"/>
      <c r="M253" s="10" t="str">
        <f>IFERROR(VLOOKUP(D253,FacultyList!B:G,6,FALSE),"")</f>
        <v>saadat.ahmed@bracu.ac.bd</v>
      </c>
    </row>
    <row r="254">
      <c r="A254" s="5" t="str">
        <f>IFERROR(__xludf.DUMMYFUNCTION("""COMPUTED_VALUE"""),"CSE330-14")</f>
        <v>CSE330-14</v>
      </c>
      <c r="B254" s="8"/>
      <c r="C254" s="8"/>
      <c r="D254" s="8" t="str">
        <f>IFERROR(__xludf.DUMMYFUNCTION("""COMPUTED_VALUE"""),"RFTS")</f>
        <v>RFTS</v>
      </c>
      <c r="E254" s="8" t="str">
        <f>IFERROR(__xludf.DUMMYFUNCTION("""COMPUTED_VALUE"""),"SUN+TUE")</f>
        <v>SUN+TUE</v>
      </c>
      <c r="F254" s="8" t="str">
        <f>IFERROR(__xludf.DUMMYFUNCTION("""COMPUTED_VALUE"""),"2:00 PM")</f>
        <v>2:00 PM</v>
      </c>
      <c r="G254" s="9" t="str">
        <f>IFERROR(__xludf.DUMMYFUNCTION("""COMPUTED_VALUE"""),"07D-19C")</f>
        <v>07D-19C</v>
      </c>
      <c r="H254" s="8" t="str">
        <f>IFERROR(__xludf.DUMMYFUNCTION("""COMPUTED_VALUE"""),"ARD,SULT")</f>
        <v>ARD,SULT</v>
      </c>
      <c r="I254" s="8" t="str">
        <f>IFERROR(__xludf.DUMMYFUNCTION("""COMPUTED_VALUE"""),"MON")</f>
        <v>MON</v>
      </c>
      <c r="J254" s="8" t="str">
        <f>IFERROR(__xludf.DUMMYFUNCTION("""COMPUTED_VALUE"""),"11:00 AM")</f>
        <v>11:00 AM</v>
      </c>
      <c r="K254" s="8" t="str">
        <f>IFERROR(__xludf.DUMMYFUNCTION("""COMPUTED_VALUE"""),"10G-34L")</f>
        <v>10G-34L</v>
      </c>
      <c r="L254" s="8"/>
      <c r="M254" s="10" t="str">
        <f>IFERROR(VLOOKUP(D254,FacultyList!B:G,6,FALSE),"")</f>
        <v>rifa.tasfiya@bracu.ac.bd</v>
      </c>
    </row>
    <row r="255">
      <c r="A255" s="5" t="str">
        <f>IFERROR(__xludf.DUMMYFUNCTION("""COMPUTED_VALUE"""),"CSE330-15")</f>
        <v>CSE330-15</v>
      </c>
      <c r="B255" s="8"/>
      <c r="C255" s="8"/>
      <c r="D255" s="8" t="str">
        <f>IFERROR(__xludf.DUMMYFUNCTION("""COMPUTED_VALUE"""),"RFTS")</f>
        <v>RFTS</v>
      </c>
      <c r="E255" s="8" t="str">
        <f>IFERROR(__xludf.DUMMYFUNCTION("""COMPUTED_VALUE"""),"SUN+TUE")</f>
        <v>SUN+TUE</v>
      </c>
      <c r="F255" s="8" t="str">
        <f>IFERROR(__xludf.DUMMYFUNCTION("""COMPUTED_VALUE"""),"3:30 PM")</f>
        <v>3:30 PM</v>
      </c>
      <c r="G255" s="9" t="str">
        <f>IFERROR(__xludf.DUMMYFUNCTION("""COMPUTED_VALUE"""),"07D-19C")</f>
        <v>07D-19C</v>
      </c>
      <c r="H255" s="8" t="str">
        <f>IFERROR(__xludf.DUMMYFUNCTION("""COMPUTED_VALUE"""),"SULT,MNP")</f>
        <v>SULT,MNP</v>
      </c>
      <c r="I255" s="8" t="str">
        <f>IFERROR(__xludf.DUMMYFUNCTION("""COMPUTED_VALUE"""),"MON")</f>
        <v>MON</v>
      </c>
      <c r="J255" s="8" t="str">
        <f>IFERROR(__xludf.DUMMYFUNCTION("""COMPUTED_VALUE"""),"2:00 PM")</f>
        <v>2:00 PM</v>
      </c>
      <c r="K255" s="8" t="str">
        <f>IFERROR(__xludf.DUMMYFUNCTION("""COMPUTED_VALUE"""),"10G-34L")</f>
        <v>10G-34L</v>
      </c>
      <c r="L255" s="8"/>
      <c r="M255" s="10" t="str">
        <f>IFERROR(VLOOKUP(D255,FacultyList!B:G,6,FALSE),"")</f>
        <v>rifa.tasfiya@bracu.ac.bd</v>
      </c>
    </row>
    <row r="256">
      <c r="A256" s="5" t="str">
        <f>IFERROR(__xludf.DUMMYFUNCTION("""COMPUTED_VALUE"""),"CSE330-16")</f>
        <v>CSE330-16</v>
      </c>
      <c r="B256" s="8"/>
      <c r="C256" s="8"/>
      <c r="D256" s="8" t="str">
        <f>IFERROR(__xludf.DUMMYFUNCTION("""COMPUTED_VALUE"""),"FDM")</f>
        <v>FDM</v>
      </c>
      <c r="E256" s="8" t="str">
        <f>IFERROR(__xludf.DUMMYFUNCTION("""COMPUTED_VALUE"""),"SAT+THU")</f>
        <v>SAT+THU</v>
      </c>
      <c r="F256" s="8" t="str">
        <f>IFERROR(__xludf.DUMMYFUNCTION("""COMPUTED_VALUE"""),"11:00 AM")</f>
        <v>11:00 AM</v>
      </c>
      <c r="G256" s="9" t="str">
        <f>IFERROR(__xludf.DUMMYFUNCTION("""COMPUTED_VALUE"""),"07D-20C")</f>
        <v>07D-20C</v>
      </c>
      <c r="H256" s="8" t="str">
        <f>IFERROR(__xludf.DUMMYFUNCTION("""COMPUTED_VALUE"""),"AAF,WLV")</f>
        <v>AAF,WLV</v>
      </c>
      <c r="I256" s="8" t="str">
        <f>IFERROR(__xludf.DUMMYFUNCTION("""COMPUTED_VALUE"""),"SUN")</f>
        <v>SUN</v>
      </c>
      <c r="J256" s="8" t="str">
        <f>IFERROR(__xludf.DUMMYFUNCTION("""COMPUTED_VALUE"""),"8:00 AM")</f>
        <v>8:00 AM</v>
      </c>
      <c r="K256" s="8" t="str">
        <f>IFERROR(__xludf.DUMMYFUNCTION("""COMPUTED_VALUE"""),"12F-30L")</f>
        <v>12F-30L</v>
      </c>
      <c r="L256" s="8"/>
      <c r="M256" s="10" t="str">
        <f>IFERROR(VLOOKUP(D256,FacultyList!B:G,6,FALSE),"")</f>
        <v>ext.fardin.rahman@bracu.ac.bd</v>
      </c>
    </row>
    <row r="257">
      <c r="A257" s="5" t="str">
        <f>IFERROR(__xludf.DUMMYFUNCTION("""COMPUTED_VALUE"""),"CSE330-17")</f>
        <v>CSE330-17</v>
      </c>
      <c r="B257" s="8"/>
      <c r="C257" s="8"/>
      <c r="D257" s="8" t="str">
        <f>IFERROR(__xludf.DUMMYFUNCTION("""COMPUTED_VALUE"""),"HBN")</f>
        <v>HBN</v>
      </c>
      <c r="E257" s="8" t="str">
        <f>IFERROR(__xludf.DUMMYFUNCTION("""COMPUTED_VALUE"""),"SAT+THU")</f>
        <v>SAT+THU</v>
      </c>
      <c r="F257" s="8" t="str">
        <f>IFERROR(__xludf.DUMMYFUNCTION("""COMPUTED_VALUE"""),"12:30 PM")</f>
        <v>12:30 PM</v>
      </c>
      <c r="G257" s="9" t="str">
        <f>IFERROR(__xludf.DUMMYFUNCTION("""COMPUTED_VALUE"""),"07D-20C")</f>
        <v>07D-20C</v>
      </c>
      <c r="H257" s="8" t="str">
        <f>IFERROR(__xludf.DUMMYFUNCTION("""COMPUTED_VALUE"""),"WLV,SMKD")</f>
        <v>WLV,SMKD</v>
      </c>
      <c r="I257" s="8" t="str">
        <f>IFERROR(__xludf.DUMMYFUNCTION("""COMPUTED_VALUE"""),"WED")</f>
        <v>WED</v>
      </c>
      <c r="J257" s="8" t="str">
        <f>IFERROR(__xludf.DUMMYFUNCTION("""COMPUTED_VALUE"""),"8:00 AM")</f>
        <v>8:00 AM</v>
      </c>
      <c r="K257" s="8" t="str">
        <f>IFERROR(__xludf.DUMMYFUNCTION("""COMPUTED_VALUE"""),"10G-34L")</f>
        <v>10G-34L</v>
      </c>
      <c r="L257" s="8"/>
      <c r="M257" s="10" t="str">
        <f>IFERROR(VLOOKUP(D257,FacultyList!B:G,6,FALSE),"")</f>
        <v>ext.hamim.nasim@bracu.ac.bd</v>
      </c>
    </row>
    <row r="258">
      <c r="A258" s="5" t="str">
        <f>IFERROR(__xludf.DUMMYFUNCTION("""COMPUTED_VALUE"""),"CSE330-18")</f>
        <v>CSE330-18</v>
      </c>
      <c r="B258" s="8"/>
      <c r="C258" s="8"/>
      <c r="D258" s="8" t="str">
        <f>IFERROR(__xludf.DUMMYFUNCTION("""COMPUTED_VALUE"""),"NTN")</f>
        <v>NTN</v>
      </c>
      <c r="E258" s="8" t="str">
        <f>IFERROR(__xludf.DUMMYFUNCTION("""COMPUTED_VALUE"""),"SAT+THU")</f>
        <v>SAT+THU</v>
      </c>
      <c r="F258" s="8" t="str">
        <f>IFERROR(__xludf.DUMMYFUNCTION("""COMPUTED_VALUE"""),"3:30 PM")</f>
        <v>3:30 PM</v>
      </c>
      <c r="G258" s="9" t="str">
        <f>IFERROR(__xludf.DUMMYFUNCTION("""COMPUTED_VALUE"""),"07D-20C")</f>
        <v>07D-20C</v>
      </c>
      <c r="H258" s="8" t="str">
        <f>IFERROR(__xludf.DUMMYFUNCTION("""COMPUTED_VALUE"""),"MNP,ALB")</f>
        <v>MNP,ALB</v>
      </c>
      <c r="I258" s="8" t="str">
        <f>IFERROR(__xludf.DUMMYFUNCTION("""COMPUTED_VALUE"""),"WED")</f>
        <v>WED</v>
      </c>
      <c r="J258" s="8" t="str">
        <f>IFERROR(__xludf.DUMMYFUNCTION("""COMPUTED_VALUE"""),"11:00 AM")</f>
        <v>11:00 AM</v>
      </c>
      <c r="K258" s="8" t="str">
        <f>IFERROR(__xludf.DUMMYFUNCTION("""COMPUTED_VALUE"""),"10G-34L")</f>
        <v>10G-34L</v>
      </c>
      <c r="L258" s="8"/>
      <c r="M258" s="10" t="str">
        <f>IFERROR(VLOOKUP(D258,FacultyList!B:G,6,FALSE),"")</f>
        <v>ext.naima.tahsin@bracu.ac.bd</v>
      </c>
    </row>
    <row r="259">
      <c r="A259" s="5" t="str">
        <f>IFERROR(__xludf.DUMMYFUNCTION("""COMPUTED_VALUE"""),"CSE330-19")</f>
        <v>CSE330-19</v>
      </c>
      <c r="B259" s="8"/>
      <c r="C259" s="8"/>
      <c r="D259" s="8" t="str">
        <f>IFERROR(__xludf.DUMMYFUNCTION("""COMPUTED_VALUE"""),"RZR")</f>
        <v>RZR</v>
      </c>
      <c r="E259" s="8" t="str">
        <f>IFERROR(__xludf.DUMMYFUNCTION("""COMPUTED_VALUE"""),"SUN+TUE")</f>
        <v>SUN+TUE</v>
      </c>
      <c r="F259" s="8" t="str">
        <f>IFERROR(__xludf.DUMMYFUNCTION("""COMPUTED_VALUE"""),"8:00 AM")</f>
        <v>8:00 AM</v>
      </c>
      <c r="G259" s="9" t="str">
        <f>IFERROR(__xludf.DUMMYFUNCTION("""COMPUTED_VALUE"""),"07D-20C")</f>
        <v>07D-20C</v>
      </c>
      <c r="H259" s="8" t="str">
        <f>IFERROR(__xludf.DUMMYFUNCTION("""COMPUTED_VALUE"""),"ADD,MZW")</f>
        <v>ADD,MZW</v>
      </c>
      <c r="I259" s="8" t="str">
        <f>IFERROR(__xludf.DUMMYFUNCTION("""COMPUTED_VALUE"""),"MON")</f>
        <v>MON</v>
      </c>
      <c r="J259" s="8" t="str">
        <f>IFERROR(__xludf.DUMMYFUNCTION("""COMPUTED_VALUE"""),"8:00 AM")</f>
        <v>8:00 AM</v>
      </c>
      <c r="K259" s="8" t="str">
        <f>IFERROR(__xludf.DUMMYFUNCTION("""COMPUTED_VALUE"""),"12D-26L")</f>
        <v>12D-26L</v>
      </c>
      <c r="L259" s="8"/>
      <c r="M259" s="10" t="str">
        <f>IFERROR(VLOOKUP(D259,FacultyList!B:G,6,FALSE),"")</f>
        <v>ext.riazul.islam@bracu.ac.bd</v>
      </c>
    </row>
    <row r="260">
      <c r="A260" s="5" t="str">
        <f>IFERROR(__xludf.DUMMYFUNCTION("""COMPUTED_VALUE"""),"CSE330-20")</f>
        <v>CSE330-20</v>
      </c>
      <c r="B260" s="8"/>
      <c r="C260" s="8"/>
      <c r="D260" s="8" t="str">
        <f>IFERROR(__xludf.DUMMYFUNCTION("""COMPUTED_VALUE"""),"AROY")</f>
        <v>AROY</v>
      </c>
      <c r="E260" s="8" t="str">
        <f>IFERROR(__xludf.DUMMYFUNCTION("""COMPUTED_VALUE"""),"SAT+THU")</f>
        <v>SAT+THU</v>
      </c>
      <c r="F260" s="8" t="str">
        <f>IFERROR(__xludf.DUMMYFUNCTION("""COMPUTED_VALUE"""),"2:00 PM")</f>
        <v>2:00 PM</v>
      </c>
      <c r="G260" s="9" t="str">
        <f>IFERROR(__xludf.DUMMYFUNCTION("""COMPUTED_VALUE"""),"09D-18C")</f>
        <v>09D-18C</v>
      </c>
      <c r="H260" s="8" t="str">
        <f>IFERROR(__xludf.DUMMYFUNCTION("""COMPUTED_VALUE"""),"ADD,NTN")</f>
        <v>ADD,NTN</v>
      </c>
      <c r="I260" s="8" t="str">
        <f>IFERROR(__xludf.DUMMYFUNCTION("""COMPUTED_VALUE"""),"WED")</f>
        <v>WED</v>
      </c>
      <c r="J260" s="8" t="str">
        <f>IFERROR(__xludf.DUMMYFUNCTION("""COMPUTED_VALUE"""),"2:00 PM")</f>
        <v>2:00 PM</v>
      </c>
      <c r="K260" s="8" t="str">
        <f>IFERROR(__xludf.DUMMYFUNCTION("""COMPUTED_VALUE"""),"10G-34L")</f>
        <v>10G-34L</v>
      </c>
      <c r="L260" s="8"/>
      <c r="M260" s="10" t="str">
        <f>IFERROR(VLOOKUP(D260,FacultyList!B:G,6,FALSE),"")</f>
        <v>ext.atonu.roy@bracu.ac.bd</v>
      </c>
    </row>
    <row r="261">
      <c r="A261" s="5" t="str">
        <f>IFERROR(__xludf.DUMMYFUNCTION("""COMPUTED_VALUE"""),"CSE331-01")</f>
        <v>CSE331-01</v>
      </c>
      <c r="B261" s="8"/>
      <c r="C261" s="8"/>
      <c r="D261" s="8" t="str">
        <f>IFERROR(__xludf.DUMMYFUNCTION("""COMPUTED_VALUE"""),"ATY")</f>
        <v>ATY</v>
      </c>
      <c r="E261" s="8" t="str">
        <f>IFERROR(__xludf.DUMMYFUNCTION("""COMPUTED_VALUE"""),"SUN+TUE")</f>
        <v>SUN+TUE</v>
      </c>
      <c r="F261" s="8" t="str">
        <f>IFERROR(__xludf.DUMMYFUNCTION("""COMPUTED_VALUE"""),"2:00 PM")</f>
        <v>2:00 PM</v>
      </c>
      <c r="G261" s="9" t="str">
        <f>IFERROR(__xludf.DUMMYFUNCTION("""COMPUTED_VALUE"""),"09H-34C")</f>
        <v>09H-34C</v>
      </c>
      <c r="H261" s="8"/>
      <c r="I261" s="8"/>
      <c r="J261" s="8"/>
      <c r="K261" s="8"/>
      <c r="L261" s="8"/>
      <c r="M261" s="10" t="str">
        <f>IFERROR(VLOOKUP(D261,FacultyList!B:G,6,FALSE),"")</f>
        <v>ateya.ahmed@bracu.ac.bd</v>
      </c>
    </row>
    <row r="262">
      <c r="A262" s="5" t="str">
        <f>IFERROR(__xludf.DUMMYFUNCTION("""COMPUTED_VALUE"""),"CSE331-02")</f>
        <v>CSE331-02</v>
      </c>
      <c r="B262" s="8"/>
      <c r="C262" s="8"/>
      <c r="D262" s="8" t="str">
        <f>IFERROR(__xludf.DUMMYFUNCTION("""COMPUTED_VALUE"""),"ATY")</f>
        <v>ATY</v>
      </c>
      <c r="E262" s="8" t="str">
        <f>IFERROR(__xludf.DUMMYFUNCTION("""COMPUTED_VALUE"""),"SUN+TUE")</f>
        <v>SUN+TUE</v>
      </c>
      <c r="F262" s="8" t="str">
        <f>IFERROR(__xludf.DUMMYFUNCTION("""COMPUTED_VALUE"""),"3:30 PM")</f>
        <v>3:30 PM</v>
      </c>
      <c r="G262" s="9" t="str">
        <f>IFERROR(__xludf.DUMMYFUNCTION("""COMPUTED_VALUE"""),"09H-34C")</f>
        <v>09H-34C</v>
      </c>
      <c r="H262" s="8"/>
      <c r="I262" s="8"/>
      <c r="J262" s="8"/>
      <c r="K262" s="8"/>
      <c r="L262" s="8"/>
      <c r="M262" s="10" t="str">
        <f>IFERROR(VLOOKUP(D262,FacultyList!B:G,6,FALSE),"")</f>
        <v>ateya.ahmed@bracu.ac.bd</v>
      </c>
    </row>
    <row r="263">
      <c r="A263" s="5" t="str">
        <f>IFERROR(__xludf.DUMMYFUNCTION("""COMPUTED_VALUE"""),"CSE331-03")</f>
        <v>CSE331-03</v>
      </c>
      <c r="B263" s="8"/>
      <c r="C263" s="8"/>
      <c r="D263" s="8" t="str">
        <f>IFERROR(__xludf.DUMMYFUNCTION("""COMPUTED_VALUE"""),"KKP")</f>
        <v>KKP</v>
      </c>
      <c r="E263" s="8" t="str">
        <f>IFERROR(__xludf.DUMMYFUNCTION("""COMPUTED_VALUE"""),"MON+WED")</f>
        <v>MON+WED</v>
      </c>
      <c r="F263" s="8" t="str">
        <f>IFERROR(__xludf.DUMMYFUNCTION("""COMPUTED_VALUE"""),"8:00 AM")</f>
        <v>8:00 AM</v>
      </c>
      <c r="G263" s="9" t="str">
        <f>IFERROR(__xludf.DUMMYFUNCTION("""COMPUTED_VALUE"""),"09H-35C")</f>
        <v>09H-35C</v>
      </c>
      <c r="H263" s="8"/>
      <c r="I263" s="8"/>
      <c r="J263" s="8"/>
      <c r="K263" s="8"/>
      <c r="L263" s="8"/>
      <c r="M263" s="10" t="str">
        <f>IFERROR(VLOOKUP(D263,FacultyList!B:G,6,FALSE),"")</f>
        <v>kabbya.kantam@bracu.ac.bd</v>
      </c>
    </row>
    <row r="264">
      <c r="A264" s="5" t="str">
        <f>IFERROR(__xludf.DUMMYFUNCTION("""COMPUTED_VALUE"""),"CSE331-04")</f>
        <v>CSE331-04</v>
      </c>
      <c r="B264" s="8"/>
      <c r="C264" s="8"/>
      <c r="D264" s="8" t="str">
        <f>IFERROR(__xludf.DUMMYFUNCTION("""COMPUTED_VALUE"""),"KKP")</f>
        <v>KKP</v>
      </c>
      <c r="E264" s="8" t="str">
        <f>IFERROR(__xludf.DUMMYFUNCTION("""COMPUTED_VALUE"""),"MON+WED")</f>
        <v>MON+WED</v>
      </c>
      <c r="F264" s="8" t="str">
        <f>IFERROR(__xludf.DUMMYFUNCTION("""COMPUTED_VALUE"""),"9:30 AM")</f>
        <v>9:30 AM</v>
      </c>
      <c r="G264" s="9" t="str">
        <f>IFERROR(__xludf.DUMMYFUNCTION("""COMPUTED_VALUE"""),"09H-35C")</f>
        <v>09H-35C</v>
      </c>
      <c r="H264" s="8"/>
      <c r="I264" s="8"/>
      <c r="J264" s="8"/>
      <c r="K264" s="8"/>
      <c r="L264" s="8"/>
      <c r="M264" s="10" t="str">
        <f>IFERROR(VLOOKUP(D264,FacultyList!B:G,6,FALSE),"")</f>
        <v>kabbya.kantam@bracu.ac.bd</v>
      </c>
    </row>
    <row r="265">
      <c r="A265" s="5" t="str">
        <f>IFERROR(__xludf.DUMMYFUNCTION("""COMPUTED_VALUE"""),"CSE331-05")</f>
        <v>CSE331-05</v>
      </c>
      <c r="B265" s="8"/>
      <c r="C265" s="8"/>
      <c r="D265" s="8" t="str">
        <f>IFERROR(__xludf.DUMMYFUNCTION("""COMPUTED_VALUE"""),"ANNH")</f>
        <v>ANNH</v>
      </c>
      <c r="E265" s="8" t="str">
        <f>IFERROR(__xludf.DUMMYFUNCTION("""COMPUTED_VALUE"""),"MON+WED")</f>
        <v>MON+WED</v>
      </c>
      <c r="F265" s="8" t="str">
        <f>IFERROR(__xludf.DUMMYFUNCTION("""COMPUTED_VALUE"""),"2:00 PM")</f>
        <v>2:00 PM</v>
      </c>
      <c r="G265" s="9" t="str">
        <f>IFERROR(__xludf.DUMMYFUNCTION("""COMPUTED_VALUE"""),"09A-07C")</f>
        <v>09A-07C</v>
      </c>
      <c r="H265" s="8"/>
      <c r="I265" s="8"/>
      <c r="J265" s="8"/>
      <c r="K265" s="8"/>
      <c r="L265" s="8"/>
      <c r="M265" s="10" t="str">
        <f>IFERROR(VLOOKUP(D265,FacultyList!B:G,6,FALSE),"")</f>
        <v>ext.aunon.halder@bracu.ac.bd</v>
      </c>
    </row>
    <row r="266">
      <c r="A266" s="5" t="str">
        <f>IFERROR(__xludf.DUMMYFUNCTION("""COMPUTED_VALUE"""),"CSE331-06")</f>
        <v>CSE331-06</v>
      </c>
      <c r="B266" s="8"/>
      <c r="C266" s="8"/>
      <c r="D266" s="8" t="str">
        <f>IFERROR(__xludf.DUMMYFUNCTION("""COMPUTED_VALUE"""),"MZFZ")</f>
        <v>MZFZ</v>
      </c>
      <c r="E266" s="8" t="str">
        <f>IFERROR(__xludf.DUMMYFUNCTION("""COMPUTED_VALUE"""),"MON+WED")</f>
        <v>MON+WED</v>
      </c>
      <c r="F266" s="8" t="str">
        <f>IFERROR(__xludf.DUMMYFUNCTION("""COMPUTED_VALUE"""),"3:30 PM")</f>
        <v>3:30 PM</v>
      </c>
      <c r="G266" s="9" t="str">
        <f>IFERROR(__xludf.DUMMYFUNCTION("""COMPUTED_VALUE"""),"09A-07C")</f>
        <v>09A-07C</v>
      </c>
      <c r="H266" s="8"/>
      <c r="I266" s="8"/>
      <c r="J266" s="8"/>
      <c r="K266" s="8"/>
      <c r="L266" s="8"/>
      <c r="M266" s="10" t="str">
        <f>IFERROR(VLOOKUP(D266,FacultyList!B:G,6,FALSE),"")</f>
        <v>ext.mehnaz.fazal@bracu.ac.bd</v>
      </c>
    </row>
    <row r="267">
      <c r="A267" s="5" t="str">
        <f>IFERROR(__xludf.DUMMYFUNCTION("""COMPUTED_VALUE"""),"CSE331-07")</f>
        <v>CSE331-07</v>
      </c>
      <c r="B267" s="8"/>
      <c r="C267" s="8"/>
      <c r="D267" s="8" t="str">
        <f>IFERROR(__xludf.DUMMYFUNCTION("""COMPUTED_VALUE"""),"RSS")</f>
        <v>RSS</v>
      </c>
      <c r="E267" s="8" t="str">
        <f>IFERROR(__xludf.DUMMYFUNCTION("""COMPUTED_VALUE"""),"SUN+TUE")</f>
        <v>SUN+TUE</v>
      </c>
      <c r="F267" s="8" t="str">
        <f>IFERROR(__xludf.DUMMYFUNCTION("""COMPUTED_VALUE"""),"9:30 AM")</f>
        <v>9:30 AM</v>
      </c>
      <c r="G267" s="9" t="str">
        <f>IFERROR(__xludf.DUMMYFUNCTION("""COMPUTED_VALUE"""),"09G-31T")</f>
        <v>09G-31T</v>
      </c>
      <c r="H267" s="8"/>
      <c r="I267" s="8"/>
      <c r="J267" s="8"/>
      <c r="K267" s="8"/>
      <c r="L267" s="8"/>
      <c r="M267" s="10" t="str">
        <f>IFERROR(VLOOKUP(D267,FacultyList!B:G,6,FALSE),"")</f>
        <v>rafiad.shahir@bracu.ac.bd</v>
      </c>
    </row>
    <row r="268">
      <c r="A268" s="5" t="str">
        <f>IFERROR(__xludf.DUMMYFUNCTION("""COMPUTED_VALUE"""),"CSE331-08")</f>
        <v>CSE331-08</v>
      </c>
      <c r="B268" s="8"/>
      <c r="C268" s="8"/>
      <c r="D268" s="8" t="str">
        <f>IFERROR(__xludf.DUMMYFUNCTION("""COMPUTED_VALUE"""),"RSS")</f>
        <v>RSS</v>
      </c>
      <c r="E268" s="8" t="str">
        <f>IFERROR(__xludf.DUMMYFUNCTION("""COMPUTED_VALUE"""),"SUN+TUE")</f>
        <v>SUN+TUE</v>
      </c>
      <c r="F268" s="8" t="str">
        <f>IFERROR(__xludf.DUMMYFUNCTION("""COMPUTED_VALUE"""),"9:30 AM")</f>
        <v>9:30 AM</v>
      </c>
      <c r="G268" s="9" t="str">
        <f>IFERROR(__xludf.DUMMYFUNCTION("""COMPUTED_VALUE"""),"09G-31T")</f>
        <v>09G-31T</v>
      </c>
      <c r="H268" s="8"/>
      <c r="I268" s="8"/>
      <c r="J268" s="8"/>
      <c r="K268" s="8"/>
      <c r="L268" s="8"/>
      <c r="M268" s="10" t="str">
        <f>IFERROR(VLOOKUP(D268,FacultyList!B:G,6,FALSE),"")</f>
        <v>rafiad.shahir@bracu.ac.bd</v>
      </c>
    </row>
    <row r="269">
      <c r="A269" s="5" t="str">
        <f>IFERROR(__xludf.DUMMYFUNCTION("""COMPUTED_VALUE"""),"CSE331-09")</f>
        <v>CSE331-09</v>
      </c>
      <c r="B269" s="8"/>
      <c r="C269" s="8"/>
      <c r="D269" s="8" t="str">
        <f>IFERROR(__xludf.DUMMYFUNCTION("""COMPUTED_VALUE"""),"RSS")</f>
        <v>RSS</v>
      </c>
      <c r="E269" s="8" t="str">
        <f>IFERROR(__xludf.DUMMYFUNCTION("""COMPUTED_VALUE"""),"SUN+TUE")</f>
        <v>SUN+TUE</v>
      </c>
      <c r="F269" s="8" t="str">
        <f>IFERROR(__xludf.DUMMYFUNCTION("""COMPUTED_VALUE"""),"9:30 AM")</f>
        <v>9:30 AM</v>
      </c>
      <c r="G269" s="9" t="str">
        <f>IFERROR(__xludf.DUMMYFUNCTION("""COMPUTED_VALUE"""),"09G-31T")</f>
        <v>09G-31T</v>
      </c>
      <c r="H269" s="8"/>
      <c r="I269" s="8"/>
      <c r="J269" s="8"/>
      <c r="K269" s="8"/>
      <c r="L269" s="8"/>
      <c r="M269" s="10" t="str">
        <f>IFERROR(VLOOKUP(D269,FacultyList!B:G,6,FALSE),"")</f>
        <v>rafiad.shahir@bracu.ac.bd</v>
      </c>
    </row>
    <row r="270">
      <c r="A270" s="5" t="str">
        <f>IFERROR(__xludf.DUMMYFUNCTION("""COMPUTED_VALUE"""),"CSE331-10")</f>
        <v>CSE331-10</v>
      </c>
      <c r="B270" s="8"/>
      <c r="C270" s="8"/>
      <c r="D270" s="8" t="str">
        <f>IFERROR(__xludf.DUMMYFUNCTION("""COMPUTED_VALUE"""),"ZYH")</f>
        <v>ZYH</v>
      </c>
      <c r="E270" s="8" t="str">
        <f>IFERROR(__xludf.DUMMYFUNCTION("""COMPUTED_VALUE"""),"SAT+THU")</f>
        <v>SAT+THU</v>
      </c>
      <c r="F270" s="8" t="str">
        <f>IFERROR(__xludf.DUMMYFUNCTION("""COMPUTED_VALUE"""),"9:30 AM")</f>
        <v>9:30 AM</v>
      </c>
      <c r="G270" s="9" t="str">
        <f>IFERROR(__xludf.DUMMYFUNCTION("""COMPUTED_VALUE"""),"07H-27C")</f>
        <v>07H-27C</v>
      </c>
      <c r="H270" s="8"/>
      <c r="I270" s="8"/>
      <c r="J270" s="8"/>
      <c r="K270" s="8"/>
      <c r="L270" s="8"/>
      <c r="M270" s="10" t="str">
        <f>IFERROR(VLOOKUP(D270,FacultyList!B:G,6,FALSE),"")</f>
        <v>zayed.humayun@bracu.ac.bd</v>
      </c>
    </row>
    <row r="271">
      <c r="A271" s="5" t="str">
        <f>IFERROR(__xludf.DUMMYFUNCTION("""COMPUTED_VALUE"""),"CSE331-11")</f>
        <v>CSE331-11</v>
      </c>
      <c r="B271" s="8"/>
      <c r="C271" s="8"/>
      <c r="D271" s="8" t="str">
        <f>IFERROR(__xludf.DUMMYFUNCTION("""COMPUTED_VALUE"""),"ZYH")</f>
        <v>ZYH</v>
      </c>
      <c r="E271" s="8" t="str">
        <f>IFERROR(__xludf.DUMMYFUNCTION("""COMPUTED_VALUE"""),"MON+WED")</f>
        <v>MON+WED</v>
      </c>
      <c r="F271" s="8" t="str">
        <f>IFERROR(__xludf.DUMMYFUNCTION("""COMPUTED_VALUE"""),"11:00 AM")</f>
        <v>11:00 AM</v>
      </c>
      <c r="G271" s="9" t="str">
        <f>IFERROR(__xludf.DUMMYFUNCTION("""COMPUTED_VALUE"""),"07F-22C")</f>
        <v>07F-22C</v>
      </c>
      <c r="H271" s="8"/>
      <c r="I271" s="8"/>
      <c r="J271" s="8"/>
      <c r="K271" s="8"/>
      <c r="L271" s="8"/>
      <c r="M271" s="10" t="str">
        <f>IFERROR(VLOOKUP(D271,FacultyList!B:G,6,FALSE),"")</f>
        <v>zayed.humayun@bracu.ac.bd</v>
      </c>
    </row>
    <row r="272">
      <c r="A272" s="5" t="str">
        <f>IFERROR(__xludf.DUMMYFUNCTION("""COMPUTED_VALUE"""),"CSE331-12")</f>
        <v>CSE331-12</v>
      </c>
      <c r="B272" s="8"/>
      <c r="C272" s="8"/>
      <c r="D272" s="8" t="str">
        <f>IFERROR(__xludf.DUMMYFUNCTION("""COMPUTED_VALUE"""),"ZYH")</f>
        <v>ZYH</v>
      </c>
      <c r="E272" s="8" t="str">
        <f>IFERROR(__xludf.DUMMYFUNCTION("""COMPUTED_VALUE"""),"MON+WED")</f>
        <v>MON+WED</v>
      </c>
      <c r="F272" s="8" t="str">
        <f>IFERROR(__xludf.DUMMYFUNCTION("""COMPUTED_VALUE"""),"12:30 PM")</f>
        <v>12:30 PM</v>
      </c>
      <c r="G272" s="9" t="str">
        <f>IFERROR(__xludf.DUMMYFUNCTION("""COMPUTED_VALUE"""),"07F-22C")</f>
        <v>07F-22C</v>
      </c>
      <c r="H272" s="8"/>
      <c r="I272" s="8"/>
      <c r="J272" s="8"/>
      <c r="K272" s="8"/>
      <c r="L272" s="8"/>
      <c r="M272" s="10" t="str">
        <f>IFERROR(VLOOKUP(D272,FacultyList!B:G,6,FALSE),"")</f>
        <v>zayed.humayun@bracu.ac.bd</v>
      </c>
    </row>
    <row r="273">
      <c r="A273" s="5" t="str">
        <f>IFERROR(__xludf.DUMMYFUNCTION("""COMPUTED_VALUE"""),"CSE331-13")</f>
        <v>CSE331-13</v>
      </c>
      <c r="B273" s="8"/>
      <c r="C273" s="8"/>
      <c r="D273" s="8" t="str">
        <f>IFERROR(__xludf.DUMMYFUNCTION("""COMPUTED_VALUE"""),"AFA")</f>
        <v>AFA</v>
      </c>
      <c r="E273" s="8" t="str">
        <f>IFERROR(__xludf.DUMMYFUNCTION("""COMPUTED_VALUE"""),"SAT+THU")</f>
        <v>SAT+THU</v>
      </c>
      <c r="F273" s="8" t="str">
        <f>IFERROR(__xludf.DUMMYFUNCTION("""COMPUTED_VALUE"""),"2:00 PM")</f>
        <v>2:00 PM</v>
      </c>
      <c r="G273" s="9" t="str">
        <f>IFERROR(__xludf.DUMMYFUNCTION("""COMPUTED_VALUE"""),"10B-13C")</f>
        <v>10B-13C</v>
      </c>
      <c r="H273" s="8"/>
      <c r="I273" s="8"/>
      <c r="J273" s="8"/>
      <c r="K273" s="8"/>
      <c r="L273" s="8"/>
      <c r="M273" s="10" t="str">
        <f>IFERROR(VLOOKUP(D273,FacultyList!B:G,6,FALSE),"")</f>
        <v>afroza.akther@bracu.ac.bd</v>
      </c>
    </row>
    <row r="274">
      <c r="A274" s="5" t="str">
        <f>IFERROR(__xludf.DUMMYFUNCTION("""COMPUTED_VALUE"""),"CSE331-14")</f>
        <v>CSE331-14</v>
      </c>
      <c r="B274" s="8"/>
      <c r="C274" s="8"/>
      <c r="D274" s="8" t="str">
        <f>IFERROR(__xludf.DUMMYFUNCTION("""COMPUTED_VALUE"""),"AFA")</f>
        <v>AFA</v>
      </c>
      <c r="E274" s="8" t="str">
        <f>IFERROR(__xludf.DUMMYFUNCTION("""COMPUTED_VALUE"""),"SAT+THU")</f>
        <v>SAT+THU</v>
      </c>
      <c r="F274" s="8" t="str">
        <f>IFERROR(__xludf.DUMMYFUNCTION("""COMPUTED_VALUE"""),"3:30 PM")</f>
        <v>3:30 PM</v>
      </c>
      <c r="G274" s="9" t="str">
        <f>IFERROR(__xludf.DUMMYFUNCTION("""COMPUTED_VALUE"""),"10B-13C")</f>
        <v>10B-13C</v>
      </c>
      <c r="H274" s="8"/>
      <c r="I274" s="8"/>
      <c r="J274" s="8"/>
      <c r="K274" s="8"/>
      <c r="L274" s="8"/>
      <c r="M274" s="10" t="str">
        <f>IFERROR(VLOOKUP(D274,FacultyList!B:G,6,FALSE),"")</f>
        <v>afroza.akther@bracu.ac.bd</v>
      </c>
    </row>
    <row r="275">
      <c r="A275" s="5" t="str">
        <f>IFERROR(__xludf.DUMMYFUNCTION("""COMPUTED_VALUE"""),"CSE331-15")</f>
        <v>CSE331-15</v>
      </c>
      <c r="B275" s="8"/>
      <c r="C275" s="8"/>
      <c r="D275" s="8" t="str">
        <f>IFERROR(__xludf.DUMMYFUNCTION("""COMPUTED_VALUE"""),"RFR")</f>
        <v>RFR</v>
      </c>
      <c r="E275" s="8" t="str">
        <f>IFERROR(__xludf.DUMMYFUNCTION("""COMPUTED_VALUE"""),"SAT+THU")</f>
        <v>SAT+THU</v>
      </c>
      <c r="F275" s="8" t="str">
        <f>IFERROR(__xludf.DUMMYFUNCTION("""COMPUTED_VALUE"""),"8:00 AM")</f>
        <v>8:00 AM</v>
      </c>
      <c r="G275" s="9" t="str">
        <f>IFERROR(__xludf.DUMMYFUNCTION("""COMPUTED_VALUE"""),"09H-34C")</f>
        <v>09H-34C</v>
      </c>
      <c r="H275" s="8"/>
      <c r="I275" s="8"/>
      <c r="J275" s="8"/>
      <c r="K275" s="8"/>
      <c r="L275" s="8"/>
      <c r="M275" s="10" t="str">
        <f>IFERROR(VLOOKUP(D275,FacultyList!B:G,6,FALSE),"")</f>
        <v>rifat.rahman@bracu.ac.bd</v>
      </c>
    </row>
    <row r="276">
      <c r="A276" s="5" t="str">
        <f>IFERROR(__xludf.DUMMYFUNCTION("""COMPUTED_VALUE"""),"CSE331-16")</f>
        <v>CSE331-16</v>
      </c>
      <c r="B276" s="8"/>
      <c r="C276" s="8"/>
      <c r="D276" s="8" t="str">
        <f>IFERROR(__xludf.DUMMYFUNCTION("""COMPUTED_VALUE"""),"RFR")</f>
        <v>RFR</v>
      </c>
      <c r="E276" s="8" t="str">
        <f>IFERROR(__xludf.DUMMYFUNCTION("""COMPUTED_VALUE"""),"SAT+THU")</f>
        <v>SAT+THU</v>
      </c>
      <c r="F276" s="8" t="str">
        <f>IFERROR(__xludf.DUMMYFUNCTION("""COMPUTED_VALUE"""),"9:30 AM")</f>
        <v>9:30 AM</v>
      </c>
      <c r="G276" s="9" t="str">
        <f>IFERROR(__xludf.DUMMYFUNCTION("""COMPUTED_VALUE"""),"09H-34C")</f>
        <v>09H-34C</v>
      </c>
      <c r="H276" s="8"/>
      <c r="I276" s="8"/>
      <c r="J276" s="8"/>
      <c r="K276" s="8"/>
      <c r="L276" s="8"/>
      <c r="M276" s="10" t="str">
        <f>IFERROR(VLOOKUP(D276,FacultyList!B:G,6,FALSE),"")</f>
        <v>rifat.rahman@bracu.ac.bd</v>
      </c>
    </row>
    <row r="277">
      <c r="A277" s="5" t="str">
        <f>IFERROR(__xludf.DUMMYFUNCTION("""COMPUTED_VALUE"""),"CSE331-17")</f>
        <v>CSE331-17</v>
      </c>
      <c r="B277" s="8"/>
      <c r="C277" s="8"/>
      <c r="D277" s="8" t="str">
        <f>IFERROR(__xludf.DUMMYFUNCTION("""COMPUTED_VALUE"""),"RFR")</f>
        <v>RFR</v>
      </c>
      <c r="E277" s="8" t="str">
        <f>IFERROR(__xludf.DUMMYFUNCTION("""COMPUTED_VALUE"""),"SAT+THU")</f>
        <v>SAT+THU</v>
      </c>
      <c r="F277" s="8" t="str">
        <f>IFERROR(__xludf.DUMMYFUNCTION("""COMPUTED_VALUE"""),"12:30 PM")</f>
        <v>12:30 PM</v>
      </c>
      <c r="G277" s="9" t="str">
        <f>IFERROR(__xludf.DUMMYFUNCTION("""COMPUTED_VALUE"""),"09A-02C")</f>
        <v>09A-02C</v>
      </c>
      <c r="H277" s="8"/>
      <c r="I277" s="8"/>
      <c r="J277" s="8"/>
      <c r="K277" s="8"/>
      <c r="L277" s="8"/>
      <c r="M277" s="10" t="str">
        <f>IFERROR(VLOOKUP(D277,FacultyList!B:G,6,FALSE),"")</f>
        <v>rifat.rahman@bracu.ac.bd</v>
      </c>
    </row>
    <row r="278">
      <c r="A278" s="5" t="str">
        <f>IFERROR(__xludf.DUMMYFUNCTION("""COMPUTED_VALUE"""),"CSE331-18")</f>
        <v>CSE331-18</v>
      </c>
      <c r="B278" s="8"/>
      <c r="C278" s="8"/>
      <c r="D278" s="8" t="str">
        <f>IFERROR(__xludf.DUMMYFUNCTION("""COMPUTED_VALUE"""),"TNF")</f>
        <v>TNF</v>
      </c>
      <c r="E278" s="8" t="str">
        <f>IFERROR(__xludf.DUMMYFUNCTION("""COMPUTED_VALUE"""),"MON+WED")</f>
        <v>MON+WED</v>
      </c>
      <c r="F278" s="8" t="str">
        <f>IFERROR(__xludf.DUMMYFUNCTION("""COMPUTED_VALUE"""),"12:30 PM")</f>
        <v>12:30 PM</v>
      </c>
      <c r="G278" s="9" t="str">
        <f>IFERROR(__xludf.DUMMYFUNCTION("""COMPUTED_VALUE"""),"09A-07C")</f>
        <v>09A-07C</v>
      </c>
      <c r="H278" s="8"/>
      <c r="I278" s="8"/>
      <c r="J278" s="8"/>
      <c r="K278" s="8"/>
      <c r="L278" s="8"/>
      <c r="M278" s="10" t="str">
        <f>IFERROR(VLOOKUP(D278,FacultyList!B:G,6,FALSE),"")</f>
        <v>tanhiat.fatema@bracu.ac.bd</v>
      </c>
    </row>
    <row r="279">
      <c r="A279" s="5" t="str">
        <f>IFERROR(__xludf.DUMMYFUNCTION("""COMPUTED_VALUE"""),"CSE331-19")</f>
        <v>CSE331-19</v>
      </c>
      <c r="B279" s="8"/>
      <c r="C279" s="8"/>
      <c r="D279" s="8" t="str">
        <f>IFERROR(__xludf.DUMMYFUNCTION("""COMPUTED_VALUE"""),"MLH")</f>
        <v>MLH</v>
      </c>
      <c r="E279" s="8" t="str">
        <f>IFERROR(__xludf.DUMMYFUNCTION("""COMPUTED_VALUE"""),"SAT+THU")</f>
        <v>SAT+THU</v>
      </c>
      <c r="F279" s="8" t="str">
        <f>IFERROR(__xludf.DUMMYFUNCTION("""COMPUTED_VALUE"""),"3:30 PM")</f>
        <v>3:30 PM</v>
      </c>
      <c r="G279" s="9" t="str">
        <f>IFERROR(__xludf.DUMMYFUNCTION("""COMPUTED_VALUE"""),"09H-32C")</f>
        <v>09H-32C</v>
      </c>
      <c r="H279" s="8"/>
      <c r="I279" s="8"/>
      <c r="J279" s="8"/>
      <c r="K279" s="8"/>
      <c r="L279" s="8"/>
      <c r="M279" s="10" t="str">
        <f>IFERROR(VLOOKUP(D279,FacultyList!B:G,6,FALSE),"")</f>
        <v>ext.monirul.haque@bracu.ac.bd</v>
      </c>
    </row>
    <row r="280">
      <c r="A280" s="5" t="str">
        <f>IFERROR(__xludf.DUMMYFUNCTION("""COMPUTED_VALUE"""),"CSE340-01")</f>
        <v>CSE340-01</v>
      </c>
      <c r="B280" s="8" t="str">
        <f>IFERROR(__xludf.DUMMYFUNCTION("""COMPUTED_VALUE"""),"EEE410")</f>
        <v>EEE410</v>
      </c>
      <c r="C280" s="8"/>
      <c r="D280" s="8" t="str">
        <f>IFERROR(__xludf.DUMMYFUNCTION("""COMPUTED_VALUE"""),"ACH")</f>
        <v>ACH</v>
      </c>
      <c r="E280" s="8" t="str">
        <f>IFERROR(__xludf.DUMMYFUNCTION("""COMPUTED_VALUE"""),"SUN+TUE")</f>
        <v>SUN+TUE</v>
      </c>
      <c r="F280" s="8" t="str">
        <f>IFERROR(__xludf.DUMMYFUNCTION("""COMPUTED_VALUE"""),"9:30 AM")</f>
        <v>9:30 AM</v>
      </c>
      <c r="G280" s="9" t="str">
        <f>IFERROR(__xludf.DUMMYFUNCTION("""COMPUTED_VALUE"""),"09E-20T")</f>
        <v>09E-20T</v>
      </c>
      <c r="H280" s="8"/>
      <c r="I280" s="8"/>
      <c r="J280" s="8"/>
      <c r="K280" s="8"/>
      <c r="L280" s="8"/>
      <c r="M280" s="10" t="str">
        <f>IFERROR(VLOOKUP(D280,FacultyList!B:G,6,FALSE),"")</f>
        <v>amitabha@bracu.ac.bd</v>
      </c>
    </row>
    <row r="281">
      <c r="A281" s="5" t="str">
        <f>IFERROR(__xludf.DUMMYFUNCTION("""COMPUTED_VALUE"""),"CSE340-01")</f>
        <v>CSE340-01</v>
      </c>
      <c r="B281" s="8" t="str">
        <f>IFERROR(__xludf.DUMMYFUNCTION("""COMPUTED_VALUE"""),"EEE410")</f>
        <v>EEE410</v>
      </c>
      <c r="C281" s="8"/>
      <c r="D281" s="8" t="str">
        <f>IFERROR(__xludf.DUMMYFUNCTION("""COMPUTED_VALUE"""),"MTSM")</f>
        <v>MTSM</v>
      </c>
      <c r="E281" s="8" t="str">
        <f>IFERROR(__xludf.DUMMYFUNCTION("""COMPUTED_VALUE"""),"SUN+TUE")</f>
        <v>SUN+TUE</v>
      </c>
      <c r="F281" s="8" t="str">
        <f>IFERROR(__xludf.DUMMYFUNCTION("""COMPUTED_VALUE"""),"9:30 AM")</f>
        <v>9:30 AM</v>
      </c>
      <c r="G281" s="9" t="str">
        <f>IFERROR(__xludf.DUMMYFUNCTION("""COMPUTED_VALUE"""),"09E-20T")</f>
        <v>09E-20T</v>
      </c>
      <c r="H281" s="8"/>
      <c r="I281" s="8"/>
      <c r="J281" s="8"/>
      <c r="K281" s="8"/>
      <c r="L281" s="8"/>
      <c r="M281" s="10" t="str">
        <f>IFERROR(VLOOKUP(D281,FacultyList!B:G,6,FALSE),"")</f>
        <v>muhtasim.mahmud@bracu.ac.bd</v>
      </c>
    </row>
    <row r="282">
      <c r="A282" s="5" t="str">
        <f>IFERROR(__xludf.DUMMYFUNCTION("""COMPUTED_VALUE"""),"CSE340-02")</f>
        <v>CSE340-02</v>
      </c>
      <c r="B282" s="8" t="str">
        <f>IFERROR(__xludf.DUMMYFUNCTION("""COMPUTED_VALUE"""),"EEE410")</f>
        <v>EEE410</v>
      </c>
      <c r="C282" s="8"/>
      <c r="D282" s="8" t="str">
        <f>IFERROR(__xludf.DUMMYFUNCTION("""COMPUTED_VALUE"""),"ACH")</f>
        <v>ACH</v>
      </c>
      <c r="E282" s="8" t="str">
        <f>IFERROR(__xludf.DUMMYFUNCTION("""COMPUTED_VALUE"""),"SUN+TUE")</f>
        <v>SUN+TUE</v>
      </c>
      <c r="F282" s="8" t="str">
        <f>IFERROR(__xludf.DUMMYFUNCTION("""COMPUTED_VALUE"""),"9:30 AM")</f>
        <v>9:30 AM</v>
      </c>
      <c r="G282" s="9" t="str">
        <f>IFERROR(__xludf.DUMMYFUNCTION("""COMPUTED_VALUE"""),"09E-20T")</f>
        <v>09E-20T</v>
      </c>
      <c r="H282" s="8"/>
      <c r="I282" s="8"/>
      <c r="J282" s="8"/>
      <c r="K282" s="8"/>
      <c r="L282" s="8"/>
      <c r="M282" s="10" t="str">
        <f>IFERROR(VLOOKUP(D282,FacultyList!B:G,6,FALSE),"")</f>
        <v>amitabha@bracu.ac.bd</v>
      </c>
    </row>
    <row r="283">
      <c r="A283" s="5" t="str">
        <f>IFERROR(__xludf.DUMMYFUNCTION("""COMPUTED_VALUE"""),"CSE340-02")</f>
        <v>CSE340-02</v>
      </c>
      <c r="B283" s="8" t="str">
        <f>IFERROR(__xludf.DUMMYFUNCTION("""COMPUTED_VALUE"""),"EEE410")</f>
        <v>EEE410</v>
      </c>
      <c r="C283" s="8"/>
      <c r="D283" s="8" t="str">
        <f>IFERROR(__xludf.DUMMYFUNCTION("""COMPUTED_VALUE"""),"MTSM")</f>
        <v>MTSM</v>
      </c>
      <c r="E283" s="8" t="str">
        <f>IFERROR(__xludf.DUMMYFUNCTION("""COMPUTED_VALUE"""),"SUN+TUE")</f>
        <v>SUN+TUE</v>
      </c>
      <c r="F283" s="8" t="str">
        <f>IFERROR(__xludf.DUMMYFUNCTION("""COMPUTED_VALUE"""),"9:30 AM")</f>
        <v>9:30 AM</v>
      </c>
      <c r="G283" s="9" t="str">
        <f>IFERROR(__xludf.DUMMYFUNCTION("""COMPUTED_VALUE"""),"09E-20T")</f>
        <v>09E-20T</v>
      </c>
      <c r="H283" s="8"/>
      <c r="I283" s="8"/>
      <c r="J283" s="8"/>
      <c r="K283" s="8"/>
      <c r="L283" s="8"/>
      <c r="M283" s="10" t="str">
        <f>IFERROR(VLOOKUP(D283,FacultyList!B:G,6,FALSE),"")</f>
        <v>muhtasim.mahmud@bracu.ac.bd</v>
      </c>
    </row>
    <row r="284">
      <c r="A284" s="5" t="str">
        <f>IFERROR(__xludf.DUMMYFUNCTION("""COMPUTED_VALUE"""),"CSE340-03")</f>
        <v>CSE340-03</v>
      </c>
      <c r="B284" s="8" t="str">
        <f>IFERROR(__xludf.DUMMYFUNCTION("""COMPUTED_VALUE"""),"EEE410")</f>
        <v>EEE410</v>
      </c>
      <c r="C284" s="8"/>
      <c r="D284" s="8" t="str">
        <f>IFERROR(__xludf.DUMMYFUNCTION("""COMPUTED_VALUE"""),"ACH")</f>
        <v>ACH</v>
      </c>
      <c r="E284" s="8" t="str">
        <f>IFERROR(__xludf.DUMMYFUNCTION("""COMPUTED_VALUE"""),"SUN+TUE")</f>
        <v>SUN+TUE</v>
      </c>
      <c r="F284" s="8" t="str">
        <f>IFERROR(__xludf.DUMMYFUNCTION("""COMPUTED_VALUE"""),"9:30 AM")</f>
        <v>9:30 AM</v>
      </c>
      <c r="G284" s="9" t="str">
        <f>IFERROR(__xludf.DUMMYFUNCTION("""COMPUTED_VALUE"""),"09E-20T")</f>
        <v>09E-20T</v>
      </c>
      <c r="H284" s="8"/>
      <c r="I284" s="8"/>
      <c r="J284" s="8"/>
      <c r="K284" s="8"/>
      <c r="L284" s="8"/>
      <c r="M284" s="10" t="str">
        <f>IFERROR(VLOOKUP(D284,FacultyList!B:G,6,FALSE),"")</f>
        <v>amitabha@bracu.ac.bd</v>
      </c>
    </row>
    <row r="285">
      <c r="A285" s="5" t="str">
        <f>IFERROR(__xludf.DUMMYFUNCTION("""COMPUTED_VALUE"""),"CSE340-03")</f>
        <v>CSE340-03</v>
      </c>
      <c r="B285" s="8" t="str">
        <f>IFERROR(__xludf.DUMMYFUNCTION("""COMPUTED_VALUE"""),"EEE410")</f>
        <v>EEE410</v>
      </c>
      <c r="C285" s="8"/>
      <c r="D285" s="8" t="str">
        <f>IFERROR(__xludf.DUMMYFUNCTION("""COMPUTED_VALUE"""),"MTSM")</f>
        <v>MTSM</v>
      </c>
      <c r="E285" s="8" t="str">
        <f>IFERROR(__xludf.DUMMYFUNCTION("""COMPUTED_VALUE"""),"SUN+TUE")</f>
        <v>SUN+TUE</v>
      </c>
      <c r="F285" s="8" t="str">
        <f>IFERROR(__xludf.DUMMYFUNCTION("""COMPUTED_VALUE"""),"9:30 AM")</f>
        <v>9:30 AM</v>
      </c>
      <c r="G285" s="9" t="str">
        <f>IFERROR(__xludf.DUMMYFUNCTION("""COMPUTED_VALUE"""),"09E-20T")</f>
        <v>09E-20T</v>
      </c>
      <c r="H285" s="8"/>
      <c r="I285" s="8"/>
      <c r="J285" s="8"/>
      <c r="K285" s="8"/>
      <c r="L285" s="8"/>
      <c r="M285" s="10" t="str">
        <f>IFERROR(VLOOKUP(D285,FacultyList!B:G,6,FALSE),"")</f>
        <v>muhtasim.mahmud@bracu.ac.bd</v>
      </c>
    </row>
    <row r="286">
      <c r="A286" s="5" t="str">
        <f>IFERROR(__xludf.DUMMYFUNCTION("""COMPUTED_VALUE"""),"CSE340-04")</f>
        <v>CSE340-04</v>
      </c>
      <c r="B286" s="8" t="str">
        <f>IFERROR(__xludf.DUMMYFUNCTION("""COMPUTED_VALUE"""),"EEE410")</f>
        <v>EEE410</v>
      </c>
      <c r="C286" s="8"/>
      <c r="D286" s="8" t="str">
        <f>IFERROR(__xludf.DUMMYFUNCTION("""COMPUTED_VALUE"""),"PBK")</f>
        <v>PBK</v>
      </c>
      <c r="E286" s="8" t="str">
        <f>IFERROR(__xludf.DUMMYFUNCTION("""COMPUTED_VALUE"""),"SAT+THU")</f>
        <v>SAT+THU</v>
      </c>
      <c r="F286" s="8" t="str">
        <f>IFERROR(__xludf.DUMMYFUNCTION("""COMPUTED_VALUE"""),"8:00 AM")</f>
        <v>8:00 AM</v>
      </c>
      <c r="G286" s="9" t="str">
        <f>IFERROR(__xludf.DUMMYFUNCTION("""COMPUTED_VALUE"""),"09A-04C")</f>
        <v>09A-04C</v>
      </c>
      <c r="H286" s="8"/>
      <c r="I286" s="8"/>
      <c r="J286" s="8"/>
      <c r="K286" s="8"/>
      <c r="L286" s="8"/>
      <c r="M286" s="10" t="str">
        <f>IFERROR(VLOOKUP(D286,FacultyList!B:G,6,FALSE),"")</f>
        <v>partha.bhoumik@bracu.ac.bd</v>
      </c>
    </row>
    <row r="287">
      <c r="A287" s="5" t="str">
        <f>IFERROR(__xludf.DUMMYFUNCTION("""COMPUTED_VALUE"""),"CSE340-05")</f>
        <v>CSE340-05</v>
      </c>
      <c r="B287" s="8" t="str">
        <f>IFERROR(__xludf.DUMMYFUNCTION("""COMPUTED_VALUE"""),"EEE410")</f>
        <v>EEE410</v>
      </c>
      <c r="C287" s="8"/>
      <c r="D287" s="8" t="str">
        <f>IFERROR(__xludf.DUMMYFUNCTION("""COMPUTED_VALUE"""),"PBK")</f>
        <v>PBK</v>
      </c>
      <c r="E287" s="8" t="str">
        <f>IFERROR(__xludf.DUMMYFUNCTION("""COMPUTED_VALUE"""),"SAT+THU")</f>
        <v>SAT+THU</v>
      </c>
      <c r="F287" s="8" t="str">
        <f>IFERROR(__xludf.DUMMYFUNCTION("""COMPUTED_VALUE"""),"9:30 AM")</f>
        <v>9:30 AM</v>
      </c>
      <c r="G287" s="9" t="str">
        <f>IFERROR(__xludf.DUMMYFUNCTION("""COMPUTED_VALUE"""),"09A-04C")</f>
        <v>09A-04C</v>
      </c>
      <c r="H287" s="8"/>
      <c r="I287" s="8"/>
      <c r="J287" s="8"/>
      <c r="K287" s="8"/>
      <c r="L287" s="8"/>
      <c r="M287" s="10" t="str">
        <f>IFERROR(VLOOKUP(D287,FacultyList!B:G,6,FALSE),"")</f>
        <v>partha.bhoumik@bracu.ac.bd</v>
      </c>
    </row>
    <row r="288">
      <c r="A288" s="5" t="str">
        <f>IFERROR(__xludf.DUMMYFUNCTION("""COMPUTED_VALUE"""),"CSE340-06")</f>
        <v>CSE340-06</v>
      </c>
      <c r="B288" s="8" t="str">
        <f>IFERROR(__xludf.DUMMYFUNCTION("""COMPUTED_VALUE"""),"EEE410")</f>
        <v>EEE410</v>
      </c>
      <c r="C288" s="8"/>
      <c r="D288" s="8" t="str">
        <f>IFERROR(__xludf.DUMMYFUNCTION("""COMPUTED_VALUE"""),"RDW")</f>
        <v>RDW</v>
      </c>
      <c r="E288" s="8" t="str">
        <f>IFERROR(__xludf.DUMMYFUNCTION("""COMPUTED_VALUE"""),"MON+WED")</f>
        <v>MON+WED</v>
      </c>
      <c r="F288" s="8" t="str">
        <f>IFERROR(__xludf.DUMMYFUNCTION("""COMPUTED_VALUE"""),"8:00 AM")</f>
        <v>8:00 AM</v>
      </c>
      <c r="G288" s="9" t="str">
        <f>IFERROR(__xludf.DUMMYFUNCTION("""COMPUTED_VALUE"""),"09D-18C")</f>
        <v>09D-18C</v>
      </c>
      <c r="H288" s="8"/>
      <c r="I288" s="8"/>
      <c r="J288" s="8"/>
      <c r="K288" s="8"/>
      <c r="L288" s="8"/>
      <c r="M288" s="10" t="str">
        <f>IFERROR(VLOOKUP(D288,FacultyList!B:G,6,FALSE),"")</f>
        <v>redowanul.akbar@bracu.ac.bd</v>
      </c>
    </row>
    <row r="289">
      <c r="A289" s="5" t="str">
        <f>IFERROR(__xludf.DUMMYFUNCTION("""COMPUTED_VALUE"""),"CSE340-07")</f>
        <v>CSE340-07</v>
      </c>
      <c r="B289" s="8" t="str">
        <f>IFERROR(__xludf.DUMMYFUNCTION("""COMPUTED_VALUE"""),"EEE410")</f>
        <v>EEE410</v>
      </c>
      <c r="C289" s="8"/>
      <c r="D289" s="8" t="str">
        <f>IFERROR(__xludf.DUMMYFUNCTION("""COMPUTED_VALUE"""),"RDW")</f>
        <v>RDW</v>
      </c>
      <c r="E289" s="8" t="str">
        <f>IFERROR(__xludf.DUMMYFUNCTION("""COMPUTED_VALUE"""),"MON+WED")</f>
        <v>MON+WED</v>
      </c>
      <c r="F289" s="8" t="str">
        <f>IFERROR(__xludf.DUMMYFUNCTION("""COMPUTED_VALUE"""),"9:30 AM")</f>
        <v>9:30 AM</v>
      </c>
      <c r="G289" s="9" t="str">
        <f>IFERROR(__xludf.DUMMYFUNCTION("""COMPUTED_VALUE"""),"09D-18C")</f>
        <v>09D-18C</v>
      </c>
      <c r="H289" s="8"/>
      <c r="I289" s="8"/>
      <c r="J289" s="8"/>
      <c r="K289" s="8"/>
      <c r="L289" s="8"/>
      <c r="M289" s="10" t="str">
        <f>IFERROR(VLOOKUP(D289,FacultyList!B:G,6,FALSE),"")</f>
        <v>redowanul.akbar@bracu.ac.bd</v>
      </c>
    </row>
    <row r="290">
      <c r="A290" s="5" t="str">
        <f>IFERROR(__xludf.DUMMYFUNCTION("""COMPUTED_VALUE"""),"CSE340-08")</f>
        <v>CSE340-08</v>
      </c>
      <c r="B290" s="8" t="str">
        <f>IFERROR(__xludf.DUMMYFUNCTION("""COMPUTED_VALUE"""),"EEE410")</f>
        <v>EEE410</v>
      </c>
      <c r="C290" s="8"/>
      <c r="D290" s="8" t="str">
        <f>IFERROR(__xludf.DUMMYFUNCTION("""COMPUTED_VALUE"""),"RDW")</f>
        <v>RDW</v>
      </c>
      <c r="E290" s="8" t="str">
        <f>IFERROR(__xludf.DUMMYFUNCTION("""COMPUTED_VALUE"""),"SUN+TUE")</f>
        <v>SUN+TUE</v>
      </c>
      <c r="F290" s="8" t="str">
        <f>IFERROR(__xludf.DUMMYFUNCTION("""COMPUTED_VALUE"""),"8:00 AM")</f>
        <v>8:00 AM</v>
      </c>
      <c r="G290" s="9" t="str">
        <f>IFERROR(__xludf.DUMMYFUNCTION("""COMPUTED_VALUE"""),"09H-34C")</f>
        <v>09H-34C</v>
      </c>
      <c r="H290" s="8"/>
      <c r="I290" s="8"/>
      <c r="J290" s="8"/>
      <c r="K290" s="8"/>
      <c r="L290" s="8"/>
      <c r="M290" s="10" t="str">
        <f>IFERROR(VLOOKUP(D290,FacultyList!B:G,6,FALSE),"")</f>
        <v>redowanul.akbar@bracu.ac.bd</v>
      </c>
    </row>
    <row r="291">
      <c r="A291" s="5" t="str">
        <f>IFERROR(__xludf.DUMMYFUNCTION("""COMPUTED_VALUE"""),"CSE340-09")</f>
        <v>CSE340-09</v>
      </c>
      <c r="B291" s="8" t="str">
        <f>IFERROR(__xludf.DUMMYFUNCTION("""COMPUTED_VALUE"""),"EEE410")</f>
        <v>EEE410</v>
      </c>
      <c r="C291" s="8"/>
      <c r="D291" s="8" t="str">
        <f>IFERROR(__xludf.DUMMYFUNCTION("""COMPUTED_VALUE"""),"SWV")</f>
        <v>SWV</v>
      </c>
      <c r="E291" s="8" t="str">
        <f>IFERROR(__xludf.DUMMYFUNCTION("""COMPUTED_VALUE"""),"MON+WED")</f>
        <v>MON+WED</v>
      </c>
      <c r="F291" s="8" t="str">
        <f>IFERROR(__xludf.DUMMYFUNCTION("""COMPUTED_VALUE"""),"11:00 AM")</f>
        <v>11:00 AM</v>
      </c>
      <c r="G291" s="9" t="str">
        <f>IFERROR(__xludf.DUMMYFUNCTION("""COMPUTED_VALUE"""),"09B-12C")</f>
        <v>09B-12C</v>
      </c>
      <c r="H291" s="8"/>
      <c r="I291" s="8"/>
      <c r="J291" s="8"/>
      <c r="K291" s="8"/>
      <c r="L291" s="8"/>
      <c r="M291" s="10" t="str">
        <f>IFERROR(VLOOKUP(D291,FacultyList!B:G,6,FALSE),"")</f>
        <v>showvik.biswas@bracu.ac.bd</v>
      </c>
    </row>
    <row r="292">
      <c r="A292" s="5" t="str">
        <f>IFERROR(__xludf.DUMMYFUNCTION("""COMPUTED_VALUE"""),"CSE340-10")</f>
        <v>CSE340-10</v>
      </c>
      <c r="B292" s="8" t="str">
        <f>IFERROR(__xludf.DUMMYFUNCTION("""COMPUTED_VALUE"""),"EEE410")</f>
        <v>EEE410</v>
      </c>
      <c r="C292" s="8"/>
      <c r="D292" s="8" t="str">
        <f>IFERROR(__xludf.DUMMYFUNCTION("""COMPUTED_VALUE"""),"SWV")</f>
        <v>SWV</v>
      </c>
      <c r="E292" s="8" t="str">
        <f>IFERROR(__xludf.DUMMYFUNCTION("""COMPUTED_VALUE"""),"MON+WED")</f>
        <v>MON+WED</v>
      </c>
      <c r="F292" s="8" t="str">
        <f>IFERROR(__xludf.DUMMYFUNCTION("""COMPUTED_VALUE"""),"12:30 PM")</f>
        <v>12:30 PM</v>
      </c>
      <c r="G292" s="9" t="str">
        <f>IFERROR(__xludf.DUMMYFUNCTION("""COMPUTED_VALUE"""),"09B-12C")</f>
        <v>09B-12C</v>
      </c>
      <c r="H292" s="8"/>
      <c r="I292" s="8"/>
      <c r="J292" s="8"/>
      <c r="K292" s="8"/>
      <c r="L292" s="8"/>
      <c r="M292" s="10" t="str">
        <f>IFERROR(VLOOKUP(D292,FacultyList!B:G,6,FALSE),"")</f>
        <v>showvik.biswas@bracu.ac.bd</v>
      </c>
    </row>
    <row r="293">
      <c r="A293" s="5" t="str">
        <f>IFERROR(__xludf.DUMMYFUNCTION("""COMPUTED_VALUE"""),"CSE340-11")</f>
        <v>CSE340-11</v>
      </c>
      <c r="B293" s="8" t="str">
        <f>IFERROR(__xludf.DUMMYFUNCTION("""COMPUTED_VALUE"""),"EEE410")</f>
        <v>EEE410</v>
      </c>
      <c r="C293" s="8"/>
      <c r="D293" s="8" t="str">
        <f>IFERROR(__xludf.DUMMYFUNCTION("""COMPUTED_VALUE"""),"LRK")</f>
        <v>LRK</v>
      </c>
      <c r="E293" s="8" t="str">
        <f>IFERROR(__xludf.DUMMYFUNCTION("""COMPUTED_VALUE"""),"SUN+TUE")</f>
        <v>SUN+TUE</v>
      </c>
      <c r="F293" s="8" t="str">
        <f>IFERROR(__xludf.DUMMYFUNCTION("""COMPUTED_VALUE"""),"11:00 AM")</f>
        <v>11:00 AM</v>
      </c>
      <c r="G293" s="9" t="str">
        <f>IFERROR(__xludf.DUMMYFUNCTION("""COMPUTED_VALUE"""),"09C-13C")</f>
        <v>09C-13C</v>
      </c>
      <c r="H293" s="8"/>
      <c r="I293" s="8"/>
      <c r="J293" s="8"/>
      <c r="K293" s="8"/>
      <c r="L293" s="8"/>
      <c r="M293" s="10" t="str">
        <f>IFERROR(VLOOKUP(D293,FacultyList!B:G,6,FALSE),"")</f>
        <v>lara.khanom@bracu.ac.bd</v>
      </c>
    </row>
    <row r="294">
      <c r="A294" s="5" t="str">
        <f>IFERROR(__xludf.DUMMYFUNCTION("""COMPUTED_VALUE"""),"CSE340-12")</f>
        <v>CSE340-12</v>
      </c>
      <c r="B294" s="8" t="str">
        <f>IFERROR(__xludf.DUMMYFUNCTION("""COMPUTED_VALUE"""),"EEE410")</f>
        <v>EEE410</v>
      </c>
      <c r="C294" s="8"/>
      <c r="D294" s="8" t="str">
        <f>IFERROR(__xludf.DUMMYFUNCTION("""COMPUTED_VALUE"""),"LRK")</f>
        <v>LRK</v>
      </c>
      <c r="E294" s="8" t="str">
        <f>IFERROR(__xludf.DUMMYFUNCTION("""COMPUTED_VALUE"""),"SUN+TUE")</f>
        <v>SUN+TUE</v>
      </c>
      <c r="F294" s="8" t="str">
        <f>IFERROR(__xludf.DUMMYFUNCTION("""COMPUTED_VALUE"""),"12:30 PM")</f>
        <v>12:30 PM</v>
      </c>
      <c r="G294" s="9" t="str">
        <f>IFERROR(__xludf.DUMMYFUNCTION("""COMPUTED_VALUE"""),"09C-13C")</f>
        <v>09C-13C</v>
      </c>
      <c r="H294" s="8"/>
      <c r="I294" s="8"/>
      <c r="J294" s="8"/>
      <c r="K294" s="8"/>
      <c r="L294" s="8"/>
      <c r="M294" s="10" t="str">
        <f>IFERROR(VLOOKUP(D294,FacultyList!B:G,6,FALSE),"")</f>
        <v>lara.khanom@bracu.ac.bd</v>
      </c>
    </row>
    <row r="295">
      <c r="A295" s="5" t="str">
        <f>IFERROR(__xludf.DUMMYFUNCTION("""COMPUTED_VALUE"""),"CSE340-13")</f>
        <v>CSE340-13</v>
      </c>
      <c r="B295" s="8" t="str">
        <f>IFERROR(__xludf.DUMMYFUNCTION("""COMPUTED_VALUE"""),"EEE410")</f>
        <v>EEE410</v>
      </c>
      <c r="C295" s="8"/>
      <c r="D295" s="8" t="str">
        <f>IFERROR(__xludf.DUMMYFUNCTION("""COMPUTED_VALUE"""),"MTSM")</f>
        <v>MTSM</v>
      </c>
      <c r="E295" s="8" t="str">
        <f>IFERROR(__xludf.DUMMYFUNCTION("""COMPUTED_VALUE"""),"SUN+TUE")</f>
        <v>SUN+TUE</v>
      </c>
      <c r="F295" s="8" t="str">
        <f>IFERROR(__xludf.DUMMYFUNCTION("""COMPUTED_VALUE"""),"9:30 AM")</f>
        <v>9:30 AM</v>
      </c>
      <c r="G295" s="9" t="str">
        <f>IFERROR(__xludf.DUMMYFUNCTION("""COMPUTED_VALUE"""),"09E-20T")</f>
        <v>09E-20T</v>
      </c>
      <c r="H295" s="8"/>
      <c r="I295" s="8"/>
      <c r="J295" s="8"/>
      <c r="K295" s="8"/>
      <c r="L295" s="8"/>
      <c r="M295" s="10" t="str">
        <f>IFERROR(VLOOKUP(D295,FacultyList!B:G,6,FALSE),"")</f>
        <v>muhtasim.mahmud@bracu.ac.bd</v>
      </c>
    </row>
    <row r="296">
      <c r="A296" s="5" t="str">
        <f>IFERROR(__xludf.DUMMYFUNCTION("""COMPUTED_VALUE"""),"CSE340-14")</f>
        <v>CSE340-14</v>
      </c>
      <c r="B296" s="8" t="str">
        <f>IFERROR(__xludf.DUMMYFUNCTION("""COMPUTED_VALUE"""),"EEE410")</f>
        <v>EEE410</v>
      </c>
      <c r="C296" s="8"/>
      <c r="D296" s="8" t="str">
        <f>IFERROR(__xludf.DUMMYFUNCTION("""COMPUTED_VALUE"""),"ZLNM")</f>
        <v>ZLNM</v>
      </c>
      <c r="E296" s="8" t="str">
        <f>IFERROR(__xludf.DUMMYFUNCTION("""COMPUTED_VALUE"""),"SUN+TUE")</f>
        <v>SUN+TUE</v>
      </c>
      <c r="F296" s="8" t="str">
        <f>IFERROR(__xludf.DUMMYFUNCTION("""COMPUTED_VALUE"""),"11:00 AM")</f>
        <v>11:00 AM</v>
      </c>
      <c r="G296" s="9" t="str">
        <f>IFERROR(__xludf.DUMMYFUNCTION("""COMPUTED_VALUE"""),"09A-06C")</f>
        <v>09A-06C</v>
      </c>
      <c r="H296" s="8"/>
      <c r="I296" s="8"/>
      <c r="J296" s="8"/>
      <c r="K296" s="8"/>
      <c r="L296" s="8"/>
      <c r="M296" s="10" t="str">
        <f>IFERROR(VLOOKUP(D296,FacultyList!B:G,6,FALSE),"")</f>
        <v>zulkar.naim@bracu.ac.bd</v>
      </c>
    </row>
    <row r="297">
      <c r="A297" s="5" t="str">
        <f>IFERROR(__xludf.DUMMYFUNCTION("""COMPUTED_VALUE"""),"CSE340-15")</f>
        <v>CSE340-15</v>
      </c>
      <c r="B297" s="8" t="str">
        <f>IFERROR(__xludf.DUMMYFUNCTION("""COMPUTED_VALUE"""),"EEE410")</f>
        <v>EEE410</v>
      </c>
      <c r="C297" s="8"/>
      <c r="D297" s="8" t="str">
        <f>IFERROR(__xludf.DUMMYFUNCTION("""COMPUTED_VALUE"""),"SVKG")</f>
        <v>SVKG</v>
      </c>
      <c r="E297" s="8" t="str">
        <f>IFERROR(__xludf.DUMMYFUNCTION("""COMPUTED_VALUE"""),"SUN+TUE")</f>
        <v>SUN+TUE</v>
      </c>
      <c r="F297" s="8" t="str">
        <f>IFERROR(__xludf.DUMMYFUNCTION("""COMPUTED_VALUE"""),"2:00 PM")</f>
        <v>2:00 PM</v>
      </c>
      <c r="G297" s="9" t="str">
        <f>IFERROR(__xludf.DUMMYFUNCTION("""COMPUTED_VALUE"""),"09A-02C")</f>
        <v>09A-02C</v>
      </c>
      <c r="H297" s="8"/>
      <c r="I297" s="8"/>
      <c r="J297" s="8"/>
      <c r="K297" s="8"/>
      <c r="L297" s="8"/>
      <c r="M297" s="10" t="str">
        <f>IFERROR(VLOOKUP(D297,FacultyList!B:G,6,FALSE),"")</f>
        <v>souvik.ghosh@bracu.ac.bd</v>
      </c>
    </row>
    <row r="298">
      <c r="A298" s="5" t="str">
        <f>IFERROR(__xludf.DUMMYFUNCTION("""COMPUTED_VALUE"""),"CSE340-16")</f>
        <v>CSE340-16</v>
      </c>
      <c r="B298" s="8" t="str">
        <f>IFERROR(__xludf.DUMMYFUNCTION("""COMPUTED_VALUE"""),"EEE410")</f>
        <v>EEE410</v>
      </c>
      <c r="C298" s="8"/>
      <c r="D298" s="8" t="str">
        <f>IFERROR(__xludf.DUMMYFUNCTION("""COMPUTED_VALUE"""),"SVKG")</f>
        <v>SVKG</v>
      </c>
      <c r="E298" s="8" t="str">
        <f>IFERROR(__xludf.DUMMYFUNCTION("""COMPUTED_VALUE"""),"SUN+TUE")</f>
        <v>SUN+TUE</v>
      </c>
      <c r="F298" s="8" t="str">
        <f>IFERROR(__xludf.DUMMYFUNCTION("""COMPUTED_VALUE"""),"3:30 PM")</f>
        <v>3:30 PM</v>
      </c>
      <c r="G298" s="9" t="str">
        <f>IFERROR(__xludf.DUMMYFUNCTION("""COMPUTED_VALUE"""),"09A-02C")</f>
        <v>09A-02C</v>
      </c>
      <c r="H298" s="8"/>
      <c r="I298" s="8"/>
      <c r="J298" s="8"/>
      <c r="K298" s="8"/>
      <c r="L298" s="8"/>
      <c r="M298" s="10" t="str">
        <f>IFERROR(VLOOKUP(D298,FacultyList!B:G,6,FALSE),"")</f>
        <v>souvik.ghosh@bracu.ac.bd</v>
      </c>
    </row>
    <row r="299">
      <c r="A299" s="5" t="str">
        <f>IFERROR(__xludf.DUMMYFUNCTION("""COMPUTED_VALUE"""),"CSE340-17")</f>
        <v>CSE340-17</v>
      </c>
      <c r="B299" s="8" t="str">
        <f>IFERROR(__xludf.DUMMYFUNCTION("""COMPUTED_VALUE"""),"EEE410")</f>
        <v>EEE410</v>
      </c>
      <c r="C299" s="8"/>
      <c r="D299" s="8" t="str">
        <f>IFERROR(__xludf.DUMMYFUNCTION("""COMPUTED_VALUE"""),"SADA")</f>
        <v>SADA</v>
      </c>
      <c r="E299" s="8" t="str">
        <f>IFERROR(__xludf.DUMMYFUNCTION("""COMPUTED_VALUE"""),"SAT+THU")</f>
        <v>SAT+THU</v>
      </c>
      <c r="F299" s="8" t="str">
        <f>IFERROR(__xludf.DUMMYFUNCTION("""COMPUTED_VALUE"""),"11:00 AM")</f>
        <v>11:00 AM</v>
      </c>
      <c r="G299" s="9" t="str">
        <f>IFERROR(__xludf.DUMMYFUNCTION("""COMPUTED_VALUE"""),"09A-05C")</f>
        <v>09A-05C</v>
      </c>
      <c r="H299" s="8"/>
      <c r="I299" s="8"/>
      <c r="J299" s="8"/>
      <c r="K299" s="8"/>
      <c r="L299" s="8"/>
      <c r="M299" s="10" t="str">
        <f>IFERROR(VLOOKUP(D299,FacultyList!B:G,6,FALSE),"")</f>
        <v>sadif.ahmed@bracu.ac.bd</v>
      </c>
    </row>
    <row r="300">
      <c r="A300" s="5" t="str">
        <f>IFERROR(__xludf.DUMMYFUNCTION("""COMPUTED_VALUE"""),"CSE340-18")</f>
        <v>CSE340-18</v>
      </c>
      <c r="B300" s="8" t="str">
        <f>IFERROR(__xludf.DUMMYFUNCTION("""COMPUTED_VALUE"""),"EEE410")</f>
        <v>EEE410</v>
      </c>
      <c r="C300" s="8"/>
      <c r="D300" s="8" t="str">
        <f>IFERROR(__xludf.DUMMYFUNCTION("""COMPUTED_VALUE"""),"SADA")</f>
        <v>SADA</v>
      </c>
      <c r="E300" s="8" t="str">
        <f>IFERROR(__xludf.DUMMYFUNCTION("""COMPUTED_VALUE"""),"SAT+THU")</f>
        <v>SAT+THU</v>
      </c>
      <c r="F300" s="8" t="str">
        <f>IFERROR(__xludf.DUMMYFUNCTION("""COMPUTED_VALUE"""),"12:30 PM")</f>
        <v>12:30 PM</v>
      </c>
      <c r="G300" s="9" t="str">
        <f>IFERROR(__xludf.DUMMYFUNCTION("""COMPUTED_VALUE"""),"09A-05C")</f>
        <v>09A-05C</v>
      </c>
      <c r="H300" s="8"/>
      <c r="I300" s="8"/>
      <c r="J300" s="8"/>
      <c r="K300" s="8"/>
      <c r="L300" s="8"/>
      <c r="M300" s="10" t="str">
        <f>IFERROR(VLOOKUP(D300,FacultyList!B:G,6,FALSE),"")</f>
        <v>sadif.ahmed@bracu.ac.bd</v>
      </c>
    </row>
    <row r="301">
      <c r="A301" s="5" t="str">
        <f>IFERROR(__xludf.DUMMYFUNCTION("""COMPUTED_VALUE"""),"CSE340-19")</f>
        <v>CSE340-19</v>
      </c>
      <c r="B301" s="8" t="str">
        <f>IFERROR(__xludf.DUMMYFUNCTION("""COMPUTED_VALUE"""),"EEE410")</f>
        <v>EEE410</v>
      </c>
      <c r="C301" s="8"/>
      <c r="D301" s="8" t="str">
        <f>IFERROR(__xludf.DUMMYFUNCTION("""COMPUTED_VALUE"""),"TWK")</f>
        <v>TWK</v>
      </c>
      <c r="E301" s="8" t="str">
        <f>IFERROR(__xludf.DUMMYFUNCTION("""COMPUTED_VALUE"""),"SUN+TUE")</f>
        <v>SUN+TUE</v>
      </c>
      <c r="F301" s="8" t="str">
        <f>IFERROR(__xludf.DUMMYFUNCTION("""COMPUTED_VALUE"""),"11:00 AM")</f>
        <v>11:00 AM</v>
      </c>
      <c r="G301" s="9" t="str">
        <f>IFERROR(__xludf.DUMMYFUNCTION("""COMPUTED_VALUE"""),"09A-02C")</f>
        <v>09A-02C</v>
      </c>
      <c r="H301" s="8"/>
      <c r="I301" s="8"/>
      <c r="J301" s="8"/>
      <c r="K301" s="8"/>
      <c r="L301" s="8"/>
      <c r="M301" s="10" t="str">
        <f>IFERROR(VLOOKUP(D301,FacultyList!B:G,6,FALSE),"")</f>
        <v>towshik.taj@bracu.ac.bd</v>
      </c>
    </row>
    <row r="302">
      <c r="A302" s="5" t="str">
        <f>IFERROR(__xludf.DUMMYFUNCTION("""COMPUTED_VALUE"""),"CSE340-20")</f>
        <v>CSE340-20</v>
      </c>
      <c r="B302" s="8" t="str">
        <f>IFERROR(__xludf.DUMMYFUNCTION("""COMPUTED_VALUE"""),"EEE410")</f>
        <v>EEE410</v>
      </c>
      <c r="C302" s="8"/>
      <c r="D302" s="8" t="str">
        <f>IFERROR(__xludf.DUMMYFUNCTION("""COMPUTED_VALUE"""),"MAO")</f>
        <v>MAO</v>
      </c>
      <c r="E302" s="8" t="str">
        <f>IFERROR(__xludf.DUMMYFUNCTION("""COMPUTED_VALUE"""),"SAT+THU")</f>
        <v>SAT+THU</v>
      </c>
      <c r="F302" s="8" t="str">
        <f>IFERROR(__xludf.DUMMYFUNCTION("""COMPUTED_VALUE"""),"9:30 AM")</f>
        <v>9:30 AM</v>
      </c>
      <c r="G302" s="9" t="str">
        <f>IFERROR(__xludf.DUMMYFUNCTION("""COMPUTED_VALUE"""),"08H-22C")</f>
        <v>08H-22C</v>
      </c>
      <c r="H302" s="8"/>
      <c r="I302" s="8"/>
      <c r="J302" s="8"/>
      <c r="K302" s="8"/>
      <c r="L302" s="8"/>
      <c r="M302" s="10" t="str">
        <f>IFERROR(VLOOKUP(D302,FacultyList!B:G,6,FALSE),"")</f>
        <v>mirza.abdullah@bracu.ac.bd</v>
      </c>
    </row>
    <row r="303">
      <c r="A303" s="5" t="str">
        <f>IFERROR(__xludf.DUMMYFUNCTION("""COMPUTED_VALUE"""),"CSE340-21")</f>
        <v>CSE340-21</v>
      </c>
      <c r="B303" s="8" t="str">
        <f>IFERROR(__xludf.DUMMYFUNCTION("""COMPUTED_VALUE"""),"EEE410")</f>
        <v>EEE410</v>
      </c>
      <c r="C303" s="8"/>
      <c r="D303" s="8" t="str">
        <f>IFERROR(__xludf.DUMMYFUNCTION("""COMPUTED_VALUE"""),"FARS")</f>
        <v>FARS</v>
      </c>
      <c r="E303" s="8" t="str">
        <f>IFERROR(__xludf.DUMMYFUNCTION("""COMPUTED_VALUE"""),"MON+WED")</f>
        <v>MON+WED</v>
      </c>
      <c r="F303" s="8" t="str">
        <f>IFERROR(__xludf.DUMMYFUNCTION("""COMPUTED_VALUE"""),"8:00 AM")</f>
        <v>8:00 AM</v>
      </c>
      <c r="G303" s="9" t="str">
        <f>IFERROR(__xludf.DUMMYFUNCTION("""COMPUTED_VALUE"""),"09B-12C")</f>
        <v>09B-12C</v>
      </c>
      <c r="H303" s="8"/>
      <c r="I303" s="8"/>
      <c r="J303" s="8"/>
      <c r="K303" s="8"/>
      <c r="L303" s="8"/>
      <c r="M303" s="10" t="str">
        <f>IFERROR(VLOOKUP(D303,FacultyList!B:G,6,FALSE),"")</f>
        <v>farhan.shahriar@bracu.ac.bd</v>
      </c>
    </row>
    <row r="304">
      <c r="A304" s="5" t="str">
        <f>IFERROR(__xludf.DUMMYFUNCTION("""COMPUTED_VALUE"""),"CSE340-22")</f>
        <v>CSE340-22</v>
      </c>
      <c r="B304" s="8" t="str">
        <f>IFERROR(__xludf.DUMMYFUNCTION("""COMPUTED_VALUE"""),"EEE410")</f>
        <v>EEE410</v>
      </c>
      <c r="C304" s="8"/>
      <c r="D304" s="8" t="str">
        <f>IFERROR(__xludf.DUMMYFUNCTION("""COMPUTED_VALUE"""),"FARS")</f>
        <v>FARS</v>
      </c>
      <c r="E304" s="8" t="str">
        <f>IFERROR(__xludf.DUMMYFUNCTION("""COMPUTED_VALUE"""),"MON+WED")</f>
        <v>MON+WED</v>
      </c>
      <c r="F304" s="8" t="str">
        <f>IFERROR(__xludf.DUMMYFUNCTION("""COMPUTED_VALUE"""),"9:30 AM")</f>
        <v>9:30 AM</v>
      </c>
      <c r="G304" s="9" t="str">
        <f>IFERROR(__xludf.DUMMYFUNCTION("""COMPUTED_VALUE"""),"09B-12C")</f>
        <v>09B-12C</v>
      </c>
      <c r="H304" s="8"/>
      <c r="I304" s="8"/>
      <c r="J304" s="8"/>
      <c r="K304" s="8"/>
      <c r="L304" s="8"/>
      <c r="M304" s="10" t="str">
        <f>IFERROR(VLOOKUP(D304,FacultyList!B:G,6,FALSE),"")</f>
        <v>farhan.shahriar@bracu.ac.bd</v>
      </c>
    </row>
    <row r="305">
      <c r="A305" s="5" t="str">
        <f>IFERROR(__xludf.DUMMYFUNCTION("""COMPUTED_VALUE"""),"CSE340-23")</f>
        <v>CSE340-23</v>
      </c>
      <c r="B305" s="8" t="str">
        <f>IFERROR(__xludf.DUMMYFUNCTION("""COMPUTED_VALUE"""),"EEE410")</f>
        <v>EEE410</v>
      </c>
      <c r="C305" s="8"/>
      <c r="D305" s="8" t="str">
        <f>IFERROR(__xludf.DUMMYFUNCTION("""COMPUTED_VALUE"""),"AFQ")</f>
        <v>AFQ</v>
      </c>
      <c r="E305" s="8" t="str">
        <f>IFERROR(__xludf.DUMMYFUNCTION("""COMPUTED_VALUE"""),"SAT+THU")</f>
        <v>SAT+THU</v>
      </c>
      <c r="F305" s="8" t="str">
        <f>IFERROR(__xludf.DUMMYFUNCTION("""COMPUTED_VALUE"""),"11:00 AM")</f>
        <v>11:00 AM</v>
      </c>
      <c r="G305" s="9" t="str">
        <f>IFERROR(__xludf.DUMMYFUNCTION("""COMPUTED_VALUE"""),"09H-35C")</f>
        <v>09H-35C</v>
      </c>
      <c r="H305" s="8"/>
      <c r="I305" s="8"/>
      <c r="J305" s="8"/>
      <c r="K305" s="8"/>
      <c r="L305" s="8"/>
      <c r="M305" s="10" t="str">
        <f>IFERROR(VLOOKUP(D305,FacultyList!B:G,6,FALSE),"")</f>
        <v>ashfaqul.haque@bracu.ac.bd</v>
      </c>
    </row>
    <row r="306">
      <c r="A306" s="5" t="str">
        <f>IFERROR(__xludf.DUMMYFUNCTION("""COMPUTED_VALUE"""),"CSE340-24")</f>
        <v>CSE340-24</v>
      </c>
      <c r="B306" s="8" t="str">
        <f>IFERROR(__xludf.DUMMYFUNCTION("""COMPUTED_VALUE"""),"EEE410")</f>
        <v>EEE410</v>
      </c>
      <c r="C306" s="8"/>
      <c r="D306" s="8" t="str">
        <f>IFERROR(__xludf.DUMMYFUNCTION("""COMPUTED_VALUE"""),"AFQ")</f>
        <v>AFQ</v>
      </c>
      <c r="E306" s="8" t="str">
        <f>IFERROR(__xludf.DUMMYFUNCTION("""COMPUTED_VALUE"""),"SAT+THU")</f>
        <v>SAT+THU</v>
      </c>
      <c r="F306" s="8" t="str">
        <f>IFERROR(__xludf.DUMMYFUNCTION("""COMPUTED_VALUE"""),"12:30 PM")</f>
        <v>12:30 PM</v>
      </c>
      <c r="G306" s="9" t="str">
        <f>IFERROR(__xludf.DUMMYFUNCTION("""COMPUTED_VALUE"""),"09H-35C")</f>
        <v>09H-35C</v>
      </c>
      <c r="H306" s="8"/>
      <c r="I306" s="8"/>
      <c r="J306" s="8"/>
      <c r="K306" s="8"/>
      <c r="L306" s="8"/>
      <c r="M306" s="10" t="str">
        <f>IFERROR(VLOOKUP(D306,FacultyList!B:G,6,FALSE),"")</f>
        <v>ashfaqul.haque@bracu.ac.bd</v>
      </c>
    </row>
    <row r="307">
      <c r="A307" s="5" t="str">
        <f>IFERROR(__xludf.DUMMYFUNCTION("""COMPUTED_VALUE"""),"CSE340-25")</f>
        <v>CSE340-25</v>
      </c>
      <c r="B307" s="8" t="str">
        <f>IFERROR(__xludf.DUMMYFUNCTION("""COMPUTED_VALUE"""),"EEE410")</f>
        <v>EEE410</v>
      </c>
      <c r="C307" s="8"/>
      <c r="D307" s="8" t="str">
        <f>IFERROR(__xludf.DUMMYFUNCTION("""COMPUTED_VALUE"""),"AAF")</f>
        <v>AAF</v>
      </c>
      <c r="E307" s="8" t="str">
        <f>IFERROR(__xludf.DUMMYFUNCTION("""COMPUTED_VALUE"""),"SAT+THU")</f>
        <v>SAT+THU</v>
      </c>
      <c r="F307" s="8" t="str">
        <f>IFERROR(__xludf.DUMMYFUNCTION("""COMPUTED_VALUE"""),"11:00 AM")</f>
        <v>11:00 AM</v>
      </c>
      <c r="G307" s="9" t="str">
        <f>IFERROR(__xludf.DUMMYFUNCTION("""COMPUTED_VALUE"""),"09A-03C")</f>
        <v>09A-03C</v>
      </c>
      <c r="H307" s="8"/>
      <c r="I307" s="8"/>
      <c r="J307" s="8"/>
      <c r="K307" s="8"/>
      <c r="L307" s="8"/>
      <c r="M307" s="10" t="str">
        <f>IFERROR(VLOOKUP(D307,FacultyList!B:G,6,FALSE),"")</f>
        <v>ext.anika.afrin@bracu.ac.bd</v>
      </c>
    </row>
    <row r="308">
      <c r="A308" s="5" t="str">
        <f>IFERROR(__xludf.DUMMYFUNCTION("""COMPUTED_VALUE"""),"CSE340-26")</f>
        <v>CSE340-26</v>
      </c>
      <c r="B308" s="8" t="str">
        <f>IFERROR(__xludf.DUMMYFUNCTION("""COMPUTED_VALUE"""),"EEE410")</f>
        <v>EEE410</v>
      </c>
      <c r="C308" s="8"/>
      <c r="D308" s="8" t="str">
        <f>IFERROR(__xludf.DUMMYFUNCTION("""COMPUTED_VALUE"""),"SMYA")</f>
        <v>SMYA</v>
      </c>
      <c r="E308" s="8" t="str">
        <f>IFERROR(__xludf.DUMMYFUNCTION("""COMPUTED_VALUE"""),"SAT+THU")</f>
        <v>SAT+THU</v>
      </c>
      <c r="F308" s="8" t="str">
        <f>IFERROR(__xludf.DUMMYFUNCTION("""COMPUTED_VALUE"""),"11:00 AM")</f>
        <v>11:00 AM</v>
      </c>
      <c r="G308" s="9" t="str">
        <f>IFERROR(__xludf.DUMMYFUNCTION("""COMPUTED_VALUE"""),"10B-15C")</f>
        <v>10B-15C</v>
      </c>
      <c r="H308" s="8"/>
      <c r="I308" s="8"/>
      <c r="J308" s="8"/>
      <c r="K308" s="8"/>
      <c r="L308" s="8"/>
      <c r="M308" s="10" t="str">
        <f>IFERROR(VLOOKUP(D308,FacultyList!B:G,6,FALSE),"")</f>
        <v>sumaiya@bracu.ac.bd</v>
      </c>
    </row>
    <row r="309">
      <c r="A309" s="5" t="str">
        <f>IFERROR(__xludf.DUMMYFUNCTION("""COMPUTED_VALUE"""),"CSE340-27")</f>
        <v>CSE340-27</v>
      </c>
      <c r="B309" s="8" t="str">
        <f>IFERROR(__xludf.DUMMYFUNCTION("""COMPUTED_VALUE"""),"EEE410")</f>
        <v>EEE410</v>
      </c>
      <c r="C309" s="8"/>
      <c r="D309" s="8" t="str">
        <f>IFERROR(__xludf.DUMMYFUNCTION("""COMPUTED_VALUE"""),"TNMF")</f>
        <v>TNMF</v>
      </c>
      <c r="E309" s="8" t="str">
        <f>IFERROR(__xludf.DUMMYFUNCTION("""COMPUTED_VALUE"""),"MON+WED")</f>
        <v>MON+WED</v>
      </c>
      <c r="F309" s="8" t="str">
        <f>IFERROR(__xludf.DUMMYFUNCTION("""COMPUTED_VALUE"""),"8:00 AM")</f>
        <v>8:00 AM</v>
      </c>
      <c r="G309" s="9" t="str">
        <f>IFERROR(__xludf.DUMMYFUNCTION("""COMPUTED_VALUE"""),"08H-22C")</f>
        <v>08H-22C</v>
      </c>
      <c r="H309" s="8"/>
      <c r="I309" s="8"/>
      <c r="J309" s="8"/>
      <c r="K309" s="8"/>
      <c r="L309" s="8"/>
      <c r="M309" s="10" t="str">
        <f>IFERROR(VLOOKUP(D309,FacultyList!B:G,6,FALSE),"")</f>
        <v>tasnim.ferdous@bracu.ac.bd</v>
      </c>
    </row>
    <row r="310">
      <c r="A310" s="5" t="str">
        <f>IFERROR(__xludf.DUMMYFUNCTION("""COMPUTED_VALUE"""),"CSE340-28")</f>
        <v>CSE340-28</v>
      </c>
      <c r="B310" s="8" t="str">
        <f>IFERROR(__xludf.DUMMYFUNCTION("""COMPUTED_VALUE"""),"EEE410")</f>
        <v>EEE410</v>
      </c>
      <c r="C310" s="8"/>
      <c r="D310" s="8" t="str">
        <f>IFERROR(__xludf.DUMMYFUNCTION("""COMPUTED_VALUE"""),"TWK")</f>
        <v>TWK</v>
      </c>
      <c r="E310" s="8" t="str">
        <f>IFERROR(__xludf.DUMMYFUNCTION("""COMPUTED_VALUE"""),"SUN+TUE")</f>
        <v>SUN+TUE</v>
      </c>
      <c r="F310" s="8" t="str">
        <f>IFERROR(__xludf.DUMMYFUNCTION("""COMPUTED_VALUE"""),"12:30 PM")</f>
        <v>12:30 PM</v>
      </c>
      <c r="G310" s="9" t="str">
        <f>IFERROR(__xludf.DUMMYFUNCTION("""COMPUTED_VALUE"""),"09A-02C")</f>
        <v>09A-02C</v>
      </c>
      <c r="H310" s="8"/>
      <c r="I310" s="8"/>
      <c r="J310" s="8"/>
      <c r="K310" s="8"/>
      <c r="L310" s="8"/>
      <c r="M310" s="10" t="str">
        <f>IFERROR(VLOOKUP(D310,FacultyList!B:G,6,FALSE),"")</f>
        <v>towshik.taj@bracu.ac.bd</v>
      </c>
    </row>
    <row r="311">
      <c r="A311" s="5" t="str">
        <f>IFERROR(__xludf.DUMMYFUNCTION("""COMPUTED_VALUE"""),"CSE340-29")</f>
        <v>CSE340-29</v>
      </c>
      <c r="B311" s="8" t="str">
        <f>IFERROR(__xludf.DUMMYFUNCTION("""COMPUTED_VALUE"""),"EEE410")</f>
        <v>EEE410</v>
      </c>
      <c r="C311" s="8"/>
      <c r="D311" s="8" t="str">
        <f>IFERROR(__xludf.DUMMYFUNCTION("""COMPUTED_VALUE"""),"TNMF")</f>
        <v>TNMF</v>
      </c>
      <c r="E311" s="8" t="str">
        <f>IFERROR(__xludf.DUMMYFUNCTION("""COMPUTED_VALUE"""),"SUN+TUE")</f>
        <v>SUN+TUE</v>
      </c>
      <c r="F311" s="8" t="str">
        <f>IFERROR(__xludf.DUMMYFUNCTION("""COMPUTED_VALUE"""),"2:00 PM")</f>
        <v>2:00 PM</v>
      </c>
      <c r="G311" s="9" t="str">
        <f>IFERROR(__xludf.DUMMYFUNCTION("""COMPUTED_VALUE"""),"07D-20C")</f>
        <v>07D-20C</v>
      </c>
      <c r="H311" s="8"/>
      <c r="I311" s="8"/>
      <c r="J311" s="8"/>
      <c r="K311" s="8"/>
      <c r="L311" s="8"/>
      <c r="M311" s="10" t="str">
        <f>IFERROR(VLOOKUP(D311,FacultyList!B:G,6,FALSE),"")</f>
        <v>tasnim.ferdous@bracu.ac.bd</v>
      </c>
    </row>
    <row r="312">
      <c r="A312" s="5" t="str">
        <f>IFERROR(__xludf.DUMMYFUNCTION("""COMPUTED_VALUE"""),"CSE340-30")</f>
        <v>CSE340-30</v>
      </c>
      <c r="B312" s="8" t="str">
        <f>IFERROR(__xludf.DUMMYFUNCTION("""COMPUTED_VALUE"""),"EEE410")</f>
        <v>EEE410</v>
      </c>
      <c r="C312" s="8"/>
      <c r="D312" s="8" t="str">
        <f>IFERROR(__xludf.DUMMYFUNCTION("""COMPUTED_VALUE"""),"TNMF")</f>
        <v>TNMF</v>
      </c>
      <c r="E312" s="8" t="str">
        <f>IFERROR(__xludf.DUMMYFUNCTION("""COMPUTED_VALUE"""),"MON+WED")</f>
        <v>MON+WED</v>
      </c>
      <c r="F312" s="8" t="str">
        <f>IFERROR(__xludf.DUMMYFUNCTION("""COMPUTED_VALUE"""),"9:30 AM")</f>
        <v>9:30 AM</v>
      </c>
      <c r="G312" s="9" t="str">
        <f>IFERROR(__xludf.DUMMYFUNCTION("""COMPUTED_VALUE"""),"08H-22C")</f>
        <v>08H-22C</v>
      </c>
      <c r="H312" s="8"/>
      <c r="I312" s="8"/>
      <c r="J312" s="8"/>
      <c r="K312" s="8"/>
      <c r="L312" s="8"/>
      <c r="M312" s="10" t="str">
        <f>IFERROR(VLOOKUP(D312,FacultyList!B:G,6,FALSE),"")</f>
        <v>tasnim.ferdous@bracu.ac.bd</v>
      </c>
    </row>
    <row r="313">
      <c r="A313" s="5" t="str">
        <f>IFERROR(__xludf.DUMMYFUNCTION("""COMPUTED_VALUE"""),"CSE341-01")</f>
        <v>CSE341-01</v>
      </c>
      <c r="B313" s="8"/>
      <c r="C313" s="8"/>
      <c r="D313" s="8" t="str">
        <f>IFERROR(__xludf.DUMMYFUNCTION("""COMPUTED_VALUE"""),"RKN")</f>
        <v>RKN</v>
      </c>
      <c r="E313" s="8" t="str">
        <f>IFERROR(__xludf.DUMMYFUNCTION("""COMPUTED_VALUE"""),"SUN+TUE")</f>
        <v>SUN+TUE</v>
      </c>
      <c r="F313" s="8" t="str">
        <f>IFERROR(__xludf.DUMMYFUNCTION("""COMPUTED_VALUE"""),"11:00 AM")</f>
        <v>11:00 AM</v>
      </c>
      <c r="G313" s="9" t="str">
        <f>IFERROR(__xludf.DUMMYFUNCTION("""COMPUTED_VALUE"""),"09H-32C")</f>
        <v>09H-32C</v>
      </c>
      <c r="H313" s="8" t="str">
        <f>IFERROR(__xludf.DUMMYFUNCTION("""COMPUTED_VALUE"""),"CABS,CKMH")</f>
        <v>CABS,CKMH</v>
      </c>
      <c r="I313" s="8" t="str">
        <f>IFERROR(__xludf.DUMMYFUNCTION("""COMPUTED_VALUE"""),"THU")</f>
        <v>THU</v>
      </c>
      <c r="J313" s="8" t="str">
        <f>IFERROR(__xludf.DUMMYFUNCTION("""COMPUTED_VALUE"""),"11:00 AM")</f>
        <v>11:00 AM</v>
      </c>
      <c r="K313" s="8" t="str">
        <f>IFERROR(__xludf.DUMMYFUNCTION("""COMPUTED_VALUE"""),"12F-30L")</f>
        <v>12F-30L</v>
      </c>
      <c r="L313" s="8"/>
      <c r="M313" s="10" t="str">
        <f>IFERROR(VLOOKUP(D313,FacultyList!B:G,6,FALSE),"")</f>
        <v>raisul.kabir@bracu.ac.bd</v>
      </c>
    </row>
    <row r="314">
      <c r="A314" s="5" t="str">
        <f>IFERROR(__xludf.DUMMYFUNCTION("""COMPUTED_VALUE"""),"CSE341-02")</f>
        <v>CSE341-02</v>
      </c>
      <c r="B314" s="8"/>
      <c r="C314" s="8"/>
      <c r="D314" s="8" t="str">
        <f>IFERROR(__xludf.DUMMYFUNCTION("""COMPUTED_VALUE"""),"RKN")</f>
        <v>RKN</v>
      </c>
      <c r="E314" s="8" t="str">
        <f>IFERROR(__xludf.DUMMYFUNCTION("""COMPUTED_VALUE"""),"SUN+TUE")</f>
        <v>SUN+TUE</v>
      </c>
      <c r="F314" s="8" t="str">
        <f>IFERROR(__xludf.DUMMYFUNCTION("""COMPUTED_VALUE"""),"12:30 PM")</f>
        <v>12:30 PM</v>
      </c>
      <c r="G314" s="9" t="str">
        <f>IFERROR(__xludf.DUMMYFUNCTION("""COMPUTED_VALUE"""),"09H-32C")</f>
        <v>09H-32C</v>
      </c>
      <c r="H314" s="8" t="str">
        <f>IFERROR(__xludf.DUMMYFUNCTION("""COMPUTED_VALUE"""),"NWT,HBN")</f>
        <v>NWT,HBN</v>
      </c>
      <c r="I314" s="8" t="str">
        <f>IFERROR(__xludf.DUMMYFUNCTION("""COMPUTED_VALUE"""),"WED")</f>
        <v>WED</v>
      </c>
      <c r="J314" s="8" t="str">
        <f>IFERROR(__xludf.DUMMYFUNCTION("""COMPUTED_VALUE"""),"8:00 AM")</f>
        <v>8:00 AM</v>
      </c>
      <c r="K314" s="8" t="str">
        <f>IFERROR(__xludf.DUMMYFUNCTION("""COMPUTED_VALUE"""),"12F-30L")</f>
        <v>12F-30L</v>
      </c>
      <c r="L314" s="8"/>
      <c r="M314" s="10" t="str">
        <f>IFERROR(VLOOKUP(D314,FacultyList!B:G,6,FALSE),"")</f>
        <v>raisul.kabir@bracu.ac.bd</v>
      </c>
    </row>
    <row r="315">
      <c r="A315" s="5" t="str">
        <f>IFERROR(__xludf.DUMMYFUNCTION("""COMPUTED_VALUE"""),"CSE341-03")</f>
        <v>CSE341-03</v>
      </c>
      <c r="B315" s="8"/>
      <c r="C315" s="8"/>
      <c r="D315" s="8" t="str">
        <f>IFERROR(__xludf.DUMMYFUNCTION("""COMPUTED_VALUE"""),"RKN")</f>
        <v>RKN</v>
      </c>
      <c r="E315" s="8" t="str">
        <f>IFERROR(__xludf.DUMMYFUNCTION("""COMPUTED_VALUE"""),"MON+WED")</f>
        <v>MON+WED</v>
      </c>
      <c r="F315" s="8" t="str">
        <f>IFERROR(__xludf.DUMMYFUNCTION("""COMPUTED_VALUE"""),"11:00 AM")</f>
        <v>11:00 AM</v>
      </c>
      <c r="G315" s="9" t="str">
        <f>IFERROR(__xludf.DUMMYFUNCTION("""COMPUTED_VALUE"""),"09D-18C")</f>
        <v>09D-18C</v>
      </c>
      <c r="H315" s="8" t="str">
        <f>IFERROR(__xludf.DUMMYFUNCTION("""COMPUTED_VALUE"""),"RFTS,HBN")</f>
        <v>RFTS,HBN</v>
      </c>
      <c r="I315" s="8" t="str">
        <f>IFERROR(__xludf.DUMMYFUNCTION("""COMPUTED_VALUE"""),"TUE")</f>
        <v>TUE</v>
      </c>
      <c r="J315" s="8" t="str">
        <f>IFERROR(__xludf.DUMMYFUNCTION("""COMPUTED_VALUE"""),"11:00 AM")</f>
        <v>11:00 AM</v>
      </c>
      <c r="K315" s="8" t="str">
        <f>IFERROR(__xludf.DUMMYFUNCTION("""COMPUTED_VALUE"""),"12D-27L")</f>
        <v>12D-27L</v>
      </c>
      <c r="L315" s="8"/>
      <c r="M315" s="10" t="str">
        <f>IFERROR(VLOOKUP(D315,FacultyList!B:G,6,FALSE),"")</f>
        <v>raisul.kabir@bracu.ac.bd</v>
      </c>
    </row>
    <row r="316">
      <c r="A316" s="5" t="str">
        <f>IFERROR(__xludf.DUMMYFUNCTION("""COMPUTED_VALUE"""),"CSE341-04")</f>
        <v>CSE341-04</v>
      </c>
      <c r="B316" s="8"/>
      <c r="C316" s="8"/>
      <c r="D316" s="8" t="str">
        <f>IFERROR(__xludf.DUMMYFUNCTION("""COMPUTED_VALUE"""),"RKN")</f>
        <v>RKN</v>
      </c>
      <c r="E316" s="8" t="str">
        <f>IFERROR(__xludf.DUMMYFUNCTION("""COMPUTED_VALUE"""),"MON+WED")</f>
        <v>MON+WED</v>
      </c>
      <c r="F316" s="8" t="str">
        <f>IFERROR(__xludf.DUMMYFUNCTION("""COMPUTED_VALUE"""),"12:30 PM")</f>
        <v>12:30 PM</v>
      </c>
      <c r="G316" s="9" t="str">
        <f>IFERROR(__xludf.DUMMYFUNCTION("""COMPUTED_VALUE"""),"09D-18C")</f>
        <v>09D-18C</v>
      </c>
      <c r="H316" s="8" t="str">
        <f>IFERROR(__xludf.DUMMYFUNCTION("""COMPUTED_VALUE"""),"HBN,CKMH")</f>
        <v>HBN,CKMH</v>
      </c>
      <c r="I316" s="8" t="str">
        <f>IFERROR(__xludf.DUMMYFUNCTION("""COMPUTED_VALUE"""),"THU")</f>
        <v>THU</v>
      </c>
      <c r="J316" s="8" t="str">
        <f>IFERROR(__xludf.DUMMYFUNCTION("""COMPUTED_VALUE"""),"8:00 AM")</f>
        <v>8:00 AM</v>
      </c>
      <c r="K316" s="8" t="str">
        <f>IFERROR(__xludf.DUMMYFUNCTION("""COMPUTED_VALUE"""),"12F-30L")</f>
        <v>12F-30L</v>
      </c>
      <c r="L316" s="8"/>
      <c r="M316" s="10" t="str">
        <f>IFERROR(VLOOKUP(D316,FacultyList!B:G,6,FALSE),"")</f>
        <v>raisul.kabir@bracu.ac.bd</v>
      </c>
    </row>
    <row r="317">
      <c r="A317" s="5" t="str">
        <f>IFERROR(__xludf.DUMMYFUNCTION("""COMPUTED_VALUE"""),"CSE341-05")</f>
        <v>CSE341-05</v>
      </c>
      <c r="B317" s="8"/>
      <c r="C317" s="8"/>
      <c r="D317" s="8" t="str">
        <f>IFERROR(__xludf.DUMMYFUNCTION("""COMPUTED_VALUE"""),"UJT")</f>
        <v>UJT</v>
      </c>
      <c r="E317" s="8" t="str">
        <f>IFERROR(__xludf.DUMMYFUNCTION("""COMPUTED_VALUE"""),"SUN+TUE")</f>
        <v>SUN+TUE</v>
      </c>
      <c r="F317" s="8" t="str">
        <f>IFERROR(__xludf.DUMMYFUNCTION("""COMPUTED_VALUE"""),"11:00 AM")</f>
        <v>11:00 AM</v>
      </c>
      <c r="G317" s="9" t="str">
        <f>IFERROR(__xludf.DUMMYFUNCTION("""COMPUTED_VALUE"""),"09G-31T")</f>
        <v>09G-31T</v>
      </c>
      <c r="H317" s="8" t="str">
        <f>IFERROR(__xludf.DUMMYFUNCTION("""COMPUTED_VALUE"""),"RAHA,NWT")</f>
        <v>RAHA,NWT</v>
      </c>
      <c r="I317" s="8" t="str">
        <f>IFERROR(__xludf.DUMMYFUNCTION("""COMPUTED_VALUE"""),"WED")</f>
        <v>WED</v>
      </c>
      <c r="J317" s="8" t="str">
        <f>IFERROR(__xludf.DUMMYFUNCTION("""COMPUTED_VALUE"""),"11:00 AM")</f>
        <v>11:00 AM</v>
      </c>
      <c r="K317" s="8" t="str">
        <f>IFERROR(__xludf.DUMMYFUNCTION("""COMPUTED_VALUE"""),"12F-30L")</f>
        <v>12F-30L</v>
      </c>
      <c r="L317" s="8"/>
      <c r="M317" s="10" t="str">
        <f>IFERROR(VLOOKUP(D317,FacultyList!B:G,6,FALSE),"")</f>
        <v>jannat.taposhi@bracu.ac.bd</v>
      </c>
    </row>
    <row r="318">
      <c r="A318" s="5" t="str">
        <f>IFERROR(__xludf.DUMMYFUNCTION("""COMPUTED_VALUE"""),"CSE341-06")</f>
        <v>CSE341-06</v>
      </c>
      <c r="B318" s="8"/>
      <c r="C318" s="8"/>
      <c r="D318" s="8" t="str">
        <f>IFERROR(__xludf.DUMMYFUNCTION("""COMPUTED_VALUE"""),"UJT")</f>
        <v>UJT</v>
      </c>
      <c r="E318" s="8" t="str">
        <f>IFERROR(__xludf.DUMMYFUNCTION("""COMPUTED_VALUE"""),"SUN+TUE")</f>
        <v>SUN+TUE</v>
      </c>
      <c r="F318" s="8" t="str">
        <f>IFERROR(__xludf.DUMMYFUNCTION("""COMPUTED_VALUE"""),"11:00 AM")</f>
        <v>11:00 AM</v>
      </c>
      <c r="G318" s="9" t="str">
        <f>IFERROR(__xludf.DUMMYFUNCTION("""COMPUTED_VALUE"""),"09G-31T")</f>
        <v>09G-31T</v>
      </c>
      <c r="H318" s="8" t="str">
        <f>IFERROR(__xludf.DUMMYFUNCTION("""COMPUTED_VALUE"""),"TRZA,CKMH")</f>
        <v>TRZA,CKMH</v>
      </c>
      <c r="I318" s="8" t="str">
        <f>IFERROR(__xludf.DUMMYFUNCTION("""COMPUTED_VALUE"""),"SAT")</f>
        <v>SAT</v>
      </c>
      <c r="J318" s="8" t="str">
        <f>IFERROR(__xludf.DUMMYFUNCTION("""COMPUTED_VALUE"""),"11:00 AM")</f>
        <v>11:00 AM</v>
      </c>
      <c r="K318" s="8" t="str">
        <f>IFERROR(__xludf.DUMMYFUNCTION("""COMPUTED_VALUE"""),"12F-30L")</f>
        <v>12F-30L</v>
      </c>
      <c r="L318" s="8"/>
      <c r="M318" s="10" t="str">
        <f>IFERROR(VLOOKUP(D318,FacultyList!B:G,6,FALSE),"")</f>
        <v>jannat.taposhi@bracu.ac.bd</v>
      </c>
    </row>
    <row r="319">
      <c r="A319" s="5" t="str">
        <f>IFERROR(__xludf.DUMMYFUNCTION("""COMPUTED_VALUE"""),"CSE341-07")</f>
        <v>CSE341-07</v>
      </c>
      <c r="B319" s="8"/>
      <c r="C319" s="8"/>
      <c r="D319" s="8" t="str">
        <f>IFERROR(__xludf.DUMMYFUNCTION("""COMPUTED_VALUE"""),"UJT")</f>
        <v>UJT</v>
      </c>
      <c r="E319" s="8" t="str">
        <f>IFERROR(__xludf.DUMMYFUNCTION("""COMPUTED_VALUE"""),"SUN+TUE")</f>
        <v>SUN+TUE</v>
      </c>
      <c r="F319" s="8" t="str">
        <f>IFERROR(__xludf.DUMMYFUNCTION("""COMPUTED_VALUE"""),"11:00 AM")</f>
        <v>11:00 AM</v>
      </c>
      <c r="G319" s="9" t="str">
        <f>IFERROR(__xludf.DUMMYFUNCTION("""COMPUTED_VALUE"""),"09G-31T")</f>
        <v>09G-31T</v>
      </c>
      <c r="H319" s="8" t="str">
        <f>IFERROR(__xludf.DUMMYFUNCTION("""COMPUTED_VALUE"""),"TRZA,NWT")</f>
        <v>TRZA,NWT</v>
      </c>
      <c r="I319" s="8" t="str">
        <f>IFERROR(__xludf.DUMMYFUNCTION("""COMPUTED_VALUE"""),"SAT")</f>
        <v>SAT</v>
      </c>
      <c r="J319" s="8" t="str">
        <f>IFERROR(__xludf.DUMMYFUNCTION("""COMPUTED_VALUE"""),"2:00 PM")</f>
        <v>2:00 PM</v>
      </c>
      <c r="K319" s="8" t="str">
        <f>IFERROR(__xludf.DUMMYFUNCTION("""COMPUTED_VALUE"""),"12F-30L")</f>
        <v>12F-30L</v>
      </c>
      <c r="L319" s="8"/>
      <c r="M319" s="10" t="str">
        <f>IFERROR(VLOOKUP(D319,FacultyList!B:G,6,FALSE),"")</f>
        <v>jannat.taposhi@bracu.ac.bd</v>
      </c>
    </row>
    <row r="320">
      <c r="A320" s="5" t="str">
        <f>IFERROR(__xludf.DUMMYFUNCTION("""COMPUTED_VALUE"""),"CSE341-08")</f>
        <v>CSE341-08</v>
      </c>
      <c r="B320" s="8"/>
      <c r="C320" s="8"/>
      <c r="D320" s="8" t="str">
        <f>IFERROR(__xludf.DUMMYFUNCTION("""COMPUTED_VALUE"""),"SMYA")</f>
        <v>SMYA</v>
      </c>
      <c r="E320" s="8" t="str">
        <f>IFERROR(__xludf.DUMMYFUNCTION("""COMPUTED_VALUE"""),"SAT+THU")</f>
        <v>SAT+THU</v>
      </c>
      <c r="F320" s="8" t="str">
        <f>IFERROR(__xludf.DUMMYFUNCTION("""COMPUTED_VALUE"""),"12:30 PM")</f>
        <v>12:30 PM</v>
      </c>
      <c r="G320" s="9" t="str">
        <f>IFERROR(__xludf.DUMMYFUNCTION("""COMPUTED_VALUE"""),"10B-15C")</f>
        <v>10B-15C</v>
      </c>
      <c r="H320" s="8" t="str">
        <f>IFERROR(__xludf.DUMMYFUNCTION("""COMPUTED_VALUE"""),"NWT,TRZA")</f>
        <v>NWT,TRZA</v>
      </c>
      <c r="I320" s="8" t="str">
        <f>IFERROR(__xludf.DUMMYFUNCTION("""COMPUTED_VALUE"""),"SUN")</f>
        <v>SUN</v>
      </c>
      <c r="J320" s="8" t="str">
        <f>IFERROR(__xludf.DUMMYFUNCTION("""COMPUTED_VALUE"""),"8:00 AM")</f>
        <v>8:00 AM</v>
      </c>
      <c r="K320" s="8" t="str">
        <f>IFERROR(__xludf.DUMMYFUNCTION("""COMPUTED_VALUE"""),"12F-31L")</f>
        <v>12F-31L</v>
      </c>
      <c r="L320" s="8"/>
      <c r="M320" s="10" t="str">
        <f>IFERROR(VLOOKUP(D320,FacultyList!B:G,6,FALSE),"")</f>
        <v>sumaiya@bracu.ac.bd</v>
      </c>
    </row>
    <row r="321">
      <c r="A321" s="5" t="str">
        <f>IFERROR(__xludf.DUMMYFUNCTION("""COMPUTED_VALUE"""),"CSE341-09")</f>
        <v>CSE341-09</v>
      </c>
      <c r="B321" s="8"/>
      <c r="C321" s="8"/>
      <c r="D321" s="8" t="str">
        <f>IFERROR(__xludf.DUMMYFUNCTION("""COMPUTED_VALUE"""),"FFU")</f>
        <v>FFU</v>
      </c>
      <c r="E321" s="8" t="str">
        <f>IFERROR(__xludf.DUMMYFUNCTION("""COMPUTED_VALUE"""),"SAT+THU")</f>
        <v>SAT+THU</v>
      </c>
      <c r="F321" s="8" t="str">
        <f>IFERROR(__xludf.DUMMYFUNCTION("""COMPUTED_VALUE"""),"9:30 AM")</f>
        <v>9:30 AM</v>
      </c>
      <c r="G321" s="9" t="str">
        <f>IFERROR(__xludf.DUMMYFUNCTION("""COMPUTED_VALUE"""),"09D-17C")</f>
        <v>09D-17C</v>
      </c>
      <c r="H321" s="8" t="str">
        <f>IFERROR(__xludf.DUMMYFUNCTION("""COMPUTED_VALUE"""),"RAHA,TRZA")</f>
        <v>RAHA,TRZA</v>
      </c>
      <c r="I321" s="8" t="str">
        <f>IFERROR(__xludf.DUMMYFUNCTION("""COMPUTED_VALUE"""),"SUN")</f>
        <v>SUN</v>
      </c>
      <c r="J321" s="8" t="str">
        <f>IFERROR(__xludf.DUMMYFUNCTION("""COMPUTED_VALUE"""),"11:00 AM")</f>
        <v>11:00 AM</v>
      </c>
      <c r="K321" s="8" t="str">
        <f>IFERROR(__xludf.DUMMYFUNCTION("""COMPUTED_VALUE"""),"12F-31L")</f>
        <v>12F-31L</v>
      </c>
      <c r="L321" s="8"/>
      <c r="M321" s="10" t="str">
        <f>IFERROR(VLOOKUP(D321,FacultyList!B:G,6,FALSE),"")</f>
        <v>farhan.faruk@bracu.ac.bd</v>
      </c>
    </row>
    <row r="322">
      <c r="A322" s="5" t="str">
        <f>IFERROR(__xludf.DUMMYFUNCTION("""COMPUTED_VALUE"""),"CSE341-10")</f>
        <v>CSE341-10</v>
      </c>
      <c r="B322" s="8"/>
      <c r="C322" s="8"/>
      <c r="D322" s="8" t="str">
        <f>IFERROR(__xludf.DUMMYFUNCTION("""COMPUTED_VALUE"""),"FFU")</f>
        <v>FFU</v>
      </c>
      <c r="E322" s="8" t="str">
        <f>IFERROR(__xludf.DUMMYFUNCTION("""COMPUTED_VALUE"""),"SAT+THU")</f>
        <v>SAT+THU</v>
      </c>
      <c r="F322" s="8" t="str">
        <f>IFERROR(__xludf.DUMMYFUNCTION("""COMPUTED_VALUE"""),"8:00 AM")</f>
        <v>8:00 AM</v>
      </c>
      <c r="G322" s="9" t="str">
        <f>IFERROR(__xludf.DUMMYFUNCTION("""COMPUTED_VALUE"""),"09B-12C")</f>
        <v>09B-12C</v>
      </c>
      <c r="H322" s="8" t="str">
        <f>IFERROR(__xludf.DUMMYFUNCTION("""COMPUTED_VALUE"""),"CMHH,CABS")</f>
        <v>CMHH,CABS</v>
      </c>
      <c r="I322" s="8" t="str">
        <f>IFERROR(__xludf.DUMMYFUNCTION("""COMPUTED_VALUE"""),"MON")</f>
        <v>MON</v>
      </c>
      <c r="J322" s="8" t="str">
        <f>IFERROR(__xludf.DUMMYFUNCTION("""COMPUTED_VALUE"""),"8:00 AM")</f>
        <v>8:00 AM</v>
      </c>
      <c r="K322" s="8" t="str">
        <f>IFERROR(__xludf.DUMMYFUNCTION("""COMPUTED_VALUE"""),"12F-31L")</f>
        <v>12F-31L</v>
      </c>
      <c r="L322" s="8"/>
      <c r="M322" s="10" t="str">
        <f>IFERROR(VLOOKUP(D322,FacultyList!B:G,6,FALSE),"")</f>
        <v>farhan.faruk@bracu.ac.bd</v>
      </c>
    </row>
    <row r="323">
      <c r="A323" s="5" t="str">
        <f>IFERROR(__xludf.DUMMYFUNCTION("""COMPUTED_VALUE"""),"CSE341-11")</f>
        <v>CSE341-11</v>
      </c>
      <c r="B323" s="8"/>
      <c r="C323" s="8"/>
      <c r="D323" s="8" t="str">
        <f>IFERROR(__xludf.DUMMYFUNCTION("""COMPUTED_VALUE"""),"WLV")</f>
        <v>WLV</v>
      </c>
      <c r="E323" s="8" t="str">
        <f>IFERROR(__xludf.DUMMYFUNCTION("""COMPUTED_VALUE"""),"SAT+THU")</f>
        <v>SAT+THU</v>
      </c>
      <c r="F323" s="8" t="str">
        <f>IFERROR(__xludf.DUMMYFUNCTION("""COMPUTED_VALUE"""),"12:30 PM")</f>
        <v>12:30 PM</v>
      </c>
      <c r="G323" s="9" t="str">
        <f>IFERROR(__xludf.DUMMYFUNCTION("""COMPUTED_VALUE"""),"07D-19C")</f>
        <v>07D-19C</v>
      </c>
      <c r="H323" s="8" t="str">
        <f>IFERROR(__xludf.DUMMYFUNCTION("""COMPUTED_VALUE"""),"CKMH,TRZA")</f>
        <v>CKMH,TRZA</v>
      </c>
      <c r="I323" s="8" t="str">
        <f>IFERROR(__xludf.DUMMYFUNCTION("""COMPUTED_VALUE"""),"MON")</f>
        <v>MON</v>
      </c>
      <c r="J323" s="8" t="str">
        <f>IFERROR(__xludf.DUMMYFUNCTION("""COMPUTED_VALUE"""),"11:00 AM")</f>
        <v>11:00 AM</v>
      </c>
      <c r="K323" s="8" t="str">
        <f>IFERROR(__xludf.DUMMYFUNCTION("""COMPUTED_VALUE"""),"12F-31L")</f>
        <v>12F-31L</v>
      </c>
      <c r="L323" s="8"/>
      <c r="M323" s="10" t="str">
        <f>IFERROR(VLOOKUP(D323,FacultyList!B:G,6,FALSE),"")</f>
        <v>ext.waseq.alvi@bracu.ac.bd</v>
      </c>
    </row>
    <row r="324">
      <c r="A324" s="5" t="str">
        <f>IFERROR(__xludf.DUMMYFUNCTION("""COMPUTED_VALUE"""),"CSE341-12")</f>
        <v>CSE341-12</v>
      </c>
      <c r="B324" s="8"/>
      <c r="C324" s="8"/>
      <c r="D324" s="8" t="str">
        <f>IFERROR(__xludf.DUMMYFUNCTION("""COMPUTED_VALUE"""),"RAHA")</f>
        <v>RAHA</v>
      </c>
      <c r="E324" s="8" t="str">
        <f>IFERROR(__xludf.DUMMYFUNCTION("""COMPUTED_VALUE"""),"SAT+THU")</f>
        <v>SAT+THU</v>
      </c>
      <c r="F324" s="8" t="str">
        <f>IFERROR(__xludf.DUMMYFUNCTION("""COMPUTED_VALUE"""),"12:30 PM")</f>
        <v>12:30 PM</v>
      </c>
      <c r="G324" s="9" t="str">
        <f>IFERROR(__xludf.DUMMYFUNCTION("""COMPUTED_VALUE"""),"09A-03C")</f>
        <v>09A-03C</v>
      </c>
      <c r="H324" s="8" t="str">
        <f>IFERROR(__xludf.DUMMYFUNCTION("""COMPUTED_VALUE"""),"RKN,CKMH")</f>
        <v>RKN,CKMH</v>
      </c>
      <c r="I324" s="8" t="str">
        <f>IFERROR(__xludf.DUMMYFUNCTION("""COMPUTED_VALUE"""),"TUE")</f>
        <v>TUE</v>
      </c>
      <c r="J324" s="8" t="str">
        <f>IFERROR(__xludf.DUMMYFUNCTION("""COMPUTED_VALUE"""),"2:00 PM")</f>
        <v>2:00 PM</v>
      </c>
      <c r="K324" s="8" t="str">
        <f>IFERROR(__xludf.DUMMYFUNCTION("""COMPUTED_VALUE"""),"12D-27L")</f>
        <v>12D-27L</v>
      </c>
      <c r="L324" s="8"/>
      <c r="M324" s="10" t="str">
        <f>IFERROR(VLOOKUP(D324,FacultyList!B:G,6,FALSE),"")</f>
        <v>reefat.raha@bracu.ac.bd</v>
      </c>
    </row>
    <row r="325">
      <c r="A325" s="5" t="str">
        <f>IFERROR(__xludf.DUMMYFUNCTION("""COMPUTED_VALUE"""),"CSE350-01A")</f>
        <v>CSE350-01A</v>
      </c>
      <c r="B325" s="8"/>
      <c r="C325" s="8"/>
      <c r="D325" s="8" t="str">
        <f>IFERROR(__xludf.DUMMYFUNCTION("""COMPUTED_VALUE"""),"SDU")</f>
        <v>SDU</v>
      </c>
      <c r="E325" s="8" t="str">
        <f>IFERROR(__xludf.DUMMYFUNCTION("""COMPUTED_VALUE"""),"SUN+TUE")</f>
        <v>SUN+TUE</v>
      </c>
      <c r="F325" s="8" t="str">
        <f>IFERROR(__xludf.DUMMYFUNCTION("""COMPUTED_VALUE"""),"8:00 AM")</f>
        <v>8:00 AM</v>
      </c>
      <c r="G325" s="9" t="str">
        <f>IFERROR(__xludf.DUMMYFUNCTION("""COMPUTED_VALUE"""),"07H-26C")</f>
        <v>07H-26C</v>
      </c>
      <c r="H325" s="8" t="str">
        <f>IFERROR(__xludf.DUMMYFUNCTION("""COMPUTED_VALUE"""),"PDS,ALSM")</f>
        <v>PDS,ALSM</v>
      </c>
      <c r="I325" s="8" t="str">
        <f>IFERROR(__xludf.DUMMYFUNCTION("""COMPUTED_VALUE"""),"MON")</f>
        <v>MON</v>
      </c>
      <c r="J325" s="8" t="str">
        <f>IFERROR(__xludf.DUMMYFUNCTION("""COMPUTED_VALUE"""),"11:00 AM")</f>
        <v>11:00 AM</v>
      </c>
      <c r="K325" s="8" t="str">
        <f>IFERROR(__xludf.DUMMYFUNCTION("""COMPUTED_VALUE"""),"FT10-01L")</f>
        <v>FT10-01L</v>
      </c>
      <c r="L325" s="8"/>
      <c r="M325" s="10" t="str">
        <f>IFERROR(VLOOKUP(D325,FacultyList!B:G,6,FALSE),"")</f>
        <v>shomen.kundu@bracu.ac.bd</v>
      </c>
    </row>
    <row r="326">
      <c r="A326" s="5" t="str">
        <f>IFERROR(__xludf.DUMMYFUNCTION("""COMPUTED_VALUE"""),"CSE350-01B")</f>
        <v>CSE350-01B</v>
      </c>
      <c r="B326" s="8"/>
      <c r="C326" s="8"/>
      <c r="D326" s="8" t="str">
        <f>IFERROR(__xludf.DUMMYFUNCTION("""COMPUTED_VALUE"""),"SDU")</f>
        <v>SDU</v>
      </c>
      <c r="E326" s="8" t="str">
        <f>IFERROR(__xludf.DUMMYFUNCTION("""COMPUTED_VALUE"""),"SUN+TUE")</f>
        <v>SUN+TUE</v>
      </c>
      <c r="F326" s="8" t="str">
        <f>IFERROR(__xludf.DUMMYFUNCTION("""COMPUTED_VALUE"""),"8:00 AM")</f>
        <v>8:00 AM</v>
      </c>
      <c r="G326" s="9" t="str">
        <f>IFERROR(__xludf.DUMMYFUNCTION("""COMPUTED_VALUE"""),"07H-26C")</f>
        <v>07H-26C</v>
      </c>
      <c r="H326" s="8" t="str">
        <f>IFERROR(__xludf.DUMMYFUNCTION("""COMPUTED_VALUE"""),"ZAZ,RAO")</f>
        <v>ZAZ,RAO</v>
      </c>
      <c r="I326" s="8" t="str">
        <f>IFERROR(__xludf.DUMMYFUNCTION("""COMPUTED_VALUE"""),"MON")</f>
        <v>MON</v>
      </c>
      <c r="J326" s="8" t="str">
        <f>IFERROR(__xludf.DUMMYFUNCTION("""COMPUTED_VALUE"""),"11:00 AM")</f>
        <v>11:00 AM</v>
      </c>
      <c r="K326" s="8" t="str">
        <f>IFERROR(__xludf.DUMMYFUNCTION("""COMPUTED_VALUE"""),"FT11-01L")</f>
        <v>FT11-01L</v>
      </c>
      <c r="L326" s="8"/>
      <c r="M326" s="10" t="str">
        <f>IFERROR(VLOOKUP(D326,FacultyList!B:G,6,FALSE),"")</f>
        <v>shomen.kundu@bracu.ac.bd</v>
      </c>
    </row>
    <row r="327">
      <c r="A327" s="5" t="str">
        <f>IFERROR(__xludf.DUMMYFUNCTION("""COMPUTED_VALUE"""),"CSE350-02A")</f>
        <v>CSE350-02A</v>
      </c>
      <c r="B327" s="8"/>
      <c r="C327" s="8"/>
      <c r="D327" s="8" t="str">
        <f>IFERROR(__xludf.DUMMYFUNCTION("""COMPUTED_VALUE"""),"ALSM")</f>
        <v>ALSM</v>
      </c>
      <c r="E327" s="8" t="str">
        <f>IFERROR(__xludf.DUMMYFUNCTION("""COMPUTED_VALUE"""),"SUN+TUE")</f>
        <v>SUN+TUE</v>
      </c>
      <c r="F327" s="8" t="str">
        <f>IFERROR(__xludf.DUMMYFUNCTION("""COMPUTED_VALUE"""),"11:00 AM")</f>
        <v>11:00 AM</v>
      </c>
      <c r="G327" s="9" t="str">
        <f>IFERROR(__xludf.DUMMYFUNCTION("""COMPUTED_VALUE"""),"07H-26C")</f>
        <v>07H-26C</v>
      </c>
      <c r="H327" s="8" t="str">
        <f>IFERROR(__xludf.DUMMYFUNCTION("""COMPUTED_VALUE"""),"SDU,ZAZ")</f>
        <v>SDU,ZAZ</v>
      </c>
      <c r="I327" s="8" t="str">
        <f>IFERROR(__xludf.DUMMYFUNCTION("""COMPUTED_VALUE"""),"WED")</f>
        <v>WED</v>
      </c>
      <c r="J327" s="8" t="str">
        <f>IFERROR(__xludf.DUMMYFUNCTION("""COMPUTED_VALUE"""),"2:00 PM")</f>
        <v>2:00 PM</v>
      </c>
      <c r="K327" s="8" t="str">
        <f>IFERROR(__xludf.DUMMYFUNCTION("""COMPUTED_VALUE"""),"FT10-01L")</f>
        <v>FT10-01L</v>
      </c>
      <c r="L327" s="8"/>
      <c r="M327" s="10" t="str">
        <f>IFERROR(VLOOKUP(D327,FacultyList!B:G,6,FALSE),"")</f>
        <v>ext.aliva.sadnim@bracu.ac.bd</v>
      </c>
    </row>
    <row r="328">
      <c r="A328" s="5" t="str">
        <f>IFERROR(__xludf.DUMMYFUNCTION("""COMPUTED_VALUE"""),"CSE350-02B")</f>
        <v>CSE350-02B</v>
      </c>
      <c r="B328" s="8"/>
      <c r="C328" s="8"/>
      <c r="D328" s="8" t="str">
        <f>IFERROR(__xludf.DUMMYFUNCTION("""COMPUTED_VALUE"""),"ALSM")</f>
        <v>ALSM</v>
      </c>
      <c r="E328" s="8" t="str">
        <f>IFERROR(__xludf.DUMMYFUNCTION("""COMPUTED_VALUE"""),"SUN+TUE")</f>
        <v>SUN+TUE</v>
      </c>
      <c r="F328" s="8" t="str">
        <f>IFERROR(__xludf.DUMMYFUNCTION("""COMPUTED_VALUE"""),"11:00 AM")</f>
        <v>11:00 AM</v>
      </c>
      <c r="G328" s="9" t="str">
        <f>IFERROR(__xludf.DUMMYFUNCTION("""COMPUTED_VALUE"""),"07H-26C")</f>
        <v>07H-26C</v>
      </c>
      <c r="H328" s="8" t="str">
        <f>IFERROR(__xludf.DUMMYFUNCTION("""COMPUTED_VALUE"""),"SZZ,UPM")</f>
        <v>SZZ,UPM</v>
      </c>
      <c r="I328" s="8" t="str">
        <f>IFERROR(__xludf.DUMMYFUNCTION("""COMPUTED_VALUE"""),"WED")</f>
        <v>WED</v>
      </c>
      <c r="J328" s="8" t="str">
        <f>IFERROR(__xludf.DUMMYFUNCTION("""COMPUTED_VALUE"""),"2:00 PM")</f>
        <v>2:00 PM</v>
      </c>
      <c r="K328" s="8" t="str">
        <f>IFERROR(__xludf.DUMMYFUNCTION("""COMPUTED_VALUE"""),"FT11-01L")</f>
        <v>FT11-01L</v>
      </c>
      <c r="L328" s="8"/>
      <c r="M328" s="10" t="str">
        <f>IFERROR(VLOOKUP(D328,FacultyList!B:G,6,FALSE),"")</f>
        <v>ext.aliva.sadnim@bracu.ac.bd</v>
      </c>
    </row>
    <row r="329">
      <c r="A329" s="5" t="str">
        <f>IFERROR(__xludf.DUMMYFUNCTION("""COMPUTED_VALUE"""),"CSE350-03A")</f>
        <v>CSE350-03A</v>
      </c>
      <c r="B329" s="8"/>
      <c r="C329" s="8"/>
      <c r="D329" s="8" t="str">
        <f>IFERROR(__xludf.DUMMYFUNCTION("""COMPUTED_VALUE"""),"NUR")</f>
        <v>NUR</v>
      </c>
      <c r="E329" s="8" t="str">
        <f>IFERROR(__xludf.DUMMYFUNCTION("""COMPUTED_VALUE"""),"SUN+TUE")</f>
        <v>SUN+TUE</v>
      </c>
      <c r="F329" s="8" t="str">
        <f>IFERROR(__xludf.DUMMYFUNCTION("""COMPUTED_VALUE"""),"12:30 PM")</f>
        <v>12:30 PM</v>
      </c>
      <c r="G329" s="9" t="str">
        <f>IFERROR(__xludf.DUMMYFUNCTION("""COMPUTED_VALUE"""),"07H-26C")</f>
        <v>07H-26C</v>
      </c>
      <c r="H329" s="8" t="str">
        <f>IFERROR(__xludf.DUMMYFUNCTION("""COMPUTED_VALUE"""),"ZBH,AKDB")</f>
        <v>ZBH,AKDB</v>
      </c>
      <c r="I329" s="8" t="str">
        <f>IFERROR(__xludf.DUMMYFUNCTION("""COMPUTED_VALUE"""),"SAT")</f>
        <v>SAT</v>
      </c>
      <c r="J329" s="8" t="str">
        <f>IFERROR(__xludf.DUMMYFUNCTION("""COMPUTED_VALUE"""),"8:00 AM")</f>
        <v>8:00 AM</v>
      </c>
      <c r="K329" s="8" t="str">
        <f>IFERROR(__xludf.DUMMYFUNCTION("""COMPUTED_VALUE"""),"FT10-01L")</f>
        <v>FT10-01L</v>
      </c>
      <c r="L329" s="8"/>
      <c r="M329" s="10" t="str">
        <f>IFERROR(VLOOKUP(D329,FacultyList!B:G,6,FALSE),"")</f>
        <v>ext.nur.shaon@bracu.ac.bd</v>
      </c>
    </row>
    <row r="330">
      <c r="A330" s="5" t="str">
        <f>IFERROR(__xludf.DUMMYFUNCTION("""COMPUTED_VALUE"""),"CSE350-03B")</f>
        <v>CSE350-03B</v>
      </c>
      <c r="B330" s="8"/>
      <c r="C330" s="8"/>
      <c r="D330" s="8" t="str">
        <f>IFERROR(__xludf.DUMMYFUNCTION("""COMPUTED_VALUE"""),"NUR")</f>
        <v>NUR</v>
      </c>
      <c r="E330" s="8" t="str">
        <f>IFERROR(__xludf.DUMMYFUNCTION("""COMPUTED_VALUE"""),"SUN+TUE")</f>
        <v>SUN+TUE</v>
      </c>
      <c r="F330" s="8" t="str">
        <f>IFERROR(__xludf.DUMMYFUNCTION("""COMPUTED_VALUE"""),"12:30 PM")</f>
        <v>12:30 PM</v>
      </c>
      <c r="G330" s="9" t="str">
        <f>IFERROR(__xludf.DUMMYFUNCTION("""COMPUTED_VALUE"""),"07H-26C")</f>
        <v>07H-26C</v>
      </c>
      <c r="H330" s="8" t="str">
        <f>IFERROR(__xludf.DUMMYFUNCTION("""COMPUTED_VALUE"""),"NUR,RFQ")</f>
        <v>NUR,RFQ</v>
      </c>
      <c r="I330" s="8" t="str">
        <f>IFERROR(__xludf.DUMMYFUNCTION("""COMPUTED_VALUE"""),"SAT")</f>
        <v>SAT</v>
      </c>
      <c r="J330" s="8" t="str">
        <f>IFERROR(__xludf.DUMMYFUNCTION("""COMPUTED_VALUE"""),"8:00 AM")</f>
        <v>8:00 AM</v>
      </c>
      <c r="K330" s="8" t="str">
        <f>IFERROR(__xludf.DUMMYFUNCTION("""COMPUTED_VALUE"""),"FT11-01L")</f>
        <v>FT11-01L</v>
      </c>
      <c r="L330" s="8"/>
      <c r="M330" s="10" t="str">
        <f>IFERROR(VLOOKUP(D330,FacultyList!B:G,6,FALSE),"")</f>
        <v>ext.nur.shaon@bracu.ac.bd</v>
      </c>
    </row>
    <row r="331">
      <c r="A331" s="5" t="str">
        <f>IFERROR(__xludf.DUMMYFUNCTION("""COMPUTED_VALUE"""),"CSE350-04A")</f>
        <v>CSE350-04A</v>
      </c>
      <c r="B331" s="8"/>
      <c r="C331" s="8"/>
      <c r="D331" s="8" t="str">
        <f>IFERROR(__xludf.DUMMYFUNCTION("""COMPUTED_VALUE"""),"ARA")</f>
        <v>ARA</v>
      </c>
      <c r="E331" s="8" t="str">
        <f>IFERROR(__xludf.DUMMYFUNCTION("""COMPUTED_VALUE"""),"SUN+TUE")</f>
        <v>SUN+TUE</v>
      </c>
      <c r="F331" s="8" t="str">
        <f>IFERROR(__xludf.DUMMYFUNCTION("""COMPUTED_VALUE"""),"2:00 PM")</f>
        <v>2:00 PM</v>
      </c>
      <c r="G331" s="9" t="str">
        <f>IFERROR(__xludf.DUMMYFUNCTION("""COMPUTED_VALUE"""),"07H-26C")</f>
        <v>07H-26C</v>
      </c>
      <c r="H331" s="8" t="str">
        <f>IFERROR(__xludf.DUMMYFUNCTION("""COMPUTED_VALUE"""),"UPM,TSE")</f>
        <v>UPM,TSE</v>
      </c>
      <c r="I331" s="8" t="str">
        <f>IFERROR(__xludf.DUMMYFUNCTION("""COMPUTED_VALUE"""),"THU")</f>
        <v>THU</v>
      </c>
      <c r="J331" s="8" t="str">
        <f>IFERROR(__xludf.DUMMYFUNCTION("""COMPUTED_VALUE"""),"2:00 PM")</f>
        <v>2:00 PM</v>
      </c>
      <c r="K331" s="8" t="str">
        <f>IFERROR(__xludf.DUMMYFUNCTION("""COMPUTED_VALUE"""),"FT10-01L")</f>
        <v>FT10-01L</v>
      </c>
      <c r="L331" s="8"/>
      <c r="M331" s="10" t="str">
        <f>IFERROR(VLOOKUP(D331,FacultyList!B:G,6,FALSE),"")</f>
        <v>ext.rahman.ashikur@bracu.ac.bd</v>
      </c>
    </row>
    <row r="332">
      <c r="A332" s="5" t="str">
        <f>IFERROR(__xludf.DUMMYFUNCTION("""COMPUTED_VALUE"""),"CSE350-04B")</f>
        <v>CSE350-04B</v>
      </c>
      <c r="B332" s="8"/>
      <c r="C332" s="8"/>
      <c r="D332" s="8" t="str">
        <f>IFERROR(__xludf.DUMMYFUNCTION("""COMPUTED_VALUE"""),"ARA")</f>
        <v>ARA</v>
      </c>
      <c r="E332" s="8" t="str">
        <f>IFERROR(__xludf.DUMMYFUNCTION("""COMPUTED_VALUE"""),"SUN+TUE")</f>
        <v>SUN+TUE</v>
      </c>
      <c r="F332" s="8" t="str">
        <f>IFERROR(__xludf.DUMMYFUNCTION("""COMPUTED_VALUE"""),"2:00 PM")</f>
        <v>2:00 PM</v>
      </c>
      <c r="G332" s="9" t="str">
        <f>IFERROR(__xludf.DUMMYFUNCTION("""COMPUTED_VALUE"""),"07H-26C")</f>
        <v>07H-26C</v>
      </c>
      <c r="H332" s="8" t="str">
        <f>IFERROR(__xludf.DUMMYFUNCTION("""COMPUTED_VALUE"""),"ZAZ,RFQ")</f>
        <v>ZAZ,RFQ</v>
      </c>
      <c r="I332" s="8" t="str">
        <f>IFERROR(__xludf.DUMMYFUNCTION("""COMPUTED_VALUE"""),"THU")</f>
        <v>THU</v>
      </c>
      <c r="J332" s="8" t="str">
        <f>IFERROR(__xludf.DUMMYFUNCTION("""COMPUTED_VALUE"""),"2:00 PM")</f>
        <v>2:00 PM</v>
      </c>
      <c r="K332" s="8" t="str">
        <f>IFERROR(__xludf.DUMMYFUNCTION("""COMPUTED_VALUE"""),"FT11-01L")</f>
        <v>FT11-01L</v>
      </c>
      <c r="L332" s="8"/>
      <c r="M332" s="10" t="str">
        <f>IFERROR(VLOOKUP(D332,FacultyList!B:G,6,FALSE),"")</f>
        <v>ext.rahman.ashikur@bracu.ac.bd</v>
      </c>
    </row>
    <row r="333">
      <c r="A333" s="5" t="str">
        <f>IFERROR(__xludf.DUMMYFUNCTION("""COMPUTED_VALUE"""),"CSE350-05A")</f>
        <v>CSE350-05A</v>
      </c>
      <c r="B333" s="8"/>
      <c r="C333" s="8"/>
      <c r="D333" s="8" t="str">
        <f>IFERROR(__xludf.DUMMYFUNCTION("""COMPUTED_VALUE"""),"ZAZ")</f>
        <v>ZAZ</v>
      </c>
      <c r="E333" s="8" t="str">
        <f>IFERROR(__xludf.DUMMYFUNCTION("""COMPUTED_VALUE"""),"MON+WED")</f>
        <v>MON+WED</v>
      </c>
      <c r="F333" s="8" t="str">
        <f>IFERROR(__xludf.DUMMYFUNCTION("""COMPUTED_VALUE"""),"9:30 AM")</f>
        <v>9:30 AM</v>
      </c>
      <c r="G333" s="9" t="str">
        <f>IFERROR(__xludf.DUMMYFUNCTION("""COMPUTED_VALUE"""),"07H-26C")</f>
        <v>07H-26C</v>
      </c>
      <c r="H333" s="8" t="str">
        <f>IFERROR(__xludf.DUMMYFUNCTION("""COMPUTED_VALUE"""),"SDU,NUR")</f>
        <v>SDU,NUR</v>
      </c>
      <c r="I333" s="8" t="str">
        <f>IFERROR(__xludf.DUMMYFUNCTION("""COMPUTED_VALUE"""),"THU")</f>
        <v>THU</v>
      </c>
      <c r="J333" s="8" t="str">
        <f>IFERROR(__xludf.DUMMYFUNCTION("""COMPUTED_VALUE"""),"11:00 AM")</f>
        <v>11:00 AM</v>
      </c>
      <c r="K333" s="8" t="str">
        <f>IFERROR(__xludf.DUMMYFUNCTION("""COMPUTED_VALUE"""),"FT10-01L")</f>
        <v>FT10-01L</v>
      </c>
      <c r="L333" s="8"/>
      <c r="M333" s="10" t="str">
        <f>IFERROR(VLOOKUP(D333,FacultyList!B:G,6,FALSE),"")</f>
        <v>ihzaz.sadik@bracu.ac.bd</v>
      </c>
    </row>
    <row r="334">
      <c r="A334" s="5" t="str">
        <f>IFERROR(__xludf.DUMMYFUNCTION("""COMPUTED_VALUE"""),"CSE350-05B")</f>
        <v>CSE350-05B</v>
      </c>
      <c r="B334" s="8"/>
      <c r="C334" s="8"/>
      <c r="D334" s="8" t="str">
        <f>IFERROR(__xludf.DUMMYFUNCTION("""COMPUTED_VALUE"""),"ZAZ")</f>
        <v>ZAZ</v>
      </c>
      <c r="E334" s="8" t="str">
        <f>IFERROR(__xludf.DUMMYFUNCTION("""COMPUTED_VALUE"""),"MON+WED")</f>
        <v>MON+WED</v>
      </c>
      <c r="F334" s="8" t="str">
        <f>IFERROR(__xludf.DUMMYFUNCTION("""COMPUTED_VALUE"""),"9:30 AM")</f>
        <v>9:30 AM</v>
      </c>
      <c r="G334" s="9" t="str">
        <f>IFERROR(__xludf.DUMMYFUNCTION("""COMPUTED_VALUE"""),"07H-26C")</f>
        <v>07H-26C</v>
      </c>
      <c r="H334" s="8" t="str">
        <f>IFERROR(__xludf.DUMMYFUNCTION("""COMPUTED_VALUE"""),"ZAZ,TSE")</f>
        <v>ZAZ,TSE</v>
      </c>
      <c r="I334" s="8" t="str">
        <f>IFERROR(__xludf.DUMMYFUNCTION("""COMPUTED_VALUE"""),"THU")</f>
        <v>THU</v>
      </c>
      <c r="J334" s="8" t="str">
        <f>IFERROR(__xludf.DUMMYFUNCTION("""COMPUTED_VALUE"""),"11:00 AM")</f>
        <v>11:00 AM</v>
      </c>
      <c r="K334" s="8" t="str">
        <f>IFERROR(__xludf.DUMMYFUNCTION("""COMPUTED_VALUE"""),"FT11-01L")</f>
        <v>FT11-01L</v>
      </c>
      <c r="L334" s="8"/>
      <c r="M334" s="10" t="str">
        <f>IFERROR(VLOOKUP(D334,FacultyList!B:G,6,FALSE),"")</f>
        <v>ihzaz.sadik@bracu.ac.bd</v>
      </c>
    </row>
    <row r="335">
      <c r="A335" s="5" t="str">
        <f>IFERROR(__xludf.DUMMYFUNCTION("""COMPUTED_VALUE"""),"CSE350-06A")</f>
        <v>CSE350-06A</v>
      </c>
      <c r="B335" s="8"/>
      <c r="C335" s="8"/>
      <c r="D335" s="8" t="str">
        <f>IFERROR(__xludf.DUMMYFUNCTION("""COMPUTED_VALUE"""),"TSE")</f>
        <v>TSE</v>
      </c>
      <c r="E335" s="8" t="str">
        <f>IFERROR(__xludf.DUMMYFUNCTION("""COMPUTED_VALUE"""),"MON+WED")</f>
        <v>MON+WED</v>
      </c>
      <c r="F335" s="8" t="str">
        <f>IFERROR(__xludf.DUMMYFUNCTION("""COMPUTED_VALUE"""),"11:00 AM")</f>
        <v>11:00 AM</v>
      </c>
      <c r="G335" s="9" t="str">
        <f>IFERROR(__xludf.DUMMYFUNCTION("""COMPUTED_VALUE"""),"07H-26C")</f>
        <v>07H-26C</v>
      </c>
      <c r="H335" s="8" t="str">
        <f>IFERROR(__xludf.DUMMYFUNCTION("""COMPUTED_VALUE"""),"TSE,MTOT")</f>
        <v>TSE,MTOT</v>
      </c>
      <c r="I335" s="8" t="str">
        <f>IFERROR(__xludf.DUMMYFUNCTION("""COMPUTED_VALUE"""),"TUE")</f>
        <v>TUE</v>
      </c>
      <c r="J335" s="8" t="str">
        <f>IFERROR(__xludf.DUMMYFUNCTION("""COMPUTED_VALUE"""),"2:00 PM")</f>
        <v>2:00 PM</v>
      </c>
      <c r="K335" s="8" t="str">
        <f>IFERROR(__xludf.DUMMYFUNCTION("""COMPUTED_VALUE"""),"12B-20L")</f>
        <v>12B-20L</v>
      </c>
      <c r="L335" s="8"/>
      <c r="M335" s="10" t="str">
        <f>IFERROR(VLOOKUP(D335,FacultyList!B:G,6,FALSE),"")</f>
        <v>tasneem.mazhar@bracu.ac.bd</v>
      </c>
    </row>
    <row r="336">
      <c r="A336" s="5" t="str">
        <f>IFERROR(__xludf.DUMMYFUNCTION("""COMPUTED_VALUE"""),"CSE350-06B")</f>
        <v>CSE350-06B</v>
      </c>
      <c r="B336" s="8"/>
      <c r="C336" s="8"/>
      <c r="D336" s="8" t="str">
        <f>IFERROR(__xludf.DUMMYFUNCTION("""COMPUTED_VALUE"""),"TSE")</f>
        <v>TSE</v>
      </c>
      <c r="E336" s="8" t="str">
        <f>IFERROR(__xludf.DUMMYFUNCTION("""COMPUTED_VALUE"""),"MON+WED")</f>
        <v>MON+WED</v>
      </c>
      <c r="F336" s="8" t="str">
        <f>IFERROR(__xludf.DUMMYFUNCTION("""COMPUTED_VALUE"""),"11:00 AM")</f>
        <v>11:00 AM</v>
      </c>
      <c r="G336" s="9" t="str">
        <f>IFERROR(__xludf.DUMMYFUNCTION("""COMPUTED_VALUE"""),"07H-26C")</f>
        <v>07H-26C</v>
      </c>
      <c r="H336" s="8" t="str">
        <f>IFERROR(__xludf.DUMMYFUNCTION("""COMPUTED_VALUE"""),"UTS,AQT")</f>
        <v>UTS,AQT</v>
      </c>
      <c r="I336" s="8" t="str">
        <f>IFERROR(__xludf.DUMMYFUNCTION("""COMPUTED_VALUE"""),"TUE")</f>
        <v>TUE</v>
      </c>
      <c r="J336" s="8" t="str">
        <f>IFERROR(__xludf.DUMMYFUNCTION("""COMPUTED_VALUE"""),"2:00 PM")</f>
        <v>2:00 PM</v>
      </c>
      <c r="K336" s="8" t="str">
        <f>IFERROR(__xludf.DUMMYFUNCTION("""COMPUTED_VALUE"""),"12B-20L")</f>
        <v>12B-20L</v>
      </c>
      <c r="L336" s="8"/>
      <c r="M336" s="10" t="str">
        <f>IFERROR(VLOOKUP(D336,FacultyList!B:G,6,FALSE),"")</f>
        <v>tasneem.mazhar@bracu.ac.bd</v>
      </c>
    </row>
    <row r="337">
      <c r="A337" s="5" t="str">
        <f>IFERROR(__xludf.DUMMYFUNCTION("""COMPUTED_VALUE"""),"CSE350-07A")</f>
        <v>CSE350-07A</v>
      </c>
      <c r="B337" s="8"/>
      <c r="C337" s="8"/>
      <c r="D337" s="8" t="str">
        <f>IFERROR(__xludf.DUMMYFUNCTION("""COMPUTED_VALUE"""),"MTOT")</f>
        <v>MTOT</v>
      </c>
      <c r="E337" s="8" t="str">
        <f>IFERROR(__xludf.DUMMYFUNCTION("""COMPUTED_VALUE"""),"MON+WED")</f>
        <v>MON+WED</v>
      </c>
      <c r="F337" s="8" t="str">
        <f>IFERROR(__xludf.DUMMYFUNCTION("""COMPUTED_VALUE"""),"12:30 PM")</f>
        <v>12:30 PM</v>
      </c>
      <c r="G337" s="9" t="str">
        <f>IFERROR(__xludf.DUMMYFUNCTION("""COMPUTED_VALUE"""),"07H-26C")</f>
        <v>07H-26C</v>
      </c>
      <c r="H337" s="8" t="str">
        <f>IFERROR(__xludf.DUMMYFUNCTION("""COMPUTED_VALUE"""),"THL,TSE")</f>
        <v>THL,TSE</v>
      </c>
      <c r="I337" s="8" t="str">
        <f>IFERROR(__xludf.DUMMYFUNCTION("""COMPUTED_VALUE"""),"TUE")</f>
        <v>TUE</v>
      </c>
      <c r="J337" s="8" t="str">
        <f>IFERROR(__xludf.DUMMYFUNCTION("""COMPUTED_VALUE"""),"8:00 AM")</f>
        <v>8:00 AM</v>
      </c>
      <c r="K337" s="8" t="str">
        <f>IFERROR(__xludf.DUMMYFUNCTION("""COMPUTED_VALUE"""),"12B-20L")</f>
        <v>12B-20L</v>
      </c>
      <c r="L337" s="8"/>
      <c r="M337" s="10" t="str">
        <f>IFERROR(VLOOKUP(D337,FacultyList!B:G,6,FALSE),"")</f>
        <v>ext.toky.tazwar@bracu.ac.bd</v>
      </c>
    </row>
    <row r="338">
      <c r="A338" s="5" t="str">
        <f>IFERROR(__xludf.DUMMYFUNCTION("""COMPUTED_VALUE"""),"CSE350-07B")</f>
        <v>CSE350-07B</v>
      </c>
      <c r="B338" s="8"/>
      <c r="C338" s="8"/>
      <c r="D338" s="8" t="str">
        <f>IFERROR(__xludf.DUMMYFUNCTION("""COMPUTED_VALUE"""),"MTOT")</f>
        <v>MTOT</v>
      </c>
      <c r="E338" s="8" t="str">
        <f>IFERROR(__xludf.DUMMYFUNCTION("""COMPUTED_VALUE"""),"MON+WED")</f>
        <v>MON+WED</v>
      </c>
      <c r="F338" s="8" t="str">
        <f>IFERROR(__xludf.DUMMYFUNCTION("""COMPUTED_VALUE"""),"12:30 PM")</f>
        <v>12:30 PM</v>
      </c>
      <c r="G338" s="9" t="str">
        <f>IFERROR(__xludf.DUMMYFUNCTION("""COMPUTED_VALUE"""),"07H-26C")</f>
        <v>07H-26C</v>
      </c>
      <c r="H338" s="8" t="str">
        <f>IFERROR(__xludf.DUMMYFUNCTION("""COMPUTED_VALUE"""),"FFR,SHJR")</f>
        <v>FFR,SHJR</v>
      </c>
      <c r="I338" s="8" t="str">
        <f>IFERROR(__xludf.DUMMYFUNCTION("""COMPUTED_VALUE"""),"TUE")</f>
        <v>TUE</v>
      </c>
      <c r="J338" s="8" t="str">
        <f>IFERROR(__xludf.DUMMYFUNCTION("""COMPUTED_VALUE"""),"8:00 AM")</f>
        <v>8:00 AM</v>
      </c>
      <c r="K338" s="8" t="str">
        <f>IFERROR(__xludf.DUMMYFUNCTION("""COMPUTED_VALUE"""),"12B-20L")</f>
        <v>12B-20L</v>
      </c>
      <c r="L338" s="8"/>
      <c r="M338" s="10" t="str">
        <f>IFERROR(VLOOKUP(D338,FacultyList!B:G,6,FALSE),"")</f>
        <v>ext.toky.tazwar@bracu.ac.bd</v>
      </c>
    </row>
    <row r="339">
      <c r="A339" s="5" t="str">
        <f>IFERROR(__xludf.DUMMYFUNCTION("""COMPUTED_VALUE"""),"CSE350-08A")</f>
        <v>CSE350-08A</v>
      </c>
      <c r="B339" s="8"/>
      <c r="C339" s="8"/>
      <c r="D339" s="8" t="str">
        <f>IFERROR(__xludf.DUMMYFUNCTION("""COMPUTED_VALUE"""),"TSE")</f>
        <v>TSE</v>
      </c>
      <c r="E339" s="8" t="str">
        <f>IFERROR(__xludf.DUMMYFUNCTION("""COMPUTED_VALUE"""),"MON+WED")</f>
        <v>MON+WED</v>
      </c>
      <c r="F339" s="8" t="str">
        <f>IFERROR(__xludf.DUMMYFUNCTION("""COMPUTED_VALUE"""),"2:00 PM")</f>
        <v>2:00 PM</v>
      </c>
      <c r="G339" s="9" t="str">
        <f>IFERROR(__xludf.DUMMYFUNCTION("""COMPUTED_VALUE"""),"07H-26C")</f>
        <v>07H-26C</v>
      </c>
      <c r="H339" s="8" t="str">
        <f>IFERROR(__xludf.DUMMYFUNCTION("""COMPUTED_VALUE"""),"AKJ,SEF")</f>
        <v>AKJ,SEF</v>
      </c>
      <c r="I339" s="8" t="str">
        <f>IFERROR(__xludf.DUMMYFUNCTION("""COMPUTED_VALUE"""),"SUN")</f>
        <v>SUN</v>
      </c>
      <c r="J339" s="8" t="str">
        <f>IFERROR(__xludf.DUMMYFUNCTION("""COMPUTED_VALUE"""),"8:00 AM")</f>
        <v>8:00 AM</v>
      </c>
      <c r="K339" s="8" t="str">
        <f>IFERROR(__xludf.DUMMYFUNCTION("""COMPUTED_VALUE"""),"FT10-01L")</f>
        <v>FT10-01L</v>
      </c>
      <c r="L339" s="8"/>
      <c r="M339" s="10" t="str">
        <f>IFERROR(VLOOKUP(D339,FacultyList!B:G,6,FALSE),"")</f>
        <v>tasneem.mazhar@bracu.ac.bd</v>
      </c>
    </row>
    <row r="340">
      <c r="A340" s="5" t="str">
        <f>IFERROR(__xludf.DUMMYFUNCTION("""COMPUTED_VALUE"""),"CSE350-09A")</f>
        <v>CSE350-09A</v>
      </c>
      <c r="B340" s="8"/>
      <c r="C340" s="8"/>
      <c r="D340" s="8" t="str">
        <f>IFERROR(__xludf.DUMMYFUNCTION("""COMPUTED_VALUE"""),"SZZ")</f>
        <v>SZZ</v>
      </c>
      <c r="E340" s="8" t="str">
        <f>IFERROR(__xludf.DUMMYFUNCTION("""COMPUTED_VALUE"""),"SAT+THU")</f>
        <v>SAT+THU</v>
      </c>
      <c r="F340" s="8" t="str">
        <f>IFERROR(__xludf.DUMMYFUNCTION("""COMPUTED_VALUE"""),"9:30 AM")</f>
        <v>9:30 AM</v>
      </c>
      <c r="G340" s="9" t="str">
        <f>IFERROR(__xludf.DUMMYFUNCTION("""COMPUTED_VALUE"""),"07H-26C")</f>
        <v>07H-26C</v>
      </c>
      <c r="H340" s="8" t="str">
        <f>IFERROR(__xludf.DUMMYFUNCTION("""COMPUTED_VALUE"""),"SDU,SZZ")</f>
        <v>SDU,SZZ</v>
      </c>
      <c r="I340" s="8" t="str">
        <f>IFERROR(__xludf.DUMMYFUNCTION("""COMPUTED_VALUE"""),"MON")</f>
        <v>MON</v>
      </c>
      <c r="J340" s="8" t="str">
        <f>IFERROR(__xludf.DUMMYFUNCTION("""COMPUTED_VALUE"""),"2:00 PM")</f>
        <v>2:00 PM</v>
      </c>
      <c r="K340" s="8" t="str">
        <f>IFERROR(__xludf.DUMMYFUNCTION("""COMPUTED_VALUE"""),"12B-20L")</f>
        <v>12B-20L</v>
      </c>
      <c r="L340" s="8"/>
      <c r="M340" s="10" t="str">
        <f>IFERROR(VLOOKUP(D340,FacultyList!B:G,6,FALSE),"")</f>
        <v>sazzadul.islam@bracu.ac.bd</v>
      </c>
    </row>
    <row r="341">
      <c r="A341" s="5" t="str">
        <f>IFERROR(__xludf.DUMMYFUNCTION("""COMPUTED_VALUE"""),"CSE350-09B")</f>
        <v>CSE350-09B</v>
      </c>
      <c r="B341" s="8"/>
      <c r="C341" s="8"/>
      <c r="D341" s="8" t="str">
        <f>IFERROR(__xludf.DUMMYFUNCTION("""COMPUTED_VALUE"""),"SZZ")</f>
        <v>SZZ</v>
      </c>
      <c r="E341" s="8" t="str">
        <f>IFERROR(__xludf.DUMMYFUNCTION("""COMPUTED_VALUE"""),"SAT+THU")</f>
        <v>SAT+THU</v>
      </c>
      <c r="F341" s="8" t="str">
        <f>IFERROR(__xludf.DUMMYFUNCTION("""COMPUTED_VALUE"""),"9:30 AM")</f>
        <v>9:30 AM</v>
      </c>
      <c r="G341" s="9" t="str">
        <f>IFERROR(__xludf.DUMMYFUNCTION("""COMPUTED_VALUE"""),"07H-26C")</f>
        <v>07H-26C</v>
      </c>
      <c r="H341" s="8" t="str">
        <f>IFERROR(__xludf.DUMMYFUNCTION("""COMPUTED_VALUE"""),"UPM,MTOT")</f>
        <v>UPM,MTOT</v>
      </c>
      <c r="I341" s="8" t="str">
        <f>IFERROR(__xludf.DUMMYFUNCTION("""COMPUTED_VALUE"""),"MON")</f>
        <v>MON</v>
      </c>
      <c r="J341" s="8" t="str">
        <f>IFERROR(__xludf.DUMMYFUNCTION("""COMPUTED_VALUE"""),"2:00 PM")</f>
        <v>2:00 PM</v>
      </c>
      <c r="K341" s="8" t="str">
        <f>IFERROR(__xludf.DUMMYFUNCTION("""COMPUTED_VALUE"""),"12B-20L")</f>
        <v>12B-20L</v>
      </c>
      <c r="L341" s="8"/>
      <c r="M341" s="10" t="str">
        <f>IFERROR(VLOOKUP(D341,FacultyList!B:G,6,FALSE),"")</f>
        <v>sazzadul.islam@bracu.ac.bd</v>
      </c>
    </row>
    <row r="342">
      <c r="A342" s="5" t="str">
        <f>IFERROR(__xludf.DUMMYFUNCTION("""COMPUTED_VALUE"""),"CSE350-10A")</f>
        <v>CSE350-10A</v>
      </c>
      <c r="B342" s="8"/>
      <c r="C342" s="8"/>
      <c r="D342" s="8" t="str">
        <f>IFERROR(__xludf.DUMMYFUNCTION("""COMPUTED_VALUE"""),"ZBH")</f>
        <v>ZBH</v>
      </c>
      <c r="E342" s="8" t="str">
        <f>IFERROR(__xludf.DUMMYFUNCTION("""COMPUTED_VALUE"""),"SAT+THU")</f>
        <v>SAT+THU</v>
      </c>
      <c r="F342" s="8" t="str">
        <f>IFERROR(__xludf.DUMMYFUNCTION("""COMPUTED_VALUE"""),"12:30 PM")</f>
        <v>12:30 PM</v>
      </c>
      <c r="G342" s="9" t="str">
        <f>IFERROR(__xludf.DUMMYFUNCTION("""COMPUTED_VALUE"""),"07H-26C")</f>
        <v>07H-26C</v>
      </c>
      <c r="H342" s="8" t="str">
        <f>IFERROR(__xludf.DUMMYFUNCTION("""COMPUTED_VALUE"""),"SDQ,TSE")</f>
        <v>SDQ,TSE</v>
      </c>
      <c r="I342" s="8" t="str">
        <f>IFERROR(__xludf.DUMMYFUNCTION("""COMPUTED_VALUE"""),"SUN")</f>
        <v>SUN</v>
      </c>
      <c r="J342" s="8" t="str">
        <f>IFERROR(__xludf.DUMMYFUNCTION("""COMPUTED_VALUE"""),"2:00 PM")</f>
        <v>2:00 PM</v>
      </c>
      <c r="K342" s="8" t="str">
        <f>IFERROR(__xludf.DUMMYFUNCTION("""COMPUTED_VALUE"""),"12B-20L")</f>
        <v>12B-20L</v>
      </c>
      <c r="L342" s="8"/>
      <c r="M342" s="10" t="str">
        <f>IFERROR(VLOOKUP(D342,FacultyList!B:G,6,FALSE),"")</f>
        <v>ext.zayed.zahir@bracu.ac.bd</v>
      </c>
    </row>
    <row r="343">
      <c r="A343" s="5" t="str">
        <f>IFERROR(__xludf.DUMMYFUNCTION("""COMPUTED_VALUE"""),"CSE350-10B")</f>
        <v>CSE350-10B</v>
      </c>
      <c r="B343" s="8"/>
      <c r="C343" s="8"/>
      <c r="D343" s="8" t="str">
        <f>IFERROR(__xludf.DUMMYFUNCTION("""COMPUTED_VALUE"""),"ZBH")</f>
        <v>ZBH</v>
      </c>
      <c r="E343" s="8" t="str">
        <f>IFERROR(__xludf.DUMMYFUNCTION("""COMPUTED_VALUE"""),"SAT+THU")</f>
        <v>SAT+THU</v>
      </c>
      <c r="F343" s="8" t="str">
        <f>IFERROR(__xludf.DUMMYFUNCTION("""COMPUTED_VALUE"""),"12:30 PM")</f>
        <v>12:30 PM</v>
      </c>
      <c r="G343" s="9" t="str">
        <f>IFERROR(__xludf.DUMMYFUNCTION("""COMPUTED_VALUE"""),"07H-26C")</f>
        <v>07H-26C</v>
      </c>
      <c r="H343" s="8" t="str">
        <f>IFERROR(__xludf.DUMMYFUNCTION("""COMPUTED_VALUE"""),"AKJ,NUR")</f>
        <v>AKJ,NUR</v>
      </c>
      <c r="I343" s="8" t="str">
        <f>IFERROR(__xludf.DUMMYFUNCTION("""COMPUTED_VALUE"""),"SUN")</f>
        <v>SUN</v>
      </c>
      <c r="J343" s="8" t="str">
        <f>IFERROR(__xludf.DUMMYFUNCTION("""COMPUTED_VALUE"""),"2:00 PM")</f>
        <v>2:00 PM</v>
      </c>
      <c r="K343" s="8" t="str">
        <f>IFERROR(__xludf.DUMMYFUNCTION("""COMPUTED_VALUE"""),"12B-20L")</f>
        <v>12B-20L</v>
      </c>
      <c r="L343" s="8"/>
      <c r="M343" s="10" t="str">
        <f>IFERROR(VLOOKUP(D343,FacultyList!B:G,6,FALSE),"")</f>
        <v>ext.zayed.zahir@bracu.ac.bd</v>
      </c>
    </row>
    <row r="344">
      <c r="A344" s="5" t="str">
        <f>IFERROR(__xludf.DUMMYFUNCTION("""COMPUTED_VALUE"""),"CSE350-11A")</f>
        <v>CSE350-11A</v>
      </c>
      <c r="B344" s="8"/>
      <c r="C344" s="8"/>
      <c r="D344" s="8" t="str">
        <f>IFERROR(__xludf.DUMMYFUNCTION("""COMPUTED_VALUE"""),"SHJR")</f>
        <v>SHJR</v>
      </c>
      <c r="E344" s="8" t="str">
        <f>IFERROR(__xludf.DUMMYFUNCTION("""COMPUTED_VALUE"""),"SAT+THU")</f>
        <v>SAT+THU</v>
      </c>
      <c r="F344" s="8" t="str">
        <f>IFERROR(__xludf.DUMMYFUNCTION("""COMPUTED_VALUE"""),"2:00 PM")</f>
        <v>2:00 PM</v>
      </c>
      <c r="G344" s="9" t="str">
        <f>IFERROR(__xludf.DUMMYFUNCTION("""COMPUTED_VALUE"""),"07H-26C")</f>
        <v>07H-26C</v>
      </c>
      <c r="H344" s="8" t="str">
        <f>IFERROR(__xludf.DUMMYFUNCTION("""COMPUTED_VALUE"""),"ARA,AQT")</f>
        <v>ARA,AQT</v>
      </c>
      <c r="I344" s="8" t="str">
        <f>IFERROR(__xludf.DUMMYFUNCTION("""COMPUTED_VALUE"""),"WED")</f>
        <v>WED</v>
      </c>
      <c r="J344" s="8" t="str">
        <f>IFERROR(__xludf.DUMMYFUNCTION("""COMPUTED_VALUE"""),"11:00 AM")</f>
        <v>11:00 AM</v>
      </c>
      <c r="K344" s="8" t="str">
        <f>IFERROR(__xludf.DUMMYFUNCTION("""COMPUTED_VALUE"""),"FT10-01L")</f>
        <v>FT10-01L</v>
      </c>
      <c r="L344" s="8"/>
      <c r="M344" s="10" t="str">
        <f>IFERROR(VLOOKUP(D344,FacultyList!B:G,6,FALSE),"")</f>
        <v>ext.shourov.joarder@bracu.ac.bd</v>
      </c>
    </row>
    <row r="345">
      <c r="A345" s="5" t="str">
        <f>IFERROR(__xludf.DUMMYFUNCTION("""COMPUTED_VALUE"""),"CSE360-01")</f>
        <v>CSE360-01</v>
      </c>
      <c r="B345" s="8"/>
      <c r="C345" s="8"/>
      <c r="D345" s="8" t="str">
        <f>IFERROR(__xludf.DUMMYFUNCTION("""COMPUTED_VALUE"""),"ASA")</f>
        <v>ASA</v>
      </c>
      <c r="E345" s="8" t="str">
        <f>IFERROR(__xludf.DUMMYFUNCTION("""COMPUTED_VALUE"""),"SUN+TUE")</f>
        <v>SUN+TUE</v>
      </c>
      <c r="F345" s="8" t="str">
        <f>IFERROR(__xludf.DUMMYFUNCTION("""COMPUTED_VALUE"""),"3:30 PM")</f>
        <v>3:30 PM</v>
      </c>
      <c r="G345" s="9" t="str">
        <f>IFERROR(__xludf.DUMMYFUNCTION("""COMPUTED_VALUE"""),"09C-16T")</f>
        <v>09C-16T</v>
      </c>
      <c r="H345" s="8" t="str">
        <f>IFERROR(__xludf.DUMMYFUNCTION("""COMPUTED_VALUE"""),"SMYA,UJT")</f>
        <v>SMYA,UJT</v>
      </c>
      <c r="I345" s="8" t="str">
        <f>IFERROR(__xludf.DUMMYFUNCTION("""COMPUTED_VALUE"""),"WED")</f>
        <v>WED</v>
      </c>
      <c r="J345" s="8" t="str">
        <f>IFERROR(__xludf.DUMMYFUNCTION("""COMPUTED_VALUE"""),"2:00 PM")</f>
        <v>2:00 PM</v>
      </c>
      <c r="K345" s="8" t="str">
        <f>IFERROR(__xludf.DUMMYFUNCTION("""COMPUTED_VALUE"""),"10G-33L")</f>
        <v>10G-33L</v>
      </c>
      <c r="L345" s="8"/>
      <c r="M345" s="10" t="str">
        <f>IFERROR(VLOOKUP(D345,FacultyList!B:G,6,FALSE),"")</f>
        <v>ashraful.alam@bracu.ac.bd</v>
      </c>
    </row>
    <row r="346">
      <c r="A346" s="5" t="str">
        <f>IFERROR(__xludf.DUMMYFUNCTION("""COMPUTED_VALUE"""),"CSE360-02")</f>
        <v>CSE360-02</v>
      </c>
      <c r="B346" s="8"/>
      <c r="C346" s="8"/>
      <c r="D346" s="8" t="str">
        <f>IFERROR(__xludf.DUMMYFUNCTION("""COMPUTED_VALUE"""),"ASA")</f>
        <v>ASA</v>
      </c>
      <c r="E346" s="8" t="str">
        <f>IFERROR(__xludf.DUMMYFUNCTION("""COMPUTED_VALUE"""),"SUN+TUE")</f>
        <v>SUN+TUE</v>
      </c>
      <c r="F346" s="8" t="str">
        <f>IFERROR(__xludf.DUMMYFUNCTION("""COMPUTED_VALUE"""),"3:30 PM")</f>
        <v>3:30 PM</v>
      </c>
      <c r="G346" s="9" t="str">
        <f>IFERROR(__xludf.DUMMYFUNCTION("""COMPUTED_VALUE"""),"09C-16T")</f>
        <v>09C-16T</v>
      </c>
      <c r="H346" s="8" t="str">
        <f>IFERROR(__xludf.DUMMYFUNCTION("""COMPUTED_VALUE"""),"SMYA,UJT")</f>
        <v>SMYA,UJT</v>
      </c>
      <c r="I346" s="8" t="str">
        <f>IFERROR(__xludf.DUMMYFUNCTION("""COMPUTED_VALUE"""),"WED")</f>
        <v>WED</v>
      </c>
      <c r="J346" s="8" t="str">
        <f>IFERROR(__xludf.DUMMYFUNCTION("""COMPUTED_VALUE"""),"2:00 PM")</f>
        <v>2:00 PM</v>
      </c>
      <c r="K346" s="8" t="str">
        <f>IFERROR(__xludf.DUMMYFUNCTION("""COMPUTED_VALUE"""),"10G-33L")</f>
        <v>10G-33L</v>
      </c>
      <c r="L346" s="8"/>
      <c r="M346" s="10" t="str">
        <f>IFERROR(VLOOKUP(D346,FacultyList!B:G,6,FALSE),"")</f>
        <v>ashraful.alam@bracu.ac.bd</v>
      </c>
    </row>
    <row r="347">
      <c r="A347" s="5" t="str">
        <f>IFERROR(__xludf.DUMMYFUNCTION("""COMPUTED_VALUE"""),"CSE360-03")</f>
        <v>CSE360-03</v>
      </c>
      <c r="B347" s="8"/>
      <c r="C347" s="8"/>
      <c r="D347" s="8" t="str">
        <f>IFERROR(__xludf.DUMMYFUNCTION("""COMPUTED_VALUE"""),"ASA")</f>
        <v>ASA</v>
      </c>
      <c r="E347" s="8" t="str">
        <f>IFERROR(__xludf.DUMMYFUNCTION("""COMPUTED_VALUE"""),"SUN+TUE")</f>
        <v>SUN+TUE</v>
      </c>
      <c r="F347" s="8" t="str">
        <f>IFERROR(__xludf.DUMMYFUNCTION("""COMPUTED_VALUE"""),"3:30 PM")</f>
        <v>3:30 PM</v>
      </c>
      <c r="G347" s="9" t="str">
        <f>IFERROR(__xludf.DUMMYFUNCTION("""COMPUTED_VALUE"""),"09C-16T")</f>
        <v>09C-16T</v>
      </c>
      <c r="H347" s="8" t="str">
        <f>IFERROR(__xludf.DUMMYFUNCTION("""COMPUTED_VALUE"""),"RDW,PRC")</f>
        <v>RDW,PRC</v>
      </c>
      <c r="I347" s="8" t="str">
        <f>IFERROR(__xludf.DUMMYFUNCTION("""COMPUTED_VALUE"""),"MON")</f>
        <v>MON</v>
      </c>
      <c r="J347" s="8" t="str">
        <f>IFERROR(__xludf.DUMMYFUNCTION("""COMPUTED_VALUE"""),"2:00 PM")</f>
        <v>2:00 PM</v>
      </c>
      <c r="K347" s="8" t="str">
        <f>IFERROR(__xludf.DUMMYFUNCTION("""COMPUTED_VALUE"""),"10G-32L")</f>
        <v>10G-32L</v>
      </c>
      <c r="L347" s="8"/>
      <c r="M347" s="10" t="str">
        <f>IFERROR(VLOOKUP(D347,FacultyList!B:G,6,FALSE),"")</f>
        <v>ashraful.alam@bracu.ac.bd</v>
      </c>
    </row>
    <row r="348">
      <c r="A348" s="5" t="str">
        <f>IFERROR(__xludf.DUMMYFUNCTION("""COMPUTED_VALUE"""),"CSE360-04")</f>
        <v>CSE360-04</v>
      </c>
      <c r="B348" s="8"/>
      <c r="C348" s="8"/>
      <c r="D348" s="8" t="str">
        <f>IFERROR(__xludf.DUMMYFUNCTION("""COMPUTED_VALUE"""),"SRU")</f>
        <v>SRU</v>
      </c>
      <c r="E348" s="8" t="str">
        <f>IFERROR(__xludf.DUMMYFUNCTION("""COMPUTED_VALUE"""),"MON+WED")</f>
        <v>MON+WED</v>
      </c>
      <c r="F348" s="8" t="str">
        <f>IFERROR(__xludf.DUMMYFUNCTION("""COMPUTED_VALUE"""),"12:30 PM")</f>
        <v>12:30 PM</v>
      </c>
      <c r="G348" s="9" t="str">
        <f>IFERROR(__xludf.DUMMYFUNCTION("""COMPUTED_VALUE"""),"09C-13C")</f>
        <v>09C-13C</v>
      </c>
      <c r="H348" s="8" t="str">
        <f>IFERROR(__xludf.DUMMYFUNCTION("""COMPUTED_VALUE"""),"PRC,SMYA")</f>
        <v>PRC,SMYA</v>
      </c>
      <c r="I348" s="8" t="str">
        <f>IFERROR(__xludf.DUMMYFUNCTION("""COMPUTED_VALUE"""),"TUE")</f>
        <v>TUE</v>
      </c>
      <c r="J348" s="8" t="str">
        <f>IFERROR(__xludf.DUMMYFUNCTION("""COMPUTED_VALUE"""),"2:00 PM")</f>
        <v>2:00 PM</v>
      </c>
      <c r="K348" s="8" t="str">
        <f>IFERROR(__xludf.DUMMYFUNCTION("""COMPUTED_VALUE"""),"10G-32L")</f>
        <v>10G-32L</v>
      </c>
      <c r="L348" s="8"/>
      <c r="M348" s="10" t="str">
        <f>IFERROR(VLOOKUP(D348,FacultyList!B:G,6,FALSE),"")</f>
        <v>shakir.rouf@bracu.ac.bd</v>
      </c>
    </row>
    <row r="349">
      <c r="A349" s="5" t="str">
        <f>IFERROR(__xludf.DUMMYFUNCTION("""COMPUTED_VALUE"""),"CSE360-05")</f>
        <v>CSE360-05</v>
      </c>
      <c r="B349" s="8"/>
      <c r="C349" s="8"/>
      <c r="D349" s="8" t="str">
        <f>IFERROR(__xludf.DUMMYFUNCTION("""COMPUTED_VALUE"""),"RDW")</f>
        <v>RDW</v>
      </c>
      <c r="E349" s="8" t="str">
        <f>IFERROR(__xludf.DUMMYFUNCTION("""COMPUTED_VALUE"""),"SUN+TUE")</f>
        <v>SUN+TUE</v>
      </c>
      <c r="F349" s="8" t="str">
        <f>IFERROR(__xludf.DUMMYFUNCTION("""COMPUTED_VALUE"""),"9:30 AM")</f>
        <v>9:30 AM</v>
      </c>
      <c r="G349" s="9" t="str">
        <f>IFERROR(__xludf.DUMMYFUNCTION("""COMPUTED_VALUE"""),"09H-34C")</f>
        <v>09H-34C</v>
      </c>
      <c r="H349" s="8" t="str">
        <f>IFERROR(__xludf.DUMMYFUNCTION("""COMPUTED_VALUE"""),"IRZ,PRC")</f>
        <v>IRZ,PRC</v>
      </c>
      <c r="I349" s="8" t="str">
        <f>IFERROR(__xludf.DUMMYFUNCTION("""COMPUTED_VALUE"""),"SAT")</f>
        <v>SAT</v>
      </c>
      <c r="J349" s="8" t="str">
        <f>IFERROR(__xludf.DUMMYFUNCTION("""COMPUTED_VALUE"""),"2:00 PM")</f>
        <v>2:00 PM</v>
      </c>
      <c r="K349" s="8" t="str">
        <f>IFERROR(__xludf.DUMMYFUNCTION("""COMPUTED_VALUE"""),"10G-32L")</f>
        <v>10G-32L</v>
      </c>
      <c r="L349" s="8"/>
      <c r="M349" s="10" t="str">
        <f>IFERROR(VLOOKUP(D349,FacultyList!B:G,6,FALSE),"")</f>
        <v>redowanul.akbar@bracu.ac.bd</v>
      </c>
    </row>
    <row r="350">
      <c r="A350" s="5" t="str">
        <f>IFERROR(__xludf.DUMMYFUNCTION("""COMPUTED_VALUE"""),"CSE360-06")</f>
        <v>CSE360-06</v>
      </c>
      <c r="B350" s="8"/>
      <c r="C350" s="8"/>
      <c r="D350" s="8" t="str">
        <f>IFERROR(__xludf.DUMMYFUNCTION("""COMPUTED_VALUE"""),"UJT")</f>
        <v>UJT</v>
      </c>
      <c r="E350" s="8" t="str">
        <f>IFERROR(__xludf.DUMMYFUNCTION("""COMPUTED_VALUE"""),"MON+WED")</f>
        <v>MON+WED</v>
      </c>
      <c r="F350" s="8" t="str">
        <f>IFERROR(__xludf.DUMMYFUNCTION("""COMPUTED_VALUE"""),"11:00 AM")</f>
        <v>11:00 AM</v>
      </c>
      <c r="G350" s="9" t="str">
        <f>IFERROR(__xludf.DUMMYFUNCTION("""COMPUTED_VALUE"""),"10B-15C")</f>
        <v>10B-15C</v>
      </c>
      <c r="H350" s="8" t="str">
        <f>IFERROR(__xludf.DUMMYFUNCTION("""COMPUTED_VALUE"""),"PRC,SMYA")</f>
        <v>PRC,SMYA</v>
      </c>
      <c r="I350" s="8" t="str">
        <f>IFERROR(__xludf.DUMMYFUNCTION("""COMPUTED_VALUE"""),"TUE")</f>
        <v>TUE</v>
      </c>
      <c r="J350" s="8" t="str">
        <f>IFERROR(__xludf.DUMMYFUNCTION("""COMPUTED_VALUE"""),"2:00 PM")</f>
        <v>2:00 PM</v>
      </c>
      <c r="K350" s="8" t="str">
        <f>IFERROR(__xludf.DUMMYFUNCTION("""COMPUTED_VALUE"""),"10G-32L")</f>
        <v>10G-32L</v>
      </c>
      <c r="L350" s="8"/>
      <c r="M350" s="10" t="str">
        <f>IFERROR(VLOOKUP(D350,FacultyList!B:G,6,FALSE),"")</f>
        <v>jannat.taposhi@bracu.ac.bd</v>
      </c>
    </row>
    <row r="351">
      <c r="A351" s="5" t="str">
        <f>IFERROR(__xludf.DUMMYFUNCTION("""COMPUTED_VALUE"""),"CSE360-07")</f>
        <v>CSE360-07</v>
      </c>
      <c r="B351" s="8"/>
      <c r="C351" s="8"/>
      <c r="D351" s="8" t="str">
        <f>IFERROR(__xludf.DUMMYFUNCTION("""COMPUTED_VALUE"""),"SMKD")</f>
        <v>SMKD</v>
      </c>
      <c r="E351" s="8" t="str">
        <f>IFERROR(__xludf.DUMMYFUNCTION("""COMPUTED_VALUE"""),"SAT+THU")</f>
        <v>SAT+THU</v>
      </c>
      <c r="F351" s="8" t="str">
        <f>IFERROR(__xludf.DUMMYFUNCTION("""COMPUTED_VALUE"""),"2:00 PM")</f>
        <v>2:00 PM</v>
      </c>
      <c r="G351" s="9" t="str">
        <f>IFERROR(__xludf.DUMMYFUNCTION("""COMPUTED_VALUE"""),"09H-32C")</f>
        <v>09H-32C</v>
      </c>
      <c r="H351" s="8" t="str">
        <f>IFERROR(__xludf.DUMMYFUNCTION("""COMPUTED_VALUE"""),"RDW,PRC")</f>
        <v>RDW,PRC</v>
      </c>
      <c r="I351" s="8" t="str">
        <f>IFERROR(__xludf.DUMMYFUNCTION("""COMPUTED_VALUE"""),"MON")</f>
        <v>MON</v>
      </c>
      <c r="J351" s="8" t="str">
        <f>IFERROR(__xludf.DUMMYFUNCTION("""COMPUTED_VALUE"""),"2:00 PM")</f>
        <v>2:00 PM</v>
      </c>
      <c r="K351" s="8" t="str">
        <f>IFERROR(__xludf.DUMMYFUNCTION("""COMPUTED_VALUE"""),"10G-32L")</f>
        <v>10G-32L</v>
      </c>
      <c r="L351" s="8"/>
      <c r="M351" s="10" t="str">
        <f>IFERROR(VLOOKUP(D351,FacultyList!B:G,6,FALSE),"")</f>
        <v>ext.samiul.kadir@bracu.ac.bd</v>
      </c>
    </row>
    <row r="352">
      <c r="A352" s="5" t="str">
        <f>IFERROR(__xludf.DUMMYFUNCTION("""COMPUTED_VALUE"""),"CSE360-08")</f>
        <v>CSE360-08</v>
      </c>
      <c r="B352" s="8"/>
      <c r="C352" s="8"/>
      <c r="D352" s="8" t="str">
        <f>IFERROR(__xludf.DUMMYFUNCTION("""COMPUTED_VALUE"""),"SHBK")</f>
        <v>SHBK</v>
      </c>
      <c r="E352" s="8" t="str">
        <f>IFERROR(__xludf.DUMMYFUNCTION("""COMPUTED_VALUE"""),"SUN+TUE")</f>
        <v>SUN+TUE</v>
      </c>
      <c r="F352" s="8" t="str">
        <f>IFERROR(__xludf.DUMMYFUNCTION("""COMPUTED_VALUE"""),"8:00 AM")</f>
        <v>8:00 AM</v>
      </c>
      <c r="G352" s="9" t="str">
        <f>IFERROR(__xludf.DUMMYFUNCTION("""COMPUTED_VALUE"""),"09H-35C")</f>
        <v>09H-35C</v>
      </c>
      <c r="H352" s="8" t="str">
        <f>IFERROR(__xludf.DUMMYFUNCTION("""COMPUTED_VALUE"""),"IRZ,PRC")</f>
        <v>IRZ,PRC</v>
      </c>
      <c r="I352" s="8" t="str">
        <f>IFERROR(__xludf.DUMMYFUNCTION("""COMPUTED_VALUE"""),"SAT")</f>
        <v>SAT</v>
      </c>
      <c r="J352" s="8" t="str">
        <f>IFERROR(__xludf.DUMMYFUNCTION("""COMPUTED_VALUE"""),"2:00 PM")</f>
        <v>2:00 PM</v>
      </c>
      <c r="K352" s="8" t="str">
        <f>IFERROR(__xludf.DUMMYFUNCTION("""COMPUTED_VALUE"""),"10G-32L")</f>
        <v>10G-32L</v>
      </c>
      <c r="L352" s="8"/>
      <c r="M352" s="10" t="str">
        <f>IFERROR(VLOOKUP(D352,FacultyList!B:G,6,FALSE),"")</f>
        <v>sahib.kowsar@bracu.ac.bd</v>
      </c>
    </row>
    <row r="353">
      <c r="A353" s="5" t="str">
        <f>IFERROR(__xludf.DUMMYFUNCTION("""COMPUTED_VALUE"""),"CSE370-01")</f>
        <v>CSE370-01</v>
      </c>
      <c r="B353" s="8"/>
      <c r="C353" s="8"/>
      <c r="D353" s="8" t="str">
        <f>IFERROR(__xludf.DUMMYFUNCTION("""COMPUTED_VALUE"""),"NNC")</f>
        <v>NNC</v>
      </c>
      <c r="E353" s="8" t="str">
        <f>IFERROR(__xludf.DUMMYFUNCTION("""COMPUTED_VALUE"""),"MON+WED")</f>
        <v>MON+WED</v>
      </c>
      <c r="F353" s="8" t="str">
        <f>IFERROR(__xludf.DUMMYFUNCTION("""COMPUTED_VALUE"""),"8:00 AM")</f>
        <v>8:00 AM</v>
      </c>
      <c r="G353" s="9" t="str">
        <f>IFERROR(__xludf.DUMMYFUNCTION("""COMPUTED_VALUE"""),"10A-05C")</f>
        <v>10A-05C</v>
      </c>
      <c r="H353" s="8" t="str">
        <f>IFERROR(__xludf.DUMMYFUNCTION("""COMPUTED_VALUE"""),"FDM,TRZA")</f>
        <v>FDM,TRZA</v>
      </c>
      <c r="I353" s="8" t="str">
        <f>IFERROR(__xludf.DUMMYFUNCTION("""COMPUTED_VALUE"""),"THU")</f>
        <v>THU</v>
      </c>
      <c r="J353" s="8" t="str">
        <f>IFERROR(__xludf.DUMMYFUNCTION("""COMPUTED_VALUE"""),"8:00 AM")</f>
        <v>8:00 AM</v>
      </c>
      <c r="K353" s="8" t="str">
        <f>IFERROR(__xludf.DUMMYFUNCTION("""COMPUTED_VALUE"""),"12F-31L")</f>
        <v>12F-31L</v>
      </c>
      <c r="L353" s="8"/>
      <c r="M353" s="10" t="str">
        <f>IFERROR(VLOOKUP(D353,FacultyList!B:G,6,FALSE),"")</f>
        <v>najeefa.chy@bracu.ac.bd</v>
      </c>
    </row>
    <row r="354">
      <c r="A354" s="5" t="str">
        <f>IFERROR(__xludf.DUMMYFUNCTION("""COMPUTED_VALUE"""),"CSE370-02")</f>
        <v>CSE370-02</v>
      </c>
      <c r="B354" s="8"/>
      <c r="C354" s="8"/>
      <c r="D354" s="8" t="str">
        <f>IFERROR(__xludf.DUMMYFUNCTION("""COMPUTED_VALUE"""),"NNC")</f>
        <v>NNC</v>
      </c>
      <c r="E354" s="8" t="str">
        <f>IFERROR(__xludf.DUMMYFUNCTION("""COMPUTED_VALUE"""),"MON+WED")</f>
        <v>MON+WED</v>
      </c>
      <c r="F354" s="8" t="str">
        <f>IFERROR(__xludf.DUMMYFUNCTION("""COMPUTED_VALUE"""),"9:30 AM")</f>
        <v>9:30 AM</v>
      </c>
      <c r="G354" s="9" t="str">
        <f>IFERROR(__xludf.DUMMYFUNCTION("""COMPUTED_VALUE"""),"10A-05C")</f>
        <v>10A-05C</v>
      </c>
      <c r="H354" s="8" t="str">
        <f>IFERROR(__xludf.DUMMYFUNCTION("""COMPUTED_VALUE"""),"FEK,NZU")</f>
        <v>FEK,NZU</v>
      </c>
      <c r="I354" s="8" t="str">
        <f>IFERROR(__xludf.DUMMYFUNCTION("""COMPUTED_VALUE"""),"TUE")</f>
        <v>TUE</v>
      </c>
      <c r="J354" s="8" t="str">
        <f>IFERROR(__xludf.DUMMYFUNCTION("""COMPUTED_VALUE"""),"11:00 AM")</f>
        <v>11:00 AM</v>
      </c>
      <c r="K354" s="8" t="str">
        <f>IFERROR(__xludf.DUMMYFUNCTION("""COMPUTED_VALUE"""),"12F-31L")</f>
        <v>12F-31L</v>
      </c>
      <c r="L354" s="8"/>
      <c r="M354" s="10" t="str">
        <f>IFERROR(VLOOKUP(D354,FacultyList!B:G,6,FALSE),"")</f>
        <v>najeefa.chy@bracu.ac.bd</v>
      </c>
    </row>
    <row r="355">
      <c r="A355" s="5" t="str">
        <f>IFERROR(__xludf.DUMMYFUNCTION("""COMPUTED_VALUE"""),"CSE370-03")</f>
        <v>CSE370-03</v>
      </c>
      <c r="B355" s="8"/>
      <c r="C355" s="8"/>
      <c r="D355" s="8" t="str">
        <f>IFERROR(__xludf.DUMMYFUNCTION("""COMPUTED_VALUE"""),"NNC")</f>
        <v>NNC</v>
      </c>
      <c r="E355" s="8" t="str">
        <f>IFERROR(__xludf.DUMMYFUNCTION("""COMPUTED_VALUE"""),"SUN+TUE")</f>
        <v>SUN+TUE</v>
      </c>
      <c r="F355" s="8" t="str">
        <f>IFERROR(__xludf.DUMMYFUNCTION("""COMPUTED_VALUE"""),"8:00 AM")</f>
        <v>8:00 AM</v>
      </c>
      <c r="G355" s="9" t="str">
        <f>IFERROR(__xludf.DUMMYFUNCTION("""COMPUTED_VALUE"""),"10A-10C")</f>
        <v>10A-10C</v>
      </c>
      <c r="H355" s="8" t="str">
        <f>IFERROR(__xludf.DUMMYFUNCTION("""COMPUTED_VALUE"""),"NZU,FEK")</f>
        <v>NZU,FEK</v>
      </c>
      <c r="I355" s="8" t="str">
        <f>IFERROR(__xludf.DUMMYFUNCTION("""COMPUTED_VALUE"""),"MON")</f>
        <v>MON</v>
      </c>
      <c r="J355" s="8" t="str">
        <f>IFERROR(__xludf.DUMMYFUNCTION("""COMPUTED_VALUE"""),"8:00 AM")</f>
        <v>8:00 AM</v>
      </c>
      <c r="K355" s="8" t="str">
        <f>IFERROR(__xludf.DUMMYFUNCTION("""COMPUTED_VALUE"""),"12F-32L")</f>
        <v>12F-32L</v>
      </c>
      <c r="L355" s="8"/>
      <c r="M355" s="10" t="str">
        <f>IFERROR(VLOOKUP(D355,FacultyList!B:G,6,FALSE),"")</f>
        <v>najeefa.chy@bracu.ac.bd</v>
      </c>
    </row>
    <row r="356">
      <c r="A356" s="5" t="str">
        <f>IFERROR(__xludf.DUMMYFUNCTION("""COMPUTED_VALUE"""),"CSE370-04")</f>
        <v>CSE370-04</v>
      </c>
      <c r="B356" s="8"/>
      <c r="C356" s="8"/>
      <c r="D356" s="8" t="str">
        <f>IFERROR(__xludf.DUMMYFUNCTION("""COMPUTED_VALUE"""),"NNC")</f>
        <v>NNC</v>
      </c>
      <c r="E356" s="8" t="str">
        <f>IFERROR(__xludf.DUMMYFUNCTION("""COMPUTED_VALUE"""),"SUN+TUE")</f>
        <v>SUN+TUE</v>
      </c>
      <c r="F356" s="8" t="str">
        <f>IFERROR(__xludf.DUMMYFUNCTION("""COMPUTED_VALUE"""),"9:30 AM")</f>
        <v>9:30 AM</v>
      </c>
      <c r="G356" s="9" t="str">
        <f>IFERROR(__xludf.DUMMYFUNCTION("""COMPUTED_VALUE"""),"10A-10C")</f>
        <v>10A-10C</v>
      </c>
      <c r="H356" s="8" t="str">
        <f>IFERROR(__xludf.DUMMYFUNCTION("""COMPUTED_VALUE"""),"MAHS,CSYR")</f>
        <v>MAHS,CSYR</v>
      </c>
      <c r="I356" s="8" t="str">
        <f>IFERROR(__xludf.DUMMYFUNCTION("""COMPUTED_VALUE"""),"SAT")</f>
        <v>SAT</v>
      </c>
      <c r="J356" s="8" t="str">
        <f>IFERROR(__xludf.DUMMYFUNCTION("""COMPUTED_VALUE"""),"8:00 AM")</f>
        <v>8:00 AM</v>
      </c>
      <c r="K356" s="8" t="str">
        <f>IFERROR(__xludf.DUMMYFUNCTION("""COMPUTED_VALUE"""),"12F-30L")</f>
        <v>12F-30L</v>
      </c>
      <c r="L356" s="8"/>
      <c r="M356" s="10" t="str">
        <f>IFERROR(VLOOKUP(D356,FacultyList!B:G,6,FALSE),"")</f>
        <v>najeefa.chy@bracu.ac.bd</v>
      </c>
    </row>
    <row r="357">
      <c r="A357" s="5" t="str">
        <f>IFERROR(__xludf.DUMMYFUNCTION("""COMPUTED_VALUE"""),"CSE370-05")</f>
        <v>CSE370-05</v>
      </c>
      <c r="B357" s="8"/>
      <c r="C357" s="8"/>
      <c r="D357" s="8" t="str">
        <f>IFERROR(__xludf.DUMMYFUNCTION("""COMPUTED_VALUE"""),"RBR")</f>
        <v>RBR</v>
      </c>
      <c r="E357" s="8" t="str">
        <f>IFERROR(__xludf.DUMMYFUNCTION("""COMPUTED_VALUE"""),"SUN+TUE")</f>
        <v>SUN+TUE</v>
      </c>
      <c r="F357" s="8" t="str">
        <f>IFERROR(__xludf.DUMMYFUNCTION("""COMPUTED_VALUE"""),"11:00 AM")</f>
        <v>11:00 AM</v>
      </c>
      <c r="G357" s="9" t="str">
        <f>IFERROR(__xludf.DUMMYFUNCTION("""COMPUTED_VALUE"""),"10A-04C")</f>
        <v>10A-04C</v>
      </c>
      <c r="H357" s="8" t="str">
        <f>IFERROR(__xludf.DUMMYFUNCTION("""COMPUTED_VALUE"""),"NZU,RAHA")</f>
        <v>NZU,RAHA</v>
      </c>
      <c r="I357" s="8" t="str">
        <f>IFERROR(__xludf.DUMMYFUNCTION("""COMPUTED_VALUE"""),"SUN")</f>
        <v>SUN</v>
      </c>
      <c r="J357" s="8" t="str">
        <f>IFERROR(__xludf.DUMMYFUNCTION("""COMPUTED_VALUE"""),"2:00 PM")</f>
        <v>2:00 PM</v>
      </c>
      <c r="K357" s="8" t="str">
        <f>IFERROR(__xludf.DUMMYFUNCTION("""COMPUTED_VALUE"""),"12F-32L")</f>
        <v>12F-32L</v>
      </c>
      <c r="L357" s="8"/>
      <c r="M357" s="10" t="str">
        <f>IFERROR(VLOOKUP(D357,FacultyList!B:G,6,FALSE),"")</f>
        <v>rakin.rabbani@bracu.ac.bd</v>
      </c>
    </row>
    <row r="358">
      <c r="A358" s="5" t="str">
        <f>IFERROR(__xludf.DUMMYFUNCTION("""COMPUTED_VALUE"""),"CSE370-06")</f>
        <v>CSE370-06</v>
      </c>
      <c r="B358" s="8"/>
      <c r="C358" s="8"/>
      <c r="D358" s="8" t="str">
        <f>IFERROR(__xludf.DUMMYFUNCTION("""COMPUTED_VALUE"""),"RBR")</f>
        <v>RBR</v>
      </c>
      <c r="E358" s="8" t="str">
        <f>IFERROR(__xludf.DUMMYFUNCTION("""COMPUTED_VALUE"""),"SUN+TUE")</f>
        <v>SUN+TUE</v>
      </c>
      <c r="F358" s="8" t="str">
        <f>IFERROR(__xludf.DUMMYFUNCTION("""COMPUTED_VALUE"""),"12:30 PM")</f>
        <v>12:30 PM</v>
      </c>
      <c r="G358" s="9" t="str">
        <f>IFERROR(__xludf.DUMMYFUNCTION("""COMPUTED_VALUE"""),"10A-04C")</f>
        <v>10A-04C</v>
      </c>
      <c r="H358" s="8" t="str">
        <f>IFERROR(__xludf.DUMMYFUNCTION("""COMPUTED_VALUE"""),"SHRR,MAU")</f>
        <v>SHRR,MAU</v>
      </c>
      <c r="I358" s="8" t="str">
        <f>IFERROR(__xludf.DUMMYFUNCTION("""COMPUTED_VALUE"""),"MON")</f>
        <v>MON</v>
      </c>
      <c r="J358" s="8" t="str">
        <f>IFERROR(__xludf.DUMMYFUNCTION("""COMPUTED_VALUE"""),"2:00 PM")</f>
        <v>2:00 PM</v>
      </c>
      <c r="K358" s="8" t="str">
        <f>IFERROR(__xludf.DUMMYFUNCTION("""COMPUTED_VALUE"""),"12F-32L")</f>
        <v>12F-32L</v>
      </c>
      <c r="L358" s="8"/>
      <c r="M358" s="10" t="str">
        <f>IFERROR(VLOOKUP(D358,FacultyList!B:G,6,FALSE),"")</f>
        <v>rakin.rabbani@bracu.ac.bd</v>
      </c>
    </row>
    <row r="359">
      <c r="A359" s="5" t="str">
        <f>IFERROR(__xludf.DUMMYFUNCTION("""COMPUTED_VALUE"""),"CSE370-07")</f>
        <v>CSE370-07</v>
      </c>
      <c r="B359" s="8"/>
      <c r="C359" s="8"/>
      <c r="D359" s="8" t="str">
        <f>IFERROR(__xludf.DUMMYFUNCTION("""COMPUTED_VALUE"""),"FEK")</f>
        <v>FEK</v>
      </c>
      <c r="E359" s="8" t="str">
        <f>IFERROR(__xludf.DUMMYFUNCTION("""COMPUTED_VALUE"""),"SUN+TUE")</f>
        <v>SUN+TUE</v>
      </c>
      <c r="F359" s="8" t="str">
        <f>IFERROR(__xludf.DUMMYFUNCTION("""COMPUTED_VALUE"""),"3:30 PM")</f>
        <v>3:30 PM</v>
      </c>
      <c r="G359" s="9" t="str">
        <f>IFERROR(__xludf.DUMMYFUNCTION("""COMPUTED_VALUE"""),"09H-33C")</f>
        <v>09H-33C</v>
      </c>
      <c r="H359" s="8" t="str">
        <f>IFERROR(__xludf.DUMMYFUNCTION("""COMPUTED_VALUE"""),"KZMN,NQM")</f>
        <v>KZMN,NQM</v>
      </c>
      <c r="I359" s="8" t="str">
        <f>IFERROR(__xludf.DUMMYFUNCTION("""COMPUTED_VALUE"""),"SAT")</f>
        <v>SAT</v>
      </c>
      <c r="J359" s="8" t="str">
        <f>IFERROR(__xludf.DUMMYFUNCTION("""COMPUTED_VALUE"""),"11:00 AM")</f>
        <v>11:00 AM</v>
      </c>
      <c r="K359" s="8" t="str">
        <f>IFERROR(__xludf.DUMMYFUNCTION("""COMPUTED_VALUE"""),"12F-31L")</f>
        <v>12F-31L</v>
      </c>
      <c r="L359" s="8"/>
      <c r="M359" s="10" t="str">
        <f>IFERROR(VLOOKUP(D359,FacultyList!B:G,6,FALSE),"")</f>
        <v>farden.khan@bracu.ac.bd</v>
      </c>
    </row>
    <row r="360">
      <c r="A360" s="5" t="str">
        <f>IFERROR(__xludf.DUMMYFUNCTION("""COMPUTED_VALUE"""),"CSE370-08")</f>
        <v>CSE370-08</v>
      </c>
      <c r="B360" s="8"/>
      <c r="C360" s="8"/>
      <c r="D360" s="8" t="str">
        <f>IFERROR(__xludf.DUMMYFUNCTION("""COMPUTED_VALUE"""),"FEK")</f>
        <v>FEK</v>
      </c>
      <c r="E360" s="8" t="str">
        <f>IFERROR(__xludf.DUMMYFUNCTION("""COMPUTED_VALUE"""),"MON+WED")</f>
        <v>MON+WED</v>
      </c>
      <c r="F360" s="8" t="str">
        <f>IFERROR(__xludf.DUMMYFUNCTION("""COMPUTED_VALUE"""),"2:00 PM")</f>
        <v>2:00 PM</v>
      </c>
      <c r="G360" s="9" t="str">
        <f>IFERROR(__xludf.DUMMYFUNCTION("""COMPUTED_VALUE"""),"09D-18C")</f>
        <v>09D-18C</v>
      </c>
      <c r="H360" s="8" t="str">
        <f>IFERROR(__xludf.DUMMYFUNCTION("""COMPUTED_VALUE"""),"FZN,ALB")</f>
        <v>FZN,ALB</v>
      </c>
      <c r="I360" s="8" t="str">
        <f>IFERROR(__xludf.DUMMYFUNCTION("""COMPUTED_VALUE"""),"SUN")</f>
        <v>SUN</v>
      </c>
      <c r="J360" s="8" t="str">
        <f>IFERROR(__xludf.DUMMYFUNCTION("""COMPUTED_VALUE"""),"8:00 AM")</f>
        <v>8:00 AM</v>
      </c>
      <c r="K360" s="8" t="str">
        <f>IFERROR(__xludf.DUMMYFUNCTION("""COMPUTED_VALUE"""),"12F-32L")</f>
        <v>12F-32L</v>
      </c>
      <c r="L360" s="8"/>
      <c r="M360" s="10" t="str">
        <f>IFERROR(VLOOKUP(D360,FacultyList!B:G,6,FALSE),"")</f>
        <v>farden.khan@bracu.ac.bd</v>
      </c>
    </row>
    <row r="361">
      <c r="A361" s="5" t="str">
        <f>IFERROR(__xludf.DUMMYFUNCTION("""COMPUTED_VALUE"""),"CSE370-09")</f>
        <v>CSE370-09</v>
      </c>
      <c r="B361" s="8"/>
      <c r="C361" s="8"/>
      <c r="D361" s="8" t="str">
        <f>IFERROR(__xludf.DUMMYFUNCTION("""COMPUTED_VALUE"""),"FEK")</f>
        <v>FEK</v>
      </c>
      <c r="E361" s="8" t="str">
        <f>IFERROR(__xludf.DUMMYFUNCTION("""COMPUTED_VALUE"""),"MON+WED")</f>
        <v>MON+WED</v>
      </c>
      <c r="F361" s="8" t="str">
        <f>IFERROR(__xludf.DUMMYFUNCTION("""COMPUTED_VALUE"""),"3:30 PM")</f>
        <v>3:30 PM</v>
      </c>
      <c r="G361" s="9" t="str">
        <f>IFERROR(__xludf.DUMMYFUNCTION("""COMPUTED_VALUE"""),"09D-18C")</f>
        <v>09D-18C</v>
      </c>
      <c r="H361" s="8" t="str">
        <f>IFERROR(__xludf.DUMMYFUNCTION("""COMPUTED_VALUE"""),"MAU,FZN")</f>
        <v>MAU,FZN</v>
      </c>
      <c r="I361" s="8" t="str">
        <f>IFERROR(__xludf.DUMMYFUNCTION("""COMPUTED_VALUE"""),"SUN")</f>
        <v>SUN</v>
      </c>
      <c r="J361" s="8" t="str">
        <f>IFERROR(__xludf.DUMMYFUNCTION("""COMPUTED_VALUE"""),"11:00 AM")</f>
        <v>11:00 AM</v>
      </c>
      <c r="K361" s="8" t="str">
        <f>IFERROR(__xludf.DUMMYFUNCTION("""COMPUTED_VALUE"""),"12F-32L")</f>
        <v>12F-32L</v>
      </c>
      <c r="L361" s="8"/>
      <c r="M361" s="10" t="str">
        <f>IFERROR(VLOOKUP(D361,FacultyList!B:G,6,FALSE),"")</f>
        <v>farden.khan@bracu.ac.bd</v>
      </c>
    </row>
    <row r="362">
      <c r="A362" s="5" t="str">
        <f>IFERROR(__xludf.DUMMYFUNCTION("""COMPUTED_VALUE"""),"CSE370-10")</f>
        <v>CSE370-10</v>
      </c>
      <c r="B362" s="8"/>
      <c r="C362" s="8"/>
      <c r="D362" s="8" t="str">
        <f>IFERROR(__xludf.DUMMYFUNCTION("""COMPUTED_VALUE"""),"NZU")</f>
        <v>NZU</v>
      </c>
      <c r="E362" s="8" t="str">
        <f>IFERROR(__xludf.DUMMYFUNCTION("""COMPUTED_VALUE"""),"SUN+TUE")</f>
        <v>SUN+TUE</v>
      </c>
      <c r="F362" s="8" t="str">
        <f>IFERROR(__xludf.DUMMYFUNCTION("""COMPUTED_VALUE"""),"8:00 AM")</f>
        <v>8:00 AM</v>
      </c>
      <c r="G362" s="9" t="str">
        <f>IFERROR(__xludf.DUMMYFUNCTION("""COMPUTED_VALUE"""),"09D-18C")</f>
        <v>09D-18C</v>
      </c>
      <c r="H362" s="8" t="str">
        <f>IFERROR(__xludf.DUMMYFUNCTION("""COMPUTED_VALUE"""),"RBR,NZU")</f>
        <v>RBR,NZU</v>
      </c>
      <c r="I362" s="8" t="str">
        <f>IFERROR(__xludf.DUMMYFUNCTION("""COMPUTED_VALUE"""),"WED")</f>
        <v>WED</v>
      </c>
      <c r="J362" s="8" t="str">
        <f>IFERROR(__xludf.DUMMYFUNCTION("""COMPUTED_VALUE"""),"2:00 PM")</f>
        <v>2:00 PM</v>
      </c>
      <c r="K362" s="8" t="str">
        <f>IFERROR(__xludf.DUMMYFUNCTION("""COMPUTED_VALUE"""),"10E-27L")</f>
        <v>10E-27L</v>
      </c>
      <c r="L362" s="8"/>
      <c r="M362" s="10" t="str">
        <f>IFERROR(VLOOKUP(D362,FacultyList!B:G,6,FALSE),"")</f>
        <v>nazmul.islam1@bracu.ac.bd</v>
      </c>
    </row>
    <row r="363">
      <c r="A363" s="5" t="str">
        <f>IFERROR(__xludf.DUMMYFUNCTION("""COMPUTED_VALUE"""),"CSE370-11")</f>
        <v>CSE370-11</v>
      </c>
      <c r="B363" s="8"/>
      <c r="C363" s="8"/>
      <c r="D363" s="8" t="str">
        <f>IFERROR(__xludf.DUMMYFUNCTION("""COMPUTED_VALUE"""),"NZU")</f>
        <v>NZU</v>
      </c>
      <c r="E363" s="8" t="str">
        <f>IFERROR(__xludf.DUMMYFUNCTION("""COMPUTED_VALUE"""),"SUN+TUE")</f>
        <v>SUN+TUE</v>
      </c>
      <c r="F363" s="8" t="str">
        <f>IFERROR(__xludf.DUMMYFUNCTION("""COMPUTED_VALUE"""),"9:30 AM")</f>
        <v>9:30 AM</v>
      </c>
      <c r="G363" s="9" t="str">
        <f>IFERROR(__xludf.DUMMYFUNCTION("""COMPUTED_VALUE"""),"09D-18C")</f>
        <v>09D-18C</v>
      </c>
      <c r="H363" s="8" t="str">
        <f>IFERROR(__xludf.DUMMYFUNCTION("""COMPUTED_VALUE"""),"RAHA,CABS")</f>
        <v>RAHA,CABS</v>
      </c>
      <c r="I363" s="8" t="str">
        <f>IFERROR(__xludf.DUMMYFUNCTION("""COMPUTED_VALUE"""),"THU")</f>
        <v>THU</v>
      </c>
      <c r="J363" s="8" t="str">
        <f>IFERROR(__xludf.DUMMYFUNCTION("""COMPUTED_VALUE"""),"2:00 PM")</f>
        <v>2:00 PM</v>
      </c>
      <c r="K363" s="8" t="str">
        <f>IFERROR(__xludf.DUMMYFUNCTION("""COMPUTED_VALUE"""),"12F-31L")</f>
        <v>12F-31L</v>
      </c>
      <c r="L363" s="8"/>
      <c r="M363" s="10" t="str">
        <f>IFERROR(VLOOKUP(D363,FacultyList!B:G,6,FALSE),"")</f>
        <v>nazmul.islam1@bracu.ac.bd</v>
      </c>
    </row>
    <row r="364">
      <c r="A364" s="5" t="str">
        <f>IFERROR(__xludf.DUMMYFUNCTION("""COMPUTED_VALUE"""),"CSE370-13")</f>
        <v>CSE370-13</v>
      </c>
      <c r="B364" s="8"/>
      <c r="C364" s="8"/>
      <c r="D364" s="8" t="str">
        <f>IFERROR(__xludf.DUMMYFUNCTION("""COMPUTED_VALUE"""),"FEK")</f>
        <v>FEK</v>
      </c>
      <c r="E364" s="8" t="str">
        <f>IFERROR(__xludf.DUMMYFUNCTION("""COMPUTED_VALUE"""),"SUN+TUE")</f>
        <v>SUN+TUE</v>
      </c>
      <c r="F364" s="8" t="str">
        <f>IFERROR(__xludf.DUMMYFUNCTION("""COMPUTED_VALUE"""),"2:00 PM")</f>
        <v>2:00 PM</v>
      </c>
      <c r="G364" s="9" t="str">
        <f>IFERROR(__xludf.DUMMYFUNCTION("""COMPUTED_VALUE"""),"09H-33C")</f>
        <v>09H-33C</v>
      </c>
      <c r="H364" s="8" t="str">
        <f>IFERROR(__xludf.DUMMYFUNCTION("""COMPUTED_VALUE"""),"MAHS,STNM")</f>
        <v>MAHS,STNM</v>
      </c>
      <c r="I364" s="8" t="str">
        <f>IFERROR(__xludf.DUMMYFUNCTION("""COMPUTED_VALUE"""),"THU")</f>
        <v>THU</v>
      </c>
      <c r="J364" s="8" t="str">
        <f>IFERROR(__xludf.DUMMYFUNCTION("""COMPUTED_VALUE"""),"11:00 AM")</f>
        <v>11:00 AM</v>
      </c>
      <c r="K364" s="8" t="str">
        <f>IFERROR(__xludf.DUMMYFUNCTION("""COMPUTED_VALUE"""),"12F-31L")</f>
        <v>12F-31L</v>
      </c>
      <c r="L364" s="8"/>
      <c r="M364" s="10" t="str">
        <f>IFERROR(VLOOKUP(D364,FacultyList!B:G,6,FALSE),"")</f>
        <v>farden.khan@bracu.ac.bd</v>
      </c>
    </row>
    <row r="365">
      <c r="A365" s="5" t="str">
        <f>IFERROR(__xludf.DUMMYFUNCTION("""COMPUTED_VALUE"""),"CSE370-14")</f>
        <v>CSE370-14</v>
      </c>
      <c r="B365" s="8"/>
      <c r="C365" s="8"/>
      <c r="D365" s="8" t="str">
        <f>IFERROR(__xludf.DUMMYFUNCTION("""COMPUTED_VALUE"""),"ALB")</f>
        <v>ALB</v>
      </c>
      <c r="E365" s="8" t="str">
        <f>IFERROR(__xludf.DUMMYFUNCTION("""COMPUTED_VALUE"""),"SAT+THU")</f>
        <v>SAT+THU</v>
      </c>
      <c r="F365" s="8" t="str">
        <f>IFERROR(__xludf.DUMMYFUNCTION("""COMPUTED_VALUE"""),"9:30 AM")</f>
        <v>9:30 AM</v>
      </c>
      <c r="G365" s="9" t="str">
        <f>IFERROR(__xludf.DUMMYFUNCTION("""COMPUTED_VALUE"""),"09A-03C")</f>
        <v>09A-03C</v>
      </c>
      <c r="H365" s="8" t="str">
        <f>IFERROR(__xludf.DUMMYFUNCTION("""COMPUTED_VALUE"""),"SHRR,MAU")</f>
        <v>SHRR,MAU</v>
      </c>
      <c r="I365" s="8" t="str">
        <f>IFERROR(__xludf.DUMMYFUNCTION("""COMPUTED_VALUE"""),"WED")</f>
        <v>WED</v>
      </c>
      <c r="J365" s="8" t="str">
        <f>IFERROR(__xludf.DUMMYFUNCTION("""COMPUTED_VALUE"""),"2:00 PM")</f>
        <v>2:00 PM</v>
      </c>
      <c r="K365" s="8" t="str">
        <f>IFERROR(__xludf.DUMMYFUNCTION("""COMPUTED_VALUE"""),"12F-30L")</f>
        <v>12F-30L</v>
      </c>
      <c r="L365" s="8"/>
      <c r="M365" s="10" t="str">
        <f>IFERROR(VLOOKUP(D365,FacultyList!B:G,6,FALSE),"")</f>
        <v>anindita.labonno@bracu.ac.bd</v>
      </c>
    </row>
    <row r="366">
      <c r="A366" s="5" t="str">
        <f>IFERROR(__xludf.DUMMYFUNCTION("""COMPUTED_VALUE"""),"CSE370-15")</f>
        <v>CSE370-15</v>
      </c>
      <c r="B366" s="8"/>
      <c r="C366" s="8"/>
      <c r="D366" s="8" t="str">
        <f>IFERROR(__xludf.DUMMYFUNCTION("""COMPUTED_VALUE"""),"PLN")</f>
        <v>PLN</v>
      </c>
      <c r="E366" s="8" t="str">
        <f>IFERROR(__xludf.DUMMYFUNCTION("""COMPUTED_VALUE"""),"SAT+THU")</f>
        <v>SAT+THU</v>
      </c>
      <c r="F366" s="8" t="str">
        <f>IFERROR(__xludf.DUMMYFUNCTION("""COMPUTED_VALUE"""),"3:30 PM")</f>
        <v>3:30 PM</v>
      </c>
      <c r="G366" s="9" t="str">
        <f>IFERROR(__xludf.DUMMYFUNCTION("""COMPUTED_VALUE"""),"09D-17C")</f>
        <v>09D-17C</v>
      </c>
      <c r="H366" s="8" t="str">
        <f>IFERROR(__xludf.DUMMYFUNCTION("""COMPUTED_VALUE"""),"NZU,STNM")</f>
        <v>NZU,STNM</v>
      </c>
      <c r="I366" s="8" t="str">
        <f>IFERROR(__xludf.DUMMYFUNCTION("""COMPUTED_VALUE"""),"WED")</f>
        <v>WED</v>
      </c>
      <c r="J366" s="8" t="str">
        <f>IFERROR(__xludf.DUMMYFUNCTION("""COMPUTED_VALUE"""),"8:00 AM")</f>
        <v>8:00 AM</v>
      </c>
      <c r="K366" s="8" t="str">
        <f>IFERROR(__xludf.DUMMYFUNCTION("""COMPUTED_VALUE"""),"12F-31L")</f>
        <v>12F-31L</v>
      </c>
      <c r="L366" s="8"/>
      <c r="M366" s="10" t="str">
        <f>IFERROR(VLOOKUP(D366,FacultyList!B:G,6,FALSE),"")</f>
        <v>pollock.nag@bracu.ac.bd</v>
      </c>
    </row>
    <row r="367">
      <c r="A367" s="5" t="str">
        <f>IFERROR(__xludf.DUMMYFUNCTION("""COMPUTED_VALUE"""),"CSE370-16")</f>
        <v>CSE370-16</v>
      </c>
      <c r="B367" s="8"/>
      <c r="C367" s="8"/>
      <c r="D367" s="8" t="str">
        <f>IFERROR(__xludf.DUMMYFUNCTION("""COMPUTED_VALUE"""),"MZG")</f>
        <v>MZG</v>
      </c>
      <c r="E367" s="8" t="str">
        <f>IFERROR(__xludf.DUMMYFUNCTION("""COMPUTED_VALUE"""),"SAT+THU")</f>
        <v>SAT+THU</v>
      </c>
      <c r="F367" s="8" t="str">
        <f>IFERROR(__xludf.DUMMYFUNCTION("""COMPUTED_VALUE"""),"8:00 AM")</f>
        <v>8:00 AM</v>
      </c>
      <c r="G367" s="9" t="str">
        <f>IFERROR(__xludf.DUMMYFUNCTION("""COMPUTED_VALUE"""),"09A-05C")</f>
        <v>09A-05C</v>
      </c>
      <c r="H367" s="8" t="str">
        <f>IFERROR(__xludf.DUMMYFUNCTION("""COMPUTED_VALUE"""),"FZN,STNM")</f>
        <v>FZN,STNM</v>
      </c>
      <c r="I367" s="8" t="str">
        <f>IFERROR(__xludf.DUMMYFUNCTION("""COMPUTED_VALUE"""),"TUE")</f>
        <v>TUE</v>
      </c>
      <c r="J367" s="8" t="str">
        <f>IFERROR(__xludf.DUMMYFUNCTION("""COMPUTED_VALUE"""),"8:00 AM")</f>
        <v>8:00 AM</v>
      </c>
      <c r="K367" s="8" t="str">
        <f>IFERROR(__xludf.DUMMYFUNCTION("""COMPUTED_VALUE"""),"12F-31L")</f>
        <v>12F-31L</v>
      </c>
      <c r="L367" s="8"/>
      <c r="M367" s="10" t="str">
        <f>IFERROR(VLOOKUP(D367,FacultyList!B:G,6,FALSE),"")</f>
        <v>ahmed.mayeesha@bracu.ac.bd</v>
      </c>
    </row>
    <row r="368">
      <c r="A368" s="5" t="str">
        <f>IFERROR(__xludf.DUMMYFUNCTION("""COMPUTED_VALUE"""),"CSE370-17")</f>
        <v>CSE370-17</v>
      </c>
      <c r="B368" s="8"/>
      <c r="C368" s="8"/>
      <c r="D368" s="8" t="str">
        <f>IFERROR(__xludf.DUMMYFUNCTION("""COMPUTED_VALUE"""),"MRIA")</f>
        <v>MRIA</v>
      </c>
      <c r="E368" s="8" t="str">
        <f>IFERROR(__xludf.DUMMYFUNCTION("""COMPUTED_VALUE"""),"SAT+THU")</f>
        <v>SAT+THU</v>
      </c>
      <c r="F368" s="8" t="str">
        <f>IFERROR(__xludf.DUMMYFUNCTION("""COMPUTED_VALUE"""),"2:00 PM")</f>
        <v>2:00 PM</v>
      </c>
      <c r="G368" s="9" t="str">
        <f>IFERROR(__xludf.DUMMYFUNCTION("""COMPUTED_VALUE"""),"07H-27C")</f>
        <v>07H-27C</v>
      </c>
      <c r="H368" s="8" t="str">
        <f>IFERROR(__xludf.DUMMYFUNCTION("""COMPUTED_VALUE"""),"TMD,NZU")</f>
        <v>TMD,NZU</v>
      </c>
      <c r="I368" s="8" t="str">
        <f>IFERROR(__xludf.DUMMYFUNCTION("""COMPUTED_VALUE"""),"MON")</f>
        <v>MON</v>
      </c>
      <c r="J368" s="8" t="str">
        <f>IFERROR(__xludf.DUMMYFUNCTION("""COMPUTED_VALUE"""),"11:00 AM")</f>
        <v>11:00 AM</v>
      </c>
      <c r="K368" s="8" t="str">
        <f>IFERROR(__xludf.DUMMYFUNCTION("""COMPUTED_VALUE"""),"12F-32L")</f>
        <v>12F-32L</v>
      </c>
      <c r="L368" s="8"/>
      <c r="M368" s="10" t="str">
        <f>IFERROR(VLOOKUP(D368,FacultyList!B:G,6,FALSE),"")</f>
        <v>maria.muna@bracu.ac.bd</v>
      </c>
    </row>
    <row r="369">
      <c r="A369" s="5" t="str">
        <f>IFERROR(__xludf.DUMMYFUNCTION("""COMPUTED_VALUE"""),"CSE370-18")</f>
        <v>CSE370-18</v>
      </c>
      <c r="B369" s="8"/>
      <c r="C369" s="8"/>
      <c r="D369" s="8" t="str">
        <f>IFERROR(__xludf.DUMMYFUNCTION("""COMPUTED_VALUE"""),"MNY")</f>
        <v>MNY</v>
      </c>
      <c r="E369" s="8" t="str">
        <f>IFERROR(__xludf.DUMMYFUNCTION("""COMPUTED_VALUE"""),"SUN+TUE")</f>
        <v>SUN+TUE</v>
      </c>
      <c r="F369" s="8" t="str">
        <f>IFERROR(__xludf.DUMMYFUNCTION("""COMPUTED_VALUE"""),"12:30 PM")</f>
        <v>12:30 PM</v>
      </c>
      <c r="G369" s="9" t="str">
        <f>IFERROR(__xludf.DUMMYFUNCTION("""COMPUTED_VALUE"""),"09A-05C")</f>
        <v>09A-05C</v>
      </c>
      <c r="H369" s="8" t="str">
        <f>IFERROR(__xludf.DUMMYFUNCTION("""COMPUTED_VALUE"""),"CSYR,NQM")</f>
        <v>CSYR,NQM</v>
      </c>
      <c r="I369" s="8" t="str">
        <f>IFERROR(__xludf.DUMMYFUNCTION("""COMPUTED_VALUE"""),"THU")</f>
        <v>THU</v>
      </c>
      <c r="J369" s="8" t="str">
        <f>IFERROR(__xludf.DUMMYFUNCTION("""COMPUTED_VALUE"""),"2:00 PM")</f>
        <v>2:00 PM</v>
      </c>
      <c r="K369" s="8" t="str">
        <f>IFERROR(__xludf.DUMMYFUNCTION("""COMPUTED_VALUE"""),"10E-27L")</f>
        <v>10E-27L</v>
      </c>
      <c r="L369" s="8"/>
      <c r="M369" s="10" t="str">
        <f>IFERROR(VLOOKUP(D369,FacultyList!B:G,6,FALSE),"")</f>
        <v>nur.yanhaona@bracu.ac.bd</v>
      </c>
    </row>
    <row r="370">
      <c r="A370" s="5" t="str">
        <f>IFERROR(__xludf.DUMMYFUNCTION("""COMPUTED_VALUE"""),"CSE391-01")</f>
        <v>CSE391-01</v>
      </c>
      <c r="B370" s="8"/>
      <c r="C370" s="8"/>
      <c r="D370" s="8" t="str">
        <f>IFERROR(__xludf.DUMMYFUNCTION("""COMPUTED_VALUE"""),"ADR")</f>
        <v>ADR</v>
      </c>
      <c r="E370" s="8" t="str">
        <f>IFERROR(__xludf.DUMMYFUNCTION("""COMPUTED_VALUE"""),"SUN+SUN")</f>
        <v>SUN+SUN</v>
      </c>
      <c r="F370" s="8" t="str">
        <f>IFERROR(__xludf.DUMMYFUNCTION("""COMPUTED_VALUE"""),"11:00 AM+12:30 PM")</f>
        <v>11:00 AM+12:30 PM</v>
      </c>
      <c r="G370" s="9" t="str">
        <f>IFERROR(__xludf.DUMMYFUNCTION("""COMPUTED_VALUE"""),"FT11-04L")</f>
        <v>FT11-04L</v>
      </c>
      <c r="H370" s="8" t="str">
        <f>IFERROR(__xludf.DUMMYFUNCTION("""COMPUTED_VALUE"""),"ADR,AQJ")</f>
        <v>ADR,AQJ</v>
      </c>
      <c r="I370" s="8" t="str">
        <f>IFERROR(__xludf.DUMMYFUNCTION("""COMPUTED_VALUE"""),"TUE")</f>
        <v>TUE</v>
      </c>
      <c r="J370" s="8" t="str">
        <f>IFERROR(__xludf.DUMMYFUNCTION("""COMPUTED_VALUE"""),"2:00 PM")</f>
        <v>2:00 PM</v>
      </c>
      <c r="K370" s="8" t="str">
        <f>IFERROR(__xludf.DUMMYFUNCTION("""COMPUTED_VALUE"""),"FT11-04L")</f>
        <v>FT11-04L</v>
      </c>
      <c r="L370" s="8"/>
      <c r="M370" s="10" t="str">
        <f>IFERROR(VLOOKUP(D370,FacultyList!B:G,6,FALSE),"")</f>
        <v>abdur.rahman@bracu.ac.bd</v>
      </c>
    </row>
    <row r="371">
      <c r="A371" s="5" t="str">
        <f>IFERROR(__xludf.DUMMYFUNCTION("""COMPUTED_VALUE"""),"CSE402-01")</f>
        <v>CSE402-01</v>
      </c>
      <c r="B371" s="8"/>
      <c r="C371" s="8"/>
      <c r="D371" s="8" t="str">
        <f>IFERROR(__xludf.DUMMYFUNCTION("""COMPUTED_VALUE"""),"SDAS")</f>
        <v>SDAS</v>
      </c>
      <c r="E371" s="8" t="str">
        <f>IFERROR(__xludf.DUMMYFUNCTION("""COMPUTED_VALUE"""),"SUN+TUE")</f>
        <v>SUN+TUE</v>
      </c>
      <c r="F371" s="8" t="str">
        <f>IFERROR(__xludf.DUMMYFUNCTION("""COMPUTED_VALUE"""),"3:30 PM")</f>
        <v>3:30 PM</v>
      </c>
      <c r="G371" s="9" t="str">
        <f>IFERROR(__xludf.DUMMYFUNCTION("""COMPUTED_VALUE"""),"09B-12C")</f>
        <v>09B-12C</v>
      </c>
      <c r="H371" s="8" t="str">
        <f>IFERROR(__xludf.DUMMYFUNCTION("""COMPUTED_VALUE"""),"SDAS,NFS")</f>
        <v>SDAS,NFS</v>
      </c>
      <c r="I371" s="8" t="str">
        <f>IFERROR(__xludf.DUMMYFUNCTION("""COMPUTED_VALUE"""),"THU")</f>
        <v>THU</v>
      </c>
      <c r="J371" s="8" t="str">
        <f>IFERROR(__xludf.DUMMYFUNCTION("""COMPUTED_VALUE"""),"11:00 AM")</f>
        <v>11:00 AM</v>
      </c>
      <c r="K371" s="8" t="str">
        <f>IFERROR(__xludf.DUMMYFUNCTION("""COMPUTED_VALUE"""),"09B-10L")</f>
        <v>09B-10L</v>
      </c>
      <c r="L371" s="8"/>
      <c r="M371" s="10" t="str">
        <f>IFERROR(VLOOKUP(D371,FacultyList!B:G,6,FALSE),"")</f>
        <v>sowmitra.das@bracu.ac.bd</v>
      </c>
    </row>
    <row r="372">
      <c r="A372" s="5" t="str">
        <f>IFERROR(__xludf.DUMMYFUNCTION("""COMPUTED_VALUE"""),"CSE419-01")</f>
        <v>CSE419-01</v>
      </c>
      <c r="B372" s="8"/>
      <c r="C372" s="8"/>
      <c r="D372" s="8" t="str">
        <f>IFERROR(__xludf.DUMMYFUNCTION("""COMPUTED_VALUE"""),"KKP")</f>
        <v>KKP</v>
      </c>
      <c r="E372" s="8" t="str">
        <f>IFERROR(__xludf.DUMMYFUNCTION("""COMPUTED_VALUE"""),"SUN+TUE")</f>
        <v>SUN+TUE</v>
      </c>
      <c r="F372" s="8" t="str">
        <f>IFERROR(__xludf.DUMMYFUNCTION("""COMPUTED_VALUE"""),"9:30 AM")</f>
        <v>9:30 AM</v>
      </c>
      <c r="G372" s="9" t="str">
        <f>IFERROR(__xludf.DUMMYFUNCTION("""COMPUTED_VALUE"""),"09H-35C")</f>
        <v>09H-35C</v>
      </c>
      <c r="H372" s="8" t="str">
        <f>IFERROR(__xludf.DUMMYFUNCTION("""COMPUTED_VALUE"""),"CRHB,KKP")</f>
        <v>CRHB,KKP</v>
      </c>
      <c r="I372" s="8" t="str">
        <f>IFERROR(__xludf.DUMMYFUNCTION("""COMPUTED_VALUE"""),"MON")</f>
        <v>MON</v>
      </c>
      <c r="J372" s="8" t="str">
        <f>IFERROR(__xludf.DUMMYFUNCTION("""COMPUTED_VALUE"""),"2:00 PM")</f>
        <v>2:00 PM</v>
      </c>
      <c r="K372" s="8" t="str">
        <f>IFERROR(__xludf.DUMMYFUNCTION("""COMPUTED_VALUE"""),"FT11-03L")</f>
        <v>FT11-03L</v>
      </c>
      <c r="L372" s="8"/>
      <c r="M372" s="10" t="str">
        <f>IFERROR(VLOOKUP(D372,FacultyList!B:G,6,FALSE),"")</f>
        <v>kabbya.kantam@bracu.ac.bd</v>
      </c>
    </row>
    <row r="373">
      <c r="A373" s="5" t="str">
        <f>IFERROR(__xludf.DUMMYFUNCTION("""COMPUTED_VALUE"""),"CSE420-01")</f>
        <v>CSE420-01</v>
      </c>
      <c r="B373" s="8"/>
      <c r="C373" s="8"/>
      <c r="D373" s="8" t="str">
        <f>IFERROR(__xludf.DUMMYFUNCTION("""COMPUTED_VALUE"""),"ZMD")</f>
        <v>ZMD</v>
      </c>
      <c r="E373" s="8" t="str">
        <f>IFERROR(__xludf.DUMMYFUNCTION("""COMPUTED_VALUE"""),"MON+WED")</f>
        <v>MON+WED</v>
      </c>
      <c r="F373" s="8" t="str">
        <f>IFERROR(__xludf.DUMMYFUNCTION("""COMPUTED_VALUE"""),"12:30 PM")</f>
        <v>12:30 PM</v>
      </c>
      <c r="G373" s="9" t="str">
        <f>IFERROR(__xludf.DUMMYFUNCTION("""COMPUTED_VALUE"""),"10B-16C")</f>
        <v>10B-16C</v>
      </c>
      <c r="H373" s="8" t="str">
        <f>IFERROR(__xludf.DUMMYFUNCTION("""COMPUTED_VALUE"""),"MAF,FMK")</f>
        <v>MAF,FMK</v>
      </c>
      <c r="I373" s="8" t="str">
        <f>IFERROR(__xludf.DUMMYFUNCTION("""COMPUTED_VALUE"""),"TUE")</f>
        <v>TUE</v>
      </c>
      <c r="J373" s="8" t="str">
        <f>IFERROR(__xludf.DUMMYFUNCTION("""COMPUTED_VALUE"""),"8:00 AM")</f>
        <v>8:00 AM</v>
      </c>
      <c r="K373" s="8" t="str">
        <f>IFERROR(__xludf.DUMMYFUNCTION("""COMPUTED_VALUE"""),"10E-27L")</f>
        <v>10E-27L</v>
      </c>
      <c r="L373" s="8"/>
      <c r="M373" s="10" t="str">
        <f>IFERROR(VLOOKUP(D373,FacultyList!B:G,6,FALSE),"")</f>
        <v>zaber.mohammad@bracu.ac.bd</v>
      </c>
    </row>
    <row r="374">
      <c r="A374" s="5" t="str">
        <f>IFERROR(__xludf.DUMMYFUNCTION("""COMPUTED_VALUE"""),"CSE420-02")</f>
        <v>CSE420-02</v>
      </c>
      <c r="B374" s="8"/>
      <c r="C374" s="8"/>
      <c r="D374" s="8" t="str">
        <f>IFERROR(__xludf.DUMMYFUNCTION("""COMPUTED_VALUE"""),"AVB")</f>
        <v>AVB</v>
      </c>
      <c r="E374" s="8" t="str">
        <f>IFERROR(__xludf.DUMMYFUNCTION("""COMPUTED_VALUE"""),"SAT+THU")</f>
        <v>SAT+THU</v>
      </c>
      <c r="F374" s="8" t="str">
        <f>IFERROR(__xludf.DUMMYFUNCTION("""COMPUTED_VALUE"""),"8:00 AM")</f>
        <v>8:00 AM</v>
      </c>
      <c r="G374" s="9" t="str">
        <f>IFERROR(__xludf.DUMMYFUNCTION("""COMPUTED_VALUE"""),"10B-13C")</f>
        <v>10B-13C</v>
      </c>
      <c r="H374" s="8" t="str">
        <f>IFERROR(__xludf.DUMMYFUNCTION("""COMPUTED_VALUE"""),"NLAM,SUE")</f>
        <v>NLAM,SUE</v>
      </c>
      <c r="I374" s="8" t="str">
        <f>IFERROR(__xludf.DUMMYFUNCTION("""COMPUTED_VALUE"""),"SUN")</f>
        <v>SUN</v>
      </c>
      <c r="J374" s="8" t="str">
        <f>IFERROR(__xludf.DUMMYFUNCTION("""COMPUTED_VALUE"""),"8:00 AM")</f>
        <v>8:00 AM</v>
      </c>
      <c r="K374" s="8" t="str">
        <f>IFERROR(__xludf.DUMMYFUNCTION("""COMPUTED_VALUE"""),"10G-34L")</f>
        <v>10G-34L</v>
      </c>
      <c r="L374" s="8"/>
      <c r="M374" s="10" t="str">
        <f>IFERROR(VLOOKUP(D374,FacultyList!B:G,6,FALSE),"")</f>
        <v>avinandan@bracu.ac.bd</v>
      </c>
    </row>
    <row r="375">
      <c r="A375" s="5" t="str">
        <f>IFERROR(__xludf.DUMMYFUNCTION("""COMPUTED_VALUE"""),"CSE420-03")</f>
        <v>CSE420-03</v>
      </c>
      <c r="B375" s="8"/>
      <c r="C375" s="8"/>
      <c r="D375" s="8" t="str">
        <f>IFERROR(__xludf.DUMMYFUNCTION("""COMPUTED_VALUE"""),"SZD")</f>
        <v>SZD</v>
      </c>
      <c r="E375" s="8" t="str">
        <f>IFERROR(__xludf.DUMMYFUNCTION("""COMPUTED_VALUE"""),"SUN+TUE")</f>
        <v>SUN+TUE</v>
      </c>
      <c r="F375" s="8" t="str">
        <f>IFERROR(__xludf.DUMMYFUNCTION("""COMPUTED_VALUE"""),"2:00 PM")</f>
        <v>2:00 PM</v>
      </c>
      <c r="G375" s="9" t="str">
        <f>IFERROR(__xludf.DUMMYFUNCTION("""COMPUTED_VALUE"""),"09A-06C")</f>
        <v>09A-06C</v>
      </c>
      <c r="H375" s="8" t="str">
        <f>IFERROR(__xludf.DUMMYFUNCTION("""COMPUTED_VALUE"""),"SUE,RKBR")</f>
        <v>SUE,RKBR</v>
      </c>
      <c r="I375" s="8" t="str">
        <f>IFERROR(__xludf.DUMMYFUNCTION("""COMPUTED_VALUE"""),"SAT")</f>
        <v>SAT</v>
      </c>
      <c r="J375" s="8" t="str">
        <f>IFERROR(__xludf.DUMMYFUNCTION("""COMPUTED_VALUE"""),"11:00 AM")</f>
        <v>11:00 AM</v>
      </c>
      <c r="K375" s="8" t="str">
        <f>IFERROR(__xludf.DUMMYFUNCTION("""COMPUTED_VALUE"""),"10E-27L")</f>
        <v>10E-27L</v>
      </c>
      <c r="L375" s="8"/>
      <c r="M375" s="10" t="str">
        <f>IFERROR(VLOOKUP(D375,FacultyList!B:G,6,FALSE),"")</f>
        <v>shazid.mahbub@bracu.ac.bd</v>
      </c>
    </row>
    <row r="376">
      <c r="A376" s="5" t="str">
        <f>IFERROR(__xludf.DUMMYFUNCTION("""COMPUTED_VALUE"""),"CSE420-04")</f>
        <v>CSE420-04</v>
      </c>
      <c r="B376" s="8"/>
      <c r="C376" s="8"/>
      <c r="D376" s="8" t="str">
        <f>IFERROR(__xludf.DUMMYFUNCTION("""COMPUTED_VALUE"""),"SZD")</f>
        <v>SZD</v>
      </c>
      <c r="E376" s="8" t="str">
        <f>IFERROR(__xludf.DUMMYFUNCTION("""COMPUTED_VALUE"""),"SUN+TUE")</f>
        <v>SUN+TUE</v>
      </c>
      <c r="F376" s="8" t="str">
        <f>IFERROR(__xludf.DUMMYFUNCTION("""COMPUTED_VALUE"""),"9:30 AM")</f>
        <v>9:30 AM</v>
      </c>
      <c r="G376" s="9" t="str">
        <f>IFERROR(__xludf.DUMMYFUNCTION("""COMPUTED_VALUE"""),"08H-22C")</f>
        <v>08H-22C</v>
      </c>
      <c r="H376" s="8" t="str">
        <f>IFERROR(__xludf.DUMMYFUNCTION("""COMPUTED_VALUE"""),"SUE,RKBR")</f>
        <v>SUE,RKBR</v>
      </c>
      <c r="I376" s="8" t="str">
        <f>IFERROR(__xludf.DUMMYFUNCTION("""COMPUTED_VALUE"""),"SAT")</f>
        <v>SAT</v>
      </c>
      <c r="J376" s="8" t="str">
        <f>IFERROR(__xludf.DUMMYFUNCTION("""COMPUTED_VALUE"""),"11:00 AM")</f>
        <v>11:00 AM</v>
      </c>
      <c r="K376" s="8" t="str">
        <f>IFERROR(__xludf.DUMMYFUNCTION("""COMPUTED_VALUE"""),"10E-27L")</f>
        <v>10E-27L</v>
      </c>
      <c r="L376" s="8"/>
      <c r="M376" s="10" t="str">
        <f>IFERROR(VLOOKUP(D376,FacultyList!B:G,6,FALSE),"")</f>
        <v>shazid.mahbub@bracu.ac.bd</v>
      </c>
    </row>
    <row r="377">
      <c r="A377" s="5" t="str">
        <f>IFERROR(__xludf.DUMMYFUNCTION("""COMPUTED_VALUE"""),"CSE420-05")</f>
        <v>CSE420-05</v>
      </c>
      <c r="B377" s="8"/>
      <c r="C377" s="8"/>
      <c r="D377" s="8" t="str">
        <f>IFERROR(__xludf.DUMMYFUNCTION("""COMPUTED_VALUE"""),"LRK")</f>
        <v>LRK</v>
      </c>
      <c r="E377" s="8" t="str">
        <f>IFERROR(__xludf.DUMMYFUNCTION("""COMPUTED_VALUE"""),"MON+WED")</f>
        <v>MON+WED</v>
      </c>
      <c r="F377" s="8" t="str">
        <f>IFERROR(__xludf.DUMMYFUNCTION("""COMPUTED_VALUE"""),"2:00 PM")</f>
        <v>2:00 PM</v>
      </c>
      <c r="G377" s="9" t="str">
        <f>IFERROR(__xludf.DUMMYFUNCTION("""COMPUTED_VALUE"""),"09A-04C")</f>
        <v>09A-04C</v>
      </c>
      <c r="H377" s="8" t="str">
        <f>IFERROR(__xludf.DUMMYFUNCTION("""COMPUTED_VALUE"""),"FMK,AKHD")</f>
        <v>FMK,AKHD</v>
      </c>
      <c r="I377" s="8" t="str">
        <f>IFERROR(__xludf.DUMMYFUNCTION("""COMPUTED_VALUE"""),"THU")</f>
        <v>THU</v>
      </c>
      <c r="J377" s="8" t="str">
        <f>IFERROR(__xludf.DUMMYFUNCTION("""COMPUTED_VALUE"""),"11:00 AM")</f>
        <v>11:00 AM</v>
      </c>
      <c r="K377" s="8" t="str">
        <f>IFERROR(__xludf.DUMMYFUNCTION("""COMPUTED_VALUE"""),"10E-27L")</f>
        <v>10E-27L</v>
      </c>
      <c r="L377" s="8"/>
      <c r="M377" s="10" t="str">
        <f>IFERROR(VLOOKUP(D377,FacultyList!B:G,6,FALSE),"")</f>
        <v>lara.khanom@bracu.ac.bd</v>
      </c>
    </row>
    <row r="378">
      <c r="A378" s="5" t="str">
        <f>IFERROR(__xludf.DUMMYFUNCTION("""COMPUTED_VALUE"""),"CSE420-06")</f>
        <v>CSE420-06</v>
      </c>
      <c r="B378" s="8"/>
      <c r="C378" s="8"/>
      <c r="D378" s="8" t="str">
        <f>IFERROR(__xludf.DUMMYFUNCTION("""COMPUTED_VALUE"""),"LRK")</f>
        <v>LRK</v>
      </c>
      <c r="E378" s="8" t="str">
        <f>IFERROR(__xludf.DUMMYFUNCTION("""COMPUTED_VALUE"""),"MON+WED")</f>
        <v>MON+WED</v>
      </c>
      <c r="F378" s="8" t="str">
        <f>IFERROR(__xludf.DUMMYFUNCTION("""COMPUTED_VALUE"""),"3:30 PM")</f>
        <v>3:30 PM</v>
      </c>
      <c r="G378" s="9" t="str">
        <f>IFERROR(__xludf.DUMMYFUNCTION("""COMPUTED_VALUE"""),"09A-04C")</f>
        <v>09A-04C</v>
      </c>
      <c r="H378" s="8" t="str">
        <f>IFERROR(__xludf.DUMMYFUNCTION("""COMPUTED_VALUE"""),"FMK,AKHD")</f>
        <v>FMK,AKHD</v>
      </c>
      <c r="I378" s="8" t="str">
        <f>IFERROR(__xludf.DUMMYFUNCTION("""COMPUTED_VALUE"""),"THU")</f>
        <v>THU</v>
      </c>
      <c r="J378" s="8" t="str">
        <f>IFERROR(__xludf.DUMMYFUNCTION("""COMPUTED_VALUE"""),"11:00 AM")</f>
        <v>11:00 AM</v>
      </c>
      <c r="K378" s="8" t="str">
        <f>IFERROR(__xludf.DUMMYFUNCTION("""COMPUTED_VALUE"""),"10E-27L")</f>
        <v>10E-27L</v>
      </c>
      <c r="L378" s="8"/>
      <c r="M378" s="10" t="str">
        <f>IFERROR(VLOOKUP(D378,FacultyList!B:G,6,FALSE),"")</f>
        <v>lara.khanom@bracu.ac.bd</v>
      </c>
    </row>
    <row r="379">
      <c r="A379" s="5" t="str">
        <f>IFERROR(__xludf.DUMMYFUNCTION("""COMPUTED_VALUE"""),"CSE420-07")</f>
        <v>CSE420-07</v>
      </c>
      <c r="B379" s="8"/>
      <c r="C379" s="8"/>
      <c r="D379" s="8" t="str">
        <f>IFERROR(__xludf.DUMMYFUNCTION("""COMPUTED_VALUE"""),"STNM")</f>
        <v>STNM</v>
      </c>
      <c r="E379" s="8" t="str">
        <f>IFERROR(__xludf.DUMMYFUNCTION("""COMPUTED_VALUE"""),"SAT+THU")</f>
        <v>SAT+THU</v>
      </c>
      <c r="F379" s="8" t="str">
        <f>IFERROR(__xludf.DUMMYFUNCTION("""COMPUTED_VALUE"""),"2:00 PM")</f>
        <v>2:00 PM</v>
      </c>
      <c r="G379" s="9" t="str">
        <f>IFERROR(__xludf.DUMMYFUNCTION("""COMPUTED_VALUE"""),"09A-05C")</f>
        <v>09A-05C</v>
      </c>
      <c r="H379" s="8" t="str">
        <f>IFERROR(__xludf.DUMMYFUNCTION("""COMPUTED_VALUE"""),"NLAM,SUE")</f>
        <v>NLAM,SUE</v>
      </c>
      <c r="I379" s="8" t="str">
        <f>IFERROR(__xludf.DUMMYFUNCTION("""COMPUTED_VALUE"""),"SUN")</f>
        <v>SUN</v>
      </c>
      <c r="J379" s="8" t="str">
        <f>IFERROR(__xludf.DUMMYFUNCTION("""COMPUTED_VALUE"""),"8:00 AM")</f>
        <v>8:00 AM</v>
      </c>
      <c r="K379" s="8" t="str">
        <f>IFERROR(__xludf.DUMMYFUNCTION("""COMPUTED_VALUE"""),"10G-34L")</f>
        <v>10G-34L</v>
      </c>
      <c r="L379" s="8"/>
      <c r="M379" s="10" t="str">
        <f>IFERROR(VLOOKUP(D379,FacultyList!B:G,6,FALSE),"")</f>
        <v>sanjida.tasnim@bracu.ac.bd</v>
      </c>
    </row>
    <row r="380">
      <c r="A380" s="5" t="str">
        <f>IFERROR(__xludf.DUMMYFUNCTION("""COMPUTED_VALUE"""),"CSE420-08")</f>
        <v>CSE420-08</v>
      </c>
      <c r="B380" s="8"/>
      <c r="C380" s="8"/>
      <c r="D380" s="8" t="str">
        <f>IFERROR(__xludf.DUMMYFUNCTION("""COMPUTED_VALUE"""),"STNM")</f>
        <v>STNM</v>
      </c>
      <c r="E380" s="8" t="str">
        <f>IFERROR(__xludf.DUMMYFUNCTION("""COMPUTED_VALUE"""),"SAT+THU")</f>
        <v>SAT+THU</v>
      </c>
      <c r="F380" s="8" t="str">
        <f>IFERROR(__xludf.DUMMYFUNCTION("""COMPUTED_VALUE"""),"3:30 PM")</f>
        <v>3:30 PM</v>
      </c>
      <c r="G380" s="9" t="str">
        <f>IFERROR(__xludf.DUMMYFUNCTION("""COMPUTED_VALUE"""),"09A-05C")</f>
        <v>09A-05C</v>
      </c>
      <c r="H380" s="8" t="str">
        <f>IFERROR(__xludf.DUMMYFUNCTION("""COMPUTED_VALUE"""),"SZD,RKBR")</f>
        <v>SZD,RKBR</v>
      </c>
      <c r="I380" s="8" t="str">
        <f>IFERROR(__xludf.DUMMYFUNCTION("""COMPUTED_VALUE"""),"SUN")</f>
        <v>SUN</v>
      </c>
      <c r="J380" s="8" t="str">
        <f>IFERROR(__xludf.DUMMYFUNCTION("""COMPUTED_VALUE"""),"11:00 AM")</f>
        <v>11:00 AM</v>
      </c>
      <c r="K380" s="8" t="str">
        <f>IFERROR(__xludf.DUMMYFUNCTION("""COMPUTED_VALUE"""),"10E-27L")</f>
        <v>10E-27L</v>
      </c>
      <c r="L380" s="8"/>
      <c r="M380" s="10" t="str">
        <f>IFERROR(VLOOKUP(D380,FacultyList!B:G,6,FALSE),"")</f>
        <v>sanjida.tasnim@bracu.ac.bd</v>
      </c>
    </row>
    <row r="381">
      <c r="A381" s="5" t="str">
        <f>IFERROR(__xludf.DUMMYFUNCTION("""COMPUTED_VALUE"""),"CSE420-09")</f>
        <v>CSE420-09</v>
      </c>
      <c r="B381" s="8"/>
      <c r="C381" s="8"/>
      <c r="D381" s="8" t="str">
        <f>IFERROR(__xludf.DUMMYFUNCTION("""COMPUTED_VALUE"""),"AVB")</f>
        <v>AVB</v>
      </c>
      <c r="E381" s="8" t="str">
        <f>IFERROR(__xludf.DUMMYFUNCTION("""COMPUTED_VALUE"""),"SAT+THU")</f>
        <v>SAT+THU</v>
      </c>
      <c r="F381" s="8" t="str">
        <f>IFERROR(__xludf.DUMMYFUNCTION("""COMPUTED_VALUE"""),"9:30 AM")</f>
        <v>9:30 AM</v>
      </c>
      <c r="G381" s="9" t="str">
        <f>IFERROR(__xludf.DUMMYFUNCTION("""COMPUTED_VALUE"""),"10B-13C")</f>
        <v>10B-13C</v>
      </c>
      <c r="H381" s="8" t="str">
        <f>IFERROR(__xludf.DUMMYFUNCTION("""COMPUTED_VALUE"""),"SZD,RKBR")</f>
        <v>SZD,RKBR</v>
      </c>
      <c r="I381" s="8" t="str">
        <f>IFERROR(__xludf.DUMMYFUNCTION("""COMPUTED_VALUE"""),"SUN")</f>
        <v>SUN</v>
      </c>
      <c r="J381" s="8" t="str">
        <f>IFERROR(__xludf.DUMMYFUNCTION("""COMPUTED_VALUE"""),"11:00 AM")</f>
        <v>11:00 AM</v>
      </c>
      <c r="K381" s="8" t="str">
        <f>IFERROR(__xludf.DUMMYFUNCTION("""COMPUTED_VALUE"""),"10E-27L")</f>
        <v>10E-27L</v>
      </c>
      <c r="L381" s="8"/>
      <c r="M381" s="10" t="str">
        <f>IFERROR(VLOOKUP(D381,FacultyList!B:G,6,FALSE),"")</f>
        <v>avinandan@bracu.ac.bd</v>
      </c>
    </row>
    <row r="382">
      <c r="A382" s="5" t="str">
        <f>IFERROR(__xludf.DUMMYFUNCTION("""COMPUTED_VALUE"""),"CSE420-10")</f>
        <v>CSE420-10</v>
      </c>
      <c r="B382" s="8"/>
      <c r="C382" s="8"/>
      <c r="D382" s="8" t="str">
        <f>IFERROR(__xludf.DUMMYFUNCTION("""COMPUTED_VALUE"""),"NLAM")</f>
        <v>NLAM</v>
      </c>
      <c r="E382" s="8" t="str">
        <f>IFERROR(__xludf.DUMMYFUNCTION("""COMPUTED_VALUE"""),"SAT+THU")</f>
        <v>SAT+THU</v>
      </c>
      <c r="F382" s="8" t="str">
        <f>IFERROR(__xludf.DUMMYFUNCTION("""COMPUTED_VALUE"""),"12:30 PM")</f>
        <v>12:30 PM</v>
      </c>
      <c r="G382" s="9" t="str">
        <f>IFERROR(__xludf.DUMMYFUNCTION("""COMPUTED_VALUE"""),"10B-16C")</f>
        <v>10B-16C</v>
      </c>
      <c r="H382" s="8" t="str">
        <f>IFERROR(__xludf.DUMMYFUNCTION("""COMPUTED_VALUE"""),"SZD,LRK")</f>
        <v>SZD,LRK</v>
      </c>
      <c r="I382" s="8" t="str">
        <f>IFERROR(__xludf.DUMMYFUNCTION("""COMPUTED_VALUE"""),"MON")</f>
        <v>MON</v>
      </c>
      <c r="J382" s="8" t="str">
        <f>IFERROR(__xludf.DUMMYFUNCTION("""COMPUTED_VALUE"""),"11:00 AM")</f>
        <v>11:00 AM</v>
      </c>
      <c r="K382" s="8" t="str">
        <f>IFERROR(__xludf.DUMMYFUNCTION("""COMPUTED_VALUE"""),"10E-27L")</f>
        <v>10E-27L</v>
      </c>
      <c r="L382" s="8"/>
      <c r="M382" s="10" t="str">
        <f>IFERROR(VLOOKUP(D382,FacultyList!B:G,6,FALSE),"")</f>
        <v>namirul.islam@bracu.ac.bd</v>
      </c>
    </row>
    <row r="383">
      <c r="A383" s="5" t="str">
        <f>IFERROR(__xludf.DUMMYFUNCTION("""COMPUTED_VALUE"""),"CSE420-11")</f>
        <v>CSE420-11</v>
      </c>
      <c r="B383" s="8"/>
      <c r="C383" s="8"/>
      <c r="D383" s="8" t="str">
        <f>IFERROR(__xludf.DUMMYFUNCTION("""COMPUTED_VALUE"""),"NLAM")</f>
        <v>NLAM</v>
      </c>
      <c r="E383" s="8" t="str">
        <f>IFERROR(__xludf.DUMMYFUNCTION("""COMPUTED_VALUE"""),"SAT+THU")</f>
        <v>SAT+THU</v>
      </c>
      <c r="F383" s="8" t="str">
        <f>IFERROR(__xludf.DUMMYFUNCTION("""COMPUTED_VALUE"""),"2:00 PM")</f>
        <v>2:00 PM</v>
      </c>
      <c r="G383" s="9" t="str">
        <f>IFERROR(__xludf.DUMMYFUNCTION("""COMPUTED_VALUE"""),"10B-16C")</f>
        <v>10B-16C</v>
      </c>
      <c r="H383" s="8" t="str">
        <f>IFERROR(__xludf.DUMMYFUNCTION("""COMPUTED_VALUE"""),"SZD,LRK")</f>
        <v>SZD,LRK</v>
      </c>
      <c r="I383" s="8" t="str">
        <f>IFERROR(__xludf.DUMMYFUNCTION("""COMPUTED_VALUE"""),"MON")</f>
        <v>MON</v>
      </c>
      <c r="J383" s="8" t="str">
        <f>IFERROR(__xludf.DUMMYFUNCTION("""COMPUTED_VALUE"""),"11:00 AM")</f>
        <v>11:00 AM</v>
      </c>
      <c r="K383" s="8" t="str">
        <f>IFERROR(__xludf.DUMMYFUNCTION("""COMPUTED_VALUE"""),"10E-27L")</f>
        <v>10E-27L</v>
      </c>
      <c r="L383" s="8"/>
      <c r="M383" s="10" t="str">
        <f>IFERROR(VLOOKUP(D383,FacultyList!B:G,6,FALSE),"")</f>
        <v>namirul.islam@bracu.ac.bd</v>
      </c>
    </row>
    <row r="384">
      <c r="A384" s="5" t="str">
        <f>IFERROR(__xludf.DUMMYFUNCTION("""COMPUTED_VALUE"""),"CSE420-12")</f>
        <v>CSE420-12</v>
      </c>
      <c r="B384" s="8"/>
      <c r="C384" s="8"/>
      <c r="D384" s="8" t="str">
        <f>IFERROR(__xludf.DUMMYFUNCTION("""COMPUTED_VALUE"""),"SUE")</f>
        <v>SUE</v>
      </c>
      <c r="E384" s="8" t="str">
        <f>IFERROR(__xludf.DUMMYFUNCTION("""COMPUTED_VALUE"""),"SAT+THU")</f>
        <v>SAT+THU</v>
      </c>
      <c r="F384" s="8" t="str">
        <f>IFERROR(__xludf.DUMMYFUNCTION("""COMPUTED_VALUE"""),"8:00 AM")</f>
        <v>8:00 AM</v>
      </c>
      <c r="G384" s="9" t="str">
        <f>IFERROR(__xludf.DUMMYFUNCTION("""COMPUTED_VALUE"""),"07D-20C")</f>
        <v>07D-20C</v>
      </c>
      <c r="H384" s="8" t="str">
        <f>IFERROR(__xludf.DUMMYFUNCTION("""COMPUTED_VALUE"""),"NLAM,MAF")</f>
        <v>NLAM,MAF</v>
      </c>
      <c r="I384" s="8" t="str">
        <f>IFERROR(__xludf.DUMMYFUNCTION("""COMPUTED_VALUE"""),"MON")</f>
        <v>MON</v>
      </c>
      <c r="J384" s="8" t="str">
        <f>IFERROR(__xludf.DUMMYFUNCTION("""COMPUTED_VALUE"""),"2:00 PM")</f>
        <v>2:00 PM</v>
      </c>
      <c r="K384" s="8" t="str">
        <f>IFERROR(__xludf.DUMMYFUNCTION("""COMPUTED_VALUE"""),"10E-27L")</f>
        <v>10E-27L</v>
      </c>
      <c r="L384" s="8"/>
      <c r="M384" s="10" t="str">
        <f>IFERROR(VLOOKUP(D384,FacultyList!B:G,6,FALSE),"")</f>
        <v>sukarna.sarkar@bracu.ac.bd</v>
      </c>
    </row>
    <row r="385">
      <c r="A385" s="5" t="str">
        <f>IFERROR(__xludf.DUMMYFUNCTION("""COMPUTED_VALUE"""),"CSE420-13")</f>
        <v>CSE420-13</v>
      </c>
      <c r="B385" s="8"/>
      <c r="C385" s="8"/>
      <c r="D385" s="8" t="str">
        <f>IFERROR(__xludf.DUMMYFUNCTION("""COMPUTED_VALUE"""),"SUE")</f>
        <v>SUE</v>
      </c>
      <c r="E385" s="8" t="str">
        <f>IFERROR(__xludf.DUMMYFUNCTION("""COMPUTED_VALUE"""),"SAT+THU")</f>
        <v>SAT+THU</v>
      </c>
      <c r="F385" s="8" t="str">
        <f>IFERROR(__xludf.DUMMYFUNCTION("""COMPUTED_VALUE"""),"9:30 AM")</f>
        <v>9:30 AM</v>
      </c>
      <c r="G385" s="9" t="str">
        <f>IFERROR(__xludf.DUMMYFUNCTION("""COMPUTED_VALUE"""),"07D-20C")</f>
        <v>07D-20C</v>
      </c>
      <c r="H385" s="8" t="str">
        <f>IFERROR(__xludf.DUMMYFUNCTION("""COMPUTED_VALUE"""),"NLAM,MAF")</f>
        <v>NLAM,MAF</v>
      </c>
      <c r="I385" s="8" t="str">
        <f>IFERROR(__xludf.DUMMYFUNCTION("""COMPUTED_VALUE"""),"MON")</f>
        <v>MON</v>
      </c>
      <c r="J385" s="8" t="str">
        <f>IFERROR(__xludf.DUMMYFUNCTION("""COMPUTED_VALUE"""),"2:00 PM")</f>
        <v>2:00 PM</v>
      </c>
      <c r="K385" s="8" t="str">
        <f>IFERROR(__xludf.DUMMYFUNCTION("""COMPUTED_VALUE"""),"10E-27L")</f>
        <v>10E-27L</v>
      </c>
      <c r="L385" s="8"/>
      <c r="M385" s="10" t="str">
        <f>IFERROR(VLOOKUP(D385,FacultyList!B:G,6,FALSE),"")</f>
        <v>sukarna.sarkar@bracu.ac.bd</v>
      </c>
    </row>
    <row r="386">
      <c r="A386" s="5" t="str">
        <f>IFERROR(__xludf.DUMMYFUNCTION("""COMPUTED_VALUE"""),"CSE420-14")</f>
        <v>CSE420-14</v>
      </c>
      <c r="B386" s="8"/>
      <c r="C386" s="8"/>
      <c r="D386" s="8" t="str">
        <f>IFERROR(__xludf.DUMMYFUNCTION("""COMPUTED_VALUE"""),"AKHD")</f>
        <v>AKHD</v>
      </c>
      <c r="E386" s="8" t="str">
        <f>IFERROR(__xludf.DUMMYFUNCTION("""COMPUTED_VALUE"""),"SAT+THU")</f>
        <v>SAT+THU</v>
      </c>
      <c r="F386" s="8" t="str">
        <f>IFERROR(__xludf.DUMMYFUNCTION("""COMPUTED_VALUE"""),"3:30 PM")</f>
        <v>3:30 PM</v>
      </c>
      <c r="G386" s="9" t="str">
        <f>IFERROR(__xludf.DUMMYFUNCTION("""COMPUTED_VALUE"""),"09C-13C")</f>
        <v>09C-13C</v>
      </c>
      <c r="H386" s="8" t="str">
        <f>IFERROR(__xludf.DUMMYFUNCTION("""COMPUTED_VALUE"""),"LRK,RDS")</f>
        <v>LRK,RDS</v>
      </c>
      <c r="I386" s="8" t="str">
        <f>IFERROR(__xludf.DUMMYFUNCTION("""COMPUTED_VALUE"""),"WED")</f>
        <v>WED</v>
      </c>
      <c r="J386" s="8" t="str">
        <f>IFERROR(__xludf.DUMMYFUNCTION("""COMPUTED_VALUE"""),"11:00 AM")</f>
        <v>11:00 AM</v>
      </c>
      <c r="K386" s="8" t="str">
        <f>IFERROR(__xludf.DUMMYFUNCTION("""COMPUTED_VALUE"""),"10E-27L")</f>
        <v>10E-27L</v>
      </c>
      <c r="L386" s="8"/>
      <c r="M386" s="10" t="str">
        <f>IFERROR(VLOOKUP(D386,FacultyList!B:G,6,FALSE),"")</f>
        <v>ext.abdullah@bracu.ac.bd</v>
      </c>
    </row>
    <row r="387">
      <c r="A387" s="5" t="str">
        <f>IFERROR(__xludf.DUMMYFUNCTION("""COMPUTED_VALUE"""),"CSE420-15")</f>
        <v>CSE420-15</v>
      </c>
      <c r="B387" s="8"/>
      <c r="C387" s="8"/>
      <c r="D387" s="8" t="str">
        <f>IFERROR(__xludf.DUMMYFUNCTION("""COMPUTED_VALUE"""),"RKBR")</f>
        <v>RKBR</v>
      </c>
      <c r="E387" s="8" t="str">
        <f>IFERROR(__xludf.DUMMYFUNCTION("""COMPUTED_VALUE"""),"SAT+THU")</f>
        <v>SAT+THU</v>
      </c>
      <c r="F387" s="8" t="str">
        <f>IFERROR(__xludf.DUMMYFUNCTION("""COMPUTED_VALUE"""),"2:00 PM")</f>
        <v>2:00 PM</v>
      </c>
      <c r="G387" s="9" t="str">
        <f>IFERROR(__xludf.DUMMYFUNCTION("""COMPUTED_VALUE"""),"09A-06C")</f>
        <v>09A-06C</v>
      </c>
      <c r="H387" s="8" t="str">
        <f>IFERROR(__xludf.DUMMYFUNCTION("""COMPUTED_VALUE"""),"LRK,RDS")</f>
        <v>LRK,RDS</v>
      </c>
      <c r="I387" s="8" t="str">
        <f>IFERROR(__xludf.DUMMYFUNCTION("""COMPUTED_VALUE"""),"WED")</f>
        <v>WED</v>
      </c>
      <c r="J387" s="8" t="str">
        <f>IFERROR(__xludf.DUMMYFUNCTION("""COMPUTED_VALUE"""),"11:00 AM")</f>
        <v>11:00 AM</v>
      </c>
      <c r="K387" s="8" t="str">
        <f>IFERROR(__xludf.DUMMYFUNCTION("""COMPUTED_VALUE"""),"10E-27L")</f>
        <v>10E-27L</v>
      </c>
      <c r="L387" s="8"/>
      <c r="M387" s="10" t="str">
        <f>IFERROR(VLOOKUP(D387,FacultyList!B:G,6,FALSE),"")</f>
        <v>rakib.kibria@bracu.ac.bd</v>
      </c>
    </row>
    <row r="388">
      <c r="A388" s="5" t="str">
        <f>IFERROR(__xludf.DUMMYFUNCTION("""COMPUTED_VALUE"""),"CSE420-16")</f>
        <v>CSE420-16</v>
      </c>
      <c r="B388" s="8"/>
      <c r="C388" s="8"/>
      <c r="D388" s="8" t="str">
        <f>IFERROR(__xludf.DUMMYFUNCTION("""COMPUTED_VALUE"""),"RKBR")</f>
        <v>RKBR</v>
      </c>
      <c r="E388" s="8" t="str">
        <f>IFERROR(__xludf.DUMMYFUNCTION("""COMPUTED_VALUE"""),"SAT+THU")</f>
        <v>SAT+THU</v>
      </c>
      <c r="F388" s="8" t="str">
        <f>IFERROR(__xludf.DUMMYFUNCTION("""COMPUTED_VALUE"""),"3:30 PM")</f>
        <v>3:30 PM</v>
      </c>
      <c r="G388" s="9" t="str">
        <f>IFERROR(__xludf.DUMMYFUNCTION("""COMPUTED_VALUE"""),"09A-06C")</f>
        <v>09A-06C</v>
      </c>
      <c r="H388" s="8" t="str">
        <f>IFERROR(__xludf.DUMMYFUNCTION("""COMPUTED_VALUE"""),"FMK,MAF")</f>
        <v>FMK,MAF</v>
      </c>
      <c r="I388" s="8" t="str">
        <f>IFERROR(__xludf.DUMMYFUNCTION("""COMPUTED_VALUE"""),"TUE")</f>
        <v>TUE</v>
      </c>
      <c r="J388" s="8" t="str">
        <f>IFERROR(__xludf.DUMMYFUNCTION("""COMPUTED_VALUE"""),"2:00 PM")</f>
        <v>2:00 PM</v>
      </c>
      <c r="K388" s="8" t="str">
        <f>IFERROR(__xludf.DUMMYFUNCTION("""COMPUTED_VALUE"""),"10E-27L")</f>
        <v>10E-27L</v>
      </c>
      <c r="L388" s="8"/>
      <c r="M388" s="10" t="str">
        <f>IFERROR(VLOOKUP(D388,FacultyList!B:G,6,FALSE),"")</f>
        <v>rakib.kibria@bracu.ac.bd</v>
      </c>
    </row>
    <row r="389">
      <c r="A389" s="5" t="str">
        <f>IFERROR(__xludf.DUMMYFUNCTION("""COMPUTED_VALUE"""),"CSE420-17")</f>
        <v>CSE420-17</v>
      </c>
      <c r="B389" s="8"/>
      <c r="C389" s="8"/>
      <c r="D389" s="8" t="str">
        <f>IFERROR(__xludf.DUMMYFUNCTION("""COMPUTED_VALUE"""),"FMK")</f>
        <v>FMK</v>
      </c>
      <c r="E389" s="8" t="str">
        <f>IFERROR(__xludf.DUMMYFUNCTION("""COMPUTED_VALUE"""),"SAT+THU")</f>
        <v>SAT+THU</v>
      </c>
      <c r="F389" s="8" t="str">
        <f>IFERROR(__xludf.DUMMYFUNCTION("""COMPUTED_VALUE"""),"2:00 PM")</f>
        <v>2:00 PM</v>
      </c>
      <c r="G389" s="9" t="str">
        <f>IFERROR(__xludf.DUMMYFUNCTION("""COMPUTED_VALUE"""),"07D-19C")</f>
        <v>07D-19C</v>
      </c>
      <c r="H389" s="8" t="str">
        <f>IFERROR(__xludf.DUMMYFUNCTION("""COMPUTED_VALUE"""),"FMK,MAF")</f>
        <v>FMK,MAF</v>
      </c>
      <c r="I389" s="8" t="str">
        <f>IFERROR(__xludf.DUMMYFUNCTION("""COMPUTED_VALUE"""),"TUE")</f>
        <v>TUE</v>
      </c>
      <c r="J389" s="8" t="str">
        <f>IFERROR(__xludf.DUMMYFUNCTION("""COMPUTED_VALUE"""),"2:00 PM")</f>
        <v>2:00 PM</v>
      </c>
      <c r="K389" s="8" t="str">
        <f>IFERROR(__xludf.DUMMYFUNCTION("""COMPUTED_VALUE"""),"10E-27L")</f>
        <v>10E-27L</v>
      </c>
      <c r="L389" s="8"/>
      <c r="M389" s="10" t="str">
        <f>IFERROR(VLOOKUP(D389,FacultyList!B:G,6,FALSE),"")</f>
        <v>ext.md.saif.mokarrom@bracu.ac.bd</v>
      </c>
    </row>
    <row r="390">
      <c r="A390" s="5" t="str">
        <f>IFERROR(__xludf.DUMMYFUNCTION("""COMPUTED_VALUE"""),"CSE420-18")</f>
        <v>CSE420-18</v>
      </c>
      <c r="B390" s="8"/>
      <c r="C390" s="8"/>
      <c r="D390" s="8" t="str">
        <f>IFERROR(__xludf.DUMMYFUNCTION("""COMPUTED_VALUE"""),"MAF")</f>
        <v>MAF</v>
      </c>
      <c r="E390" s="8" t="str">
        <f>IFERROR(__xludf.DUMMYFUNCTION("""COMPUTED_VALUE"""),"SAT+THU")</f>
        <v>SAT+THU</v>
      </c>
      <c r="F390" s="8" t="str">
        <f>IFERROR(__xludf.DUMMYFUNCTION("""COMPUTED_VALUE"""),"3:30 PM")</f>
        <v>3:30 PM</v>
      </c>
      <c r="G390" s="9" t="str">
        <f>IFERROR(__xludf.DUMMYFUNCTION("""COMPUTED_VALUE"""),"07D-19C")</f>
        <v>07D-19C</v>
      </c>
      <c r="H390" s="8" t="str">
        <f>IFERROR(__xludf.DUMMYFUNCTION("""COMPUTED_VALUE"""),"MAF,FMK")</f>
        <v>MAF,FMK</v>
      </c>
      <c r="I390" s="8" t="str">
        <f>IFERROR(__xludf.DUMMYFUNCTION("""COMPUTED_VALUE"""),"TUE")</f>
        <v>TUE</v>
      </c>
      <c r="J390" s="8" t="str">
        <f>IFERROR(__xludf.DUMMYFUNCTION("""COMPUTED_VALUE"""),"8:00 AM")</f>
        <v>8:00 AM</v>
      </c>
      <c r="K390" s="8" t="str">
        <f>IFERROR(__xludf.DUMMYFUNCTION("""COMPUTED_VALUE"""),"10E-27L")</f>
        <v>10E-27L</v>
      </c>
      <c r="L390" s="8"/>
      <c r="M390" s="10" t="str">
        <f>IFERROR(VLOOKUP(D390,FacultyList!B:G,6,FALSE),"")</f>
        <v>ext.md.asif@bracu.ac.bd</v>
      </c>
    </row>
    <row r="391">
      <c r="A391" s="5" t="str">
        <f>IFERROR(__xludf.DUMMYFUNCTION("""COMPUTED_VALUE"""),"CSE420-19")</f>
        <v>CSE420-19</v>
      </c>
      <c r="B391" s="8"/>
      <c r="C391" s="8"/>
      <c r="D391" s="8" t="str">
        <f>IFERROR(__xludf.DUMMYFUNCTION("""COMPUTED_VALUE"""),"SZD")</f>
        <v>SZD</v>
      </c>
      <c r="E391" s="8" t="str">
        <f>IFERROR(__xludf.DUMMYFUNCTION("""COMPUTED_VALUE"""),"MON+WED")</f>
        <v>MON+WED</v>
      </c>
      <c r="F391" s="8" t="str">
        <f>IFERROR(__xludf.DUMMYFUNCTION("""COMPUTED_VALUE"""),"3:30 PM")</f>
        <v>3:30 PM</v>
      </c>
      <c r="G391" s="9" t="str">
        <f>IFERROR(__xludf.DUMMYFUNCTION("""COMPUTED_VALUE"""),"09A-05C")</f>
        <v>09A-05C</v>
      </c>
      <c r="H391" s="8" t="str">
        <f>IFERROR(__xludf.DUMMYFUNCTION("""COMPUTED_VALUE"""),"FMK,AKHD")</f>
        <v>FMK,AKHD</v>
      </c>
      <c r="I391" s="8" t="str">
        <f>IFERROR(__xludf.DUMMYFUNCTION("""COMPUTED_VALUE"""),"WED")</f>
        <v>WED</v>
      </c>
      <c r="J391" s="8" t="str">
        <f>IFERROR(__xludf.DUMMYFUNCTION("""COMPUTED_VALUE"""),"11:00 AM")</f>
        <v>11:00 AM</v>
      </c>
      <c r="K391" s="8" t="str">
        <f>IFERROR(__xludf.DUMMYFUNCTION("""COMPUTED_VALUE"""),"12F-31L")</f>
        <v>12F-31L</v>
      </c>
      <c r="L391" s="8"/>
      <c r="M391" s="10" t="str">
        <f>IFERROR(VLOOKUP(D391,FacultyList!B:G,6,FALSE),"")</f>
        <v>shazid.mahbub@bracu.ac.bd</v>
      </c>
    </row>
    <row r="392">
      <c r="A392" s="5" t="str">
        <f>IFERROR(__xludf.DUMMYFUNCTION("""COMPUTED_VALUE"""),"CSE420-20")</f>
        <v>CSE420-20</v>
      </c>
      <c r="B392" s="8"/>
      <c r="C392" s="8"/>
      <c r="D392" s="8" t="str">
        <f>IFERROR(__xludf.DUMMYFUNCTION("""COMPUTED_VALUE"""),"MNY")</f>
        <v>MNY</v>
      </c>
      <c r="E392" s="8" t="str">
        <f>IFERROR(__xludf.DUMMYFUNCTION("""COMPUTED_VALUE"""),"SUN+TUE")</f>
        <v>SUN+TUE</v>
      </c>
      <c r="F392" s="8" t="str">
        <f>IFERROR(__xludf.DUMMYFUNCTION("""COMPUTED_VALUE"""),"11:00 AM")</f>
        <v>11:00 AM</v>
      </c>
      <c r="G392" s="9" t="str">
        <f>IFERROR(__xludf.DUMMYFUNCTION("""COMPUTED_VALUE"""),"09A-05C")</f>
        <v>09A-05C</v>
      </c>
      <c r="H392" s="8" t="str">
        <f>IFERROR(__xludf.DUMMYFUNCTION("""COMPUTED_VALUE"""),"FMK,AKHD")</f>
        <v>FMK,AKHD</v>
      </c>
      <c r="I392" s="8" t="str">
        <f>IFERROR(__xludf.DUMMYFUNCTION("""COMPUTED_VALUE"""),"WED")</f>
        <v>WED</v>
      </c>
      <c r="J392" s="8" t="str">
        <f>IFERROR(__xludf.DUMMYFUNCTION("""COMPUTED_VALUE"""),"11:00 AM")</f>
        <v>11:00 AM</v>
      </c>
      <c r="K392" s="8" t="str">
        <f>IFERROR(__xludf.DUMMYFUNCTION("""COMPUTED_VALUE"""),"12F-31L")</f>
        <v>12F-31L</v>
      </c>
      <c r="L392" s="8"/>
      <c r="M392" s="10" t="str">
        <f>IFERROR(VLOOKUP(D392,FacultyList!B:G,6,FALSE),"")</f>
        <v>nur.yanhaona@bracu.ac.bd</v>
      </c>
    </row>
    <row r="393">
      <c r="A393" s="5" t="str">
        <f>IFERROR(__xludf.DUMMYFUNCTION("""COMPUTED_VALUE"""),"CSE421-01")</f>
        <v>CSE421-01</v>
      </c>
      <c r="B393" s="8" t="str">
        <f>IFERROR(__xludf.DUMMYFUNCTION("""COMPUTED_VALUE"""),"EEE465")</f>
        <v>EEE465</v>
      </c>
      <c r="C393" s="8" t="str">
        <f>IFERROR(__xludf.DUMMYFUNCTION("""COMPUTED_VALUE"""),"EEE466")</f>
        <v>EEE466</v>
      </c>
      <c r="D393" s="8" t="str">
        <f>IFERROR(__xludf.DUMMYFUNCTION("""COMPUTED_VALUE"""),"ARF")</f>
        <v>ARF</v>
      </c>
      <c r="E393" s="8" t="str">
        <f>IFERROR(__xludf.DUMMYFUNCTION("""COMPUTED_VALUE"""),"MON+WED")</f>
        <v>MON+WED</v>
      </c>
      <c r="F393" s="8" t="str">
        <f>IFERROR(__xludf.DUMMYFUNCTION("""COMPUTED_VALUE"""),"12:30 PM")</f>
        <v>12:30 PM</v>
      </c>
      <c r="G393" s="9" t="str">
        <f>IFERROR(__xludf.DUMMYFUNCTION("""COMPUTED_VALUE"""),"10A-04C")</f>
        <v>10A-04C</v>
      </c>
      <c r="H393" s="8" t="str">
        <f>IFERROR(__xludf.DUMMYFUNCTION("""COMPUTED_VALUE"""),"WBH,THR")</f>
        <v>WBH,THR</v>
      </c>
      <c r="I393" s="8" t="str">
        <f>IFERROR(__xludf.DUMMYFUNCTION("""COMPUTED_VALUE"""),"THU")</f>
        <v>THU</v>
      </c>
      <c r="J393" s="8" t="str">
        <f>IFERROR(__xludf.DUMMYFUNCTION("""COMPUTED_VALUE"""),"8:00 AM")</f>
        <v>8:00 AM</v>
      </c>
      <c r="K393" s="8" t="str">
        <f>IFERROR(__xludf.DUMMYFUNCTION("""COMPUTED_VALUE"""),"09F-25L")</f>
        <v>09F-25L</v>
      </c>
      <c r="L393" s="8"/>
      <c r="M393" s="10" t="str">
        <f>IFERROR(VLOOKUP(D393,FacultyList!B:G,6,FALSE),"")</f>
        <v>arif.shakil@bracu.ac.bd</v>
      </c>
    </row>
    <row r="394">
      <c r="A394" s="5" t="str">
        <f>IFERROR(__xludf.DUMMYFUNCTION("""COMPUTED_VALUE"""),"CSE421-02")</f>
        <v>CSE421-02</v>
      </c>
      <c r="B394" s="8" t="str">
        <f>IFERROR(__xludf.DUMMYFUNCTION("""COMPUTED_VALUE"""),"EEE465")</f>
        <v>EEE465</v>
      </c>
      <c r="C394" s="8" t="str">
        <f>IFERROR(__xludf.DUMMYFUNCTION("""COMPUTED_VALUE"""),"EEE466")</f>
        <v>EEE466</v>
      </c>
      <c r="D394" s="8" t="str">
        <f>IFERROR(__xludf.DUMMYFUNCTION("""COMPUTED_VALUE"""),"ARF")</f>
        <v>ARF</v>
      </c>
      <c r="E394" s="8" t="str">
        <f>IFERROR(__xludf.DUMMYFUNCTION("""COMPUTED_VALUE"""),"MON+WED")</f>
        <v>MON+WED</v>
      </c>
      <c r="F394" s="8" t="str">
        <f>IFERROR(__xludf.DUMMYFUNCTION("""COMPUTED_VALUE"""),"2:00 PM")</f>
        <v>2:00 PM</v>
      </c>
      <c r="G394" s="9" t="str">
        <f>IFERROR(__xludf.DUMMYFUNCTION("""COMPUTED_VALUE"""),"10A-04C")</f>
        <v>10A-04C</v>
      </c>
      <c r="H394" s="8" t="str">
        <f>IFERROR(__xludf.DUMMYFUNCTION("""COMPUTED_VALUE"""),"WBH,THR")</f>
        <v>WBH,THR</v>
      </c>
      <c r="I394" s="8" t="str">
        <f>IFERROR(__xludf.DUMMYFUNCTION("""COMPUTED_VALUE"""),"THU")</f>
        <v>THU</v>
      </c>
      <c r="J394" s="8" t="str">
        <f>IFERROR(__xludf.DUMMYFUNCTION("""COMPUTED_VALUE"""),"8:00 AM")</f>
        <v>8:00 AM</v>
      </c>
      <c r="K394" s="8" t="str">
        <f>IFERROR(__xludf.DUMMYFUNCTION("""COMPUTED_VALUE"""),"09F-25L")</f>
        <v>09F-25L</v>
      </c>
      <c r="L394" s="8"/>
      <c r="M394" s="10" t="str">
        <f>IFERROR(VLOOKUP(D394,FacultyList!B:G,6,FALSE),"")</f>
        <v>arif.shakil@bracu.ac.bd</v>
      </c>
    </row>
    <row r="395">
      <c r="A395" s="5" t="str">
        <f>IFERROR(__xludf.DUMMYFUNCTION("""COMPUTED_VALUE"""),"CSE421-03")</f>
        <v>CSE421-03</v>
      </c>
      <c r="B395" s="8" t="str">
        <f>IFERROR(__xludf.DUMMYFUNCTION("""COMPUTED_VALUE"""),"EEE465")</f>
        <v>EEE465</v>
      </c>
      <c r="C395" s="8" t="str">
        <f>IFERROR(__xludf.DUMMYFUNCTION("""COMPUTED_VALUE"""),"EEE466")</f>
        <v>EEE466</v>
      </c>
      <c r="D395" s="8" t="str">
        <f>IFERROR(__xludf.DUMMYFUNCTION("""COMPUTED_VALUE"""),"FDC")</f>
        <v>FDC</v>
      </c>
      <c r="E395" s="8" t="str">
        <f>IFERROR(__xludf.DUMMYFUNCTION("""COMPUTED_VALUE"""),"MON+WED")</f>
        <v>MON+WED</v>
      </c>
      <c r="F395" s="8" t="str">
        <f>IFERROR(__xludf.DUMMYFUNCTION("""COMPUTED_VALUE"""),"11:00 AM")</f>
        <v>11:00 AM</v>
      </c>
      <c r="G395" s="9" t="str">
        <f>IFERROR(__xludf.DUMMYFUNCTION("""COMPUTED_VALUE"""),"10B-16C")</f>
        <v>10B-16C</v>
      </c>
      <c r="H395" s="8" t="str">
        <f>IFERROR(__xludf.DUMMYFUNCTION("""COMPUTED_VALUE"""),"RDS,WBH")</f>
        <v>RDS,WBH</v>
      </c>
      <c r="I395" s="8" t="str">
        <f>IFERROR(__xludf.DUMMYFUNCTION("""COMPUTED_VALUE"""),"SAT")</f>
        <v>SAT</v>
      </c>
      <c r="J395" s="8" t="str">
        <f>IFERROR(__xludf.DUMMYFUNCTION("""COMPUTED_VALUE"""),"2:00 PM")</f>
        <v>2:00 PM</v>
      </c>
      <c r="K395" s="8" t="str">
        <f>IFERROR(__xludf.DUMMYFUNCTION("""COMPUTED_VALUE"""),"09F-25L")</f>
        <v>09F-25L</v>
      </c>
      <c r="L395" s="8"/>
      <c r="M395" s="10" t="str">
        <f>IFERROR(VLOOKUP(D395,FacultyList!B:G,6,FALSE),"")</f>
        <v>farida.chowdhury@bracu.ac.bd</v>
      </c>
    </row>
    <row r="396">
      <c r="A396" s="5" t="str">
        <f>IFERROR(__xludf.DUMMYFUNCTION("""COMPUTED_VALUE"""),"CSE421-04")</f>
        <v>CSE421-04</v>
      </c>
      <c r="B396" s="8" t="str">
        <f>IFERROR(__xludf.DUMMYFUNCTION("""COMPUTED_VALUE"""),"EEE465")</f>
        <v>EEE465</v>
      </c>
      <c r="C396" s="8" t="str">
        <f>IFERROR(__xludf.DUMMYFUNCTION("""COMPUTED_VALUE"""),"EEE466")</f>
        <v>EEE466</v>
      </c>
      <c r="D396" s="8" t="str">
        <f>IFERROR(__xludf.DUMMYFUNCTION("""COMPUTED_VALUE"""),"SKZ")</f>
        <v>SKZ</v>
      </c>
      <c r="E396" s="8" t="str">
        <f>IFERROR(__xludf.DUMMYFUNCTION("""COMPUTED_VALUE"""),"MON+WED")</f>
        <v>MON+WED</v>
      </c>
      <c r="F396" s="8" t="str">
        <f>IFERROR(__xludf.DUMMYFUNCTION("""COMPUTED_VALUE"""),"2:00 PM")</f>
        <v>2:00 PM</v>
      </c>
      <c r="G396" s="9" t="str">
        <f>IFERROR(__xludf.DUMMYFUNCTION("""COMPUTED_VALUE"""),"10A-05C")</f>
        <v>10A-05C</v>
      </c>
      <c r="H396" s="8" t="str">
        <f>IFERROR(__xludf.DUMMYFUNCTION("""COMPUTED_VALUE"""),"RDS,WBH")</f>
        <v>RDS,WBH</v>
      </c>
      <c r="I396" s="8" t="str">
        <f>IFERROR(__xludf.DUMMYFUNCTION("""COMPUTED_VALUE"""),"SAT")</f>
        <v>SAT</v>
      </c>
      <c r="J396" s="8" t="str">
        <f>IFERROR(__xludf.DUMMYFUNCTION("""COMPUTED_VALUE"""),"2:00 PM")</f>
        <v>2:00 PM</v>
      </c>
      <c r="K396" s="8" t="str">
        <f>IFERROR(__xludf.DUMMYFUNCTION("""COMPUTED_VALUE"""),"09F-25L")</f>
        <v>09F-25L</v>
      </c>
      <c r="L396" s="8"/>
      <c r="M396" s="10" t="str">
        <f>IFERROR(VLOOKUP(D396,FacultyList!B:G,6,FALSE),"")</f>
        <v>skazi@bracu.ac.bd</v>
      </c>
    </row>
    <row r="397">
      <c r="A397" s="5" t="str">
        <f>IFERROR(__xludf.DUMMYFUNCTION("""COMPUTED_VALUE"""),"CSE421-05")</f>
        <v>CSE421-05</v>
      </c>
      <c r="B397" s="8" t="str">
        <f>IFERROR(__xludf.DUMMYFUNCTION("""COMPUTED_VALUE"""),"EEE465")</f>
        <v>EEE465</v>
      </c>
      <c r="C397" s="8" t="str">
        <f>IFERROR(__xludf.DUMMYFUNCTION("""COMPUTED_VALUE"""),"EEE466")</f>
        <v>EEE466</v>
      </c>
      <c r="D397" s="8" t="str">
        <f>IFERROR(__xludf.DUMMYFUNCTION("""COMPUTED_VALUE"""),"MSAH")</f>
        <v>MSAH</v>
      </c>
      <c r="E397" s="8" t="str">
        <f>IFERROR(__xludf.DUMMYFUNCTION("""COMPUTED_VALUE"""),"SUN+TUE")</f>
        <v>SUN+TUE</v>
      </c>
      <c r="F397" s="8" t="str">
        <f>IFERROR(__xludf.DUMMYFUNCTION("""COMPUTED_VALUE"""),"3:30 PM")</f>
        <v>3:30 PM</v>
      </c>
      <c r="G397" s="9" t="str">
        <f>IFERROR(__xludf.DUMMYFUNCTION("""COMPUTED_VALUE"""),"09E-20T")</f>
        <v>09E-20T</v>
      </c>
      <c r="H397" s="8" t="str">
        <f>IFERROR(__xludf.DUMMYFUNCTION("""COMPUTED_VALUE"""),"CQAE,CPTH")</f>
        <v>CQAE,CPTH</v>
      </c>
      <c r="I397" s="8" t="str">
        <f>IFERROR(__xludf.DUMMYFUNCTION("""COMPUTED_VALUE"""),"SAT")</f>
        <v>SAT</v>
      </c>
      <c r="J397" s="8" t="str">
        <f>IFERROR(__xludf.DUMMYFUNCTION("""COMPUTED_VALUE"""),"11:00 AM")</f>
        <v>11:00 AM</v>
      </c>
      <c r="K397" s="8" t="str">
        <f>IFERROR(__xludf.DUMMYFUNCTION("""COMPUTED_VALUE"""),"09F-25L")</f>
        <v>09F-25L</v>
      </c>
      <c r="L397" s="8"/>
      <c r="M397" s="10" t="str">
        <f>IFERROR(VLOOKUP(D397,FacultyList!B:G,6,FALSE),"")</f>
        <v>sakir.hossain@bracu.ac.bd</v>
      </c>
    </row>
    <row r="398">
      <c r="A398" s="5" t="str">
        <f>IFERROR(__xludf.DUMMYFUNCTION("""COMPUTED_VALUE"""),"CSE421-06")</f>
        <v>CSE421-06</v>
      </c>
      <c r="B398" s="8" t="str">
        <f>IFERROR(__xludf.DUMMYFUNCTION("""COMPUTED_VALUE"""),"EEE465")</f>
        <v>EEE465</v>
      </c>
      <c r="C398" s="8" t="str">
        <f>IFERROR(__xludf.DUMMYFUNCTION("""COMPUTED_VALUE"""),"EEE466")</f>
        <v>EEE466</v>
      </c>
      <c r="D398" s="8" t="str">
        <f>IFERROR(__xludf.DUMMYFUNCTION("""COMPUTED_VALUE"""),"MSAH")</f>
        <v>MSAH</v>
      </c>
      <c r="E398" s="8" t="str">
        <f>IFERROR(__xludf.DUMMYFUNCTION("""COMPUTED_VALUE"""),"SUN+TUE")</f>
        <v>SUN+TUE</v>
      </c>
      <c r="F398" s="8" t="str">
        <f>IFERROR(__xludf.DUMMYFUNCTION("""COMPUTED_VALUE"""),"3:30 PM")</f>
        <v>3:30 PM</v>
      </c>
      <c r="G398" s="9" t="str">
        <f>IFERROR(__xludf.DUMMYFUNCTION("""COMPUTED_VALUE"""),"09E-20T")</f>
        <v>09E-20T</v>
      </c>
      <c r="H398" s="8" t="str">
        <f>IFERROR(__xludf.DUMMYFUNCTION("""COMPUTED_VALUE"""),"CQAE,CPTH")</f>
        <v>CQAE,CPTH</v>
      </c>
      <c r="I398" s="8" t="str">
        <f>IFERROR(__xludf.DUMMYFUNCTION("""COMPUTED_VALUE"""),"SAT")</f>
        <v>SAT</v>
      </c>
      <c r="J398" s="8" t="str">
        <f>IFERROR(__xludf.DUMMYFUNCTION("""COMPUTED_VALUE"""),"11:00 AM")</f>
        <v>11:00 AM</v>
      </c>
      <c r="K398" s="8" t="str">
        <f>IFERROR(__xludf.DUMMYFUNCTION("""COMPUTED_VALUE"""),"09F-25L")</f>
        <v>09F-25L</v>
      </c>
      <c r="L398" s="8"/>
      <c r="M398" s="10" t="str">
        <f>IFERROR(VLOOKUP(D398,FacultyList!B:G,6,FALSE),"")</f>
        <v>sakir.hossain@bracu.ac.bd</v>
      </c>
    </row>
    <row r="399">
      <c r="A399" s="5" t="str">
        <f>IFERROR(__xludf.DUMMYFUNCTION("""COMPUTED_VALUE"""),"CSE421-07")</f>
        <v>CSE421-07</v>
      </c>
      <c r="B399" s="8" t="str">
        <f>IFERROR(__xludf.DUMMYFUNCTION("""COMPUTED_VALUE"""),"EEE465")</f>
        <v>EEE465</v>
      </c>
      <c r="C399" s="8" t="str">
        <f>IFERROR(__xludf.DUMMYFUNCTION("""COMPUTED_VALUE"""),"EEE466")</f>
        <v>EEE466</v>
      </c>
      <c r="D399" s="8" t="str">
        <f>IFERROR(__xludf.DUMMYFUNCTION("""COMPUTED_VALUE"""),"MSAH")</f>
        <v>MSAH</v>
      </c>
      <c r="E399" s="8" t="str">
        <f>IFERROR(__xludf.DUMMYFUNCTION("""COMPUTED_VALUE"""),"SUN+TUE")</f>
        <v>SUN+TUE</v>
      </c>
      <c r="F399" s="8" t="str">
        <f>IFERROR(__xludf.DUMMYFUNCTION("""COMPUTED_VALUE"""),"3:30 PM")</f>
        <v>3:30 PM</v>
      </c>
      <c r="G399" s="9" t="str">
        <f>IFERROR(__xludf.DUMMYFUNCTION("""COMPUTED_VALUE"""),"09E-20T")</f>
        <v>09E-20T</v>
      </c>
      <c r="H399" s="8" t="str">
        <f>IFERROR(__xludf.DUMMYFUNCTION("""COMPUTED_VALUE"""),"RDS,WBH")</f>
        <v>RDS,WBH</v>
      </c>
      <c r="I399" s="8" t="str">
        <f>IFERROR(__xludf.DUMMYFUNCTION("""COMPUTED_VALUE"""),"SAT")</f>
        <v>SAT</v>
      </c>
      <c r="J399" s="8" t="str">
        <f>IFERROR(__xludf.DUMMYFUNCTION("""COMPUTED_VALUE"""),"8:00 AM")</f>
        <v>8:00 AM</v>
      </c>
      <c r="K399" s="8" t="str">
        <f>IFERROR(__xludf.DUMMYFUNCTION("""COMPUTED_VALUE"""),"09F-25L")</f>
        <v>09F-25L</v>
      </c>
      <c r="L399" s="8"/>
      <c r="M399" s="10" t="str">
        <f>IFERROR(VLOOKUP(D399,FacultyList!B:G,6,FALSE),"")</f>
        <v>sakir.hossain@bracu.ac.bd</v>
      </c>
    </row>
    <row r="400">
      <c r="A400" s="5" t="str">
        <f>IFERROR(__xludf.DUMMYFUNCTION("""COMPUTED_VALUE"""),"CSE421-08")</f>
        <v>CSE421-08</v>
      </c>
      <c r="B400" s="8" t="str">
        <f>IFERROR(__xludf.DUMMYFUNCTION("""COMPUTED_VALUE"""),"EEE465")</f>
        <v>EEE465</v>
      </c>
      <c r="C400" s="8" t="str">
        <f>IFERROR(__xludf.DUMMYFUNCTION("""COMPUTED_VALUE"""),"EEE466")</f>
        <v>EEE466</v>
      </c>
      <c r="D400" s="8" t="str">
        <f>IFERROR(__xludf.DUMMYFUNCTION("""COMPUTED_VALUE"""),"SRJ")</f>
        <v>SRJ</v>
      </c>
      <c r="E400" s="8" t="str">
        <f>IFERROR(__xludf.DUMMYFUNCTION("""COMPUTED_VALUE"""),"SAT+THU")</f>
        <v>SAT+THU</v>
      </c>
      <c r="F400" s="8" t="str">
        <f>IFERROR(__xludf.DUMMYFUNCTION("""COMPUTED_VALUE"""),"9:30 AM")</f>
        <v>9:30 AM</v>
      </c>
      <c r="G400" s="9" t="str">
        <f>IFERROR(__xludf.DUMMYFUNCTION("""COMPUTED_VALUE"""),"10A-04C")</f>
        <v>10A-04C</v>
      </c>
      <c r="H400" s="8" t="str">
        <f>IFERROR(__xludf.DUMMYFUNCTION("""COMPUTED_VALUE"""),"RKBR,THR")</f>
        <v>RKBR,THR</v>
      </c>
      <c r="I400" s="8" t="str">
        <f>IFERROR(__xludf.DUMMYFUNCTION("""COMPUTED_VALUE"""),"WED")</f>
        <v>WED</v>
      </c>
      <c r="J400" s="8" t="str">
        <f>IFERROR(__xludf.DUMMYFUNCTION("""COMPUTED_VALUE"""),"2:00 PM")</f>
        <v>2:00 PM</v>
      </c>
      <c r="K400" s="8" t="str">
        <f>IFERROR(__xludf.DUMMYFUNCTION("""COMPUTED_VALUE"""),"09F-25L")</f>
        <v>09F-25L</v>
      </c>
      <c r="L400" s="8"/>
      <c r="M400" s="10" t="str">
        <f>IFERROR(VLOOKUP(D400,FacultyList!B:G,6,FALSE),"")</f>
        <v>seraj.mehnaz@bracu.ac.bd</v>
      </c>
    </row>
    <row r="401">
      <c r="A401" s="5" t="str">
        <f>IFERROR(__xludf.DUMMYFUNCTION("""COMPUTED_VALUE"""),"CSE421-09")</f>
        <v>CSE421-09</v>
      </c>
      <c r="B401" s="8" t="str">
        <f>IFERROR(__xludf.DUMMYFUNCTION("""COMPUTED_VALUE"""),"EEE465")</f>
        <v>EEE465</v>
      </c>
      <c r="C401" s="8" t="str">
        <f>IFERROR(__xludf.DUMMYFUNCTION("""COMPUTED_VALUE"""),"EEE466")</f>
        <v>EEE466</v>
      </c>
      <c r="D401" s="8" t="str">
        <f>IFERROR(__xludf.DUMMYFUNCTION("""COMPUTED_VALUE"""),"ANKH")</f>
        <v>ANKH</v>
      </c>
      <c r="E401" s="8" t="str">
        <f>IFERROR(__xludf.DUMMYFUNCTION("""COMPUTED_VALUE"""),"SAT+THU")</f>
        <v>SAT+THU</v>
      </c>
      <c r="F401" s="8" t="str">
        <f>IFERROR(__xludf.DUMMYFUNCTION("""COMPUTED_VALUE"""),"11:00 AM")</f>
        <v>11:00 AM</v>
      </c>
      <c r="G401" s="9" t="str">
        <f>IFERROR(__xludf.DUMMYFUNCTION("""COMPUTED_VALUE"""),"10A-04C")</f>
        <v>10A-04C</v>
      </c>
      <c r="H401" s="8" t="str">
        <f>IFERROR(__xludf.DUMMYFUNCTION("""COMPUTED_VALUE"""),"RKBR,THR")</f>
        <v>RKBR,THR</v>
      </c>
      <c r="I401" s="8" t="str">
        <f>IFERROR(__xludf.DUMMYFUNCTION("""COMPUTED_VALUE"""),"WED")</f>
        <v>WED</v>
      </c>
      <c r="J401" s="8" t="str">
        <f>IFERROR(__xludf.DUMMYFUNCTION("""COMPUTED_VALUE"""),"2:00 PM")</f>
        <v>2:00 PM</v>
      </c>
      <c r="K401" s="8" t="str">
        <f>IFERROR(__xludf.DUMMYFUNCTION("""COMPUTED_VALUE"""),"09F-25L")</f>
        <v>09F-25L</v>
      </c>
      <c r="L401" s="8"/>
      <c r="M401" s="10" t="str">
        <f>IFERROR(VLOOKUP(D401,FacultyList!B:G,6,FALSE),"")</f>
        <v>anika.ahmed@bracu.ac.bd</v>
      </c>
    </row>
    <row r="402">
      <c r="A402" s="5" t="str">
        <f>IFERROR(__xludf.DUMMYFUNCTION("""COMPUTED_VALUE"""),"CSE421-10")</f>
        <v>CSE421-10</v>
      </c>
      <c r="B402" s="8" t="str">
        <f>IFERROR(__xludf.DUMMYFUNCTION("""COMPUTED_VALUE"""),"EEE465")</f>
        <v>EEE465</v>
      </c>
      <c r="C402" s="8" t="str">
        <f>IFERROR(__xludf.DUMMYFUNCTION("""COMPUTED_VALUE"""),"EEE466")</f>
        <v>EEE466</v>
      </c>
      <c r="D402" s="8" t="str">
        <f>IFERROR(__xludf.DUMMYFUNCTION("""COMPUTED_VALUE"""),"SRJ")</f>
        <v>SRJ</v>
      </c>
      <c r="E402" s="8" t="str">
        <f>IFERROR(__xludf.DUMMYFUNCTION("""COMPUTED_VALUE"""),"SAT+THU")</f>
        <v>SAT+THU</v>
      </c>
      <c r="F402" s="8" t="str">
        <f>IFERROR(__xludf.DUMMYFUNCTION("""COMPUTED_VALUE"""),"2:00 PM")</f>
        <v>2:00 PM</v>
      </c>
      <c r="G402" s="9" t="str">
        <f>IFERROR(__xludf.DUMMYFUNCTION("""COMPUTED_VALUE"""),"10A-04C")</f>
        <v>10A-04C</v>
      </c>
      <c r="H402" s="8" t="str">
        <f>IFERROR(__xludf.DUMMYFUNCTION("""COMPUTED_VALUE"""),"AKTD,RKBR")</f>
        <v>AKTD,RKBR</v>
      </c>
      <c r="I402" s="8" t="str">
        <f>IFERROR(__xludf.DUMMYFUNCTION("""COMPUTED_VALUE"""),"WED")</f>
        <v>WED</v>
      </c>
      <c r="J402" s="8" t="str">
        <f>IFERROR(__xludf.DUMMYFUNCTION("""COMPUTED_VALUE"""),"11:00 AM")</f>
        <v>11:00 AM</v>
      </c>
      <c r="K402" s="8" t="str">
        <f>IFERROR(__xludf.DUMMYFUNCTION("""COMPUTED_VALUE"""),"09F-25L")</f>
        <v>09F-25L</v>
      </c>
      <c r="L402" s="8"/>
      <c r="M402" s="10" t="str">
        <f>IFERROR(VLOOKUP(D402,FacultyList!B:G,6,FALSE),"")</f>
        <v>seraj.mehnaz@bracu.ac.bd</v>
      </c>
    </row>
    <row r="403">
      <c r="A403" s="5" t="str">
        <f>IFERROR(__xludf.DUMMYFUNCTION("""COMPUTED_VALUE"""),"CSE421-11")</f>
        <v>CSE421-11</v>
      </c>
      <c r="B403" s="8" t="str">
        <f>IFERROR(__xludf.DUMMYFUNCTION("""COMPUTED_VALUE"""),"EEE465")</f>
        <v>EEE465</v>
      </c>
      <c r="C403" s="8" t="str">
        <f>IFERROR(__xludf.DUMMYFUNCTION("""COMPUTED_VALUE"""),"EEE466")</f>
        <v>EEE466</v>
      </c>
      <c r="D403" s="8" t="str">
        <f>IFERROR(__xludf.DUMMYFUNCTION("""COMPUTED_VALUE"""),"AKTD")</f>
        <v>AKTD</v>
      </c>
      <c r="E403" s="8" t="str">
        <f>IFERROR(__xludf.DUMMYFUNCTION("""COMPUTED_VALUE"""),"MON+WED")</f>
        <v>MON+WED</v>
      </c>
      <c r="F403" s="8" t="str">
        <f>IFERROR(__xludf.DUMMYFUNCTION("""COMPUTED_VALUE"""),"2:00 PM")</f>
        <v>2:00 PM</v>
      </c>
      <c r="G403" s="9" t="str">
        <f>IFERROR(__xludf.DUMMYFUNCTION("""COMPUTED_VALUE"""),"09C-16T")</f>
        <v>09C-16T</v>
      </c>
      <c r="H403" s="8" t="str">
        <f>IFERROR(__xludf.DUMMYFUNCTION("""COMPUTED_VALUE"""),"CPTH,THR")</f>
        <v>CPTH,THR</v>
      </c>
      <c r="I403" s="8" t="str">
        <f>IFERROR(__xludf.DUMMYFUNCTION("""COMPUTED_VALUE"""),"THU")</f>
        <v>THU</v>
      </c>
      <c r="J403" s="8" t="str">
        <f>IFERROR(__xludf.DUMMYFUNCTION("""COMPUTED_VALUE"""),"2:00 PM")</f>
        <v>2:00 PM</v>
      </c>
      <c r="K403" s="8" t="str">
        <f>IFERROR(__xludf.DUMMYFUNCTION("""COMPUTED_VALUE"""),"09F-25L")</f>
        <v>09F-25L</v>
      </c>
      <c r="L403" s="8"/>
      <c r="M403" s="10" t="str">
        <f>IFERROR(VLOOKUP(D403,FacultyList!B:G,6,FALSE),"")</f>
        <v>akhtaruzzaman.adnan@bracu.ac.bd</v>
      </c>
    </row>
    <row r="404">
      <c r="A404" s="5" t="str">
        <f>IFERROR(__xludf.DUMMYFUNCTION("""COMPUTED_VALUE"""),"CSE421-12")</f>
        <v>CSE421-12</v>
      </c>
      <c r="B404" s="8" t="str">
        <f>IFERROR(__xludf.DUMMYFUNCTION("""COMPUTED_VALUE"""),"EEE465")</f>
        <v>EEE465</v>
      </c>
      <c r="C404" s="8" t="str">
        <f>IFERROR(__xludf.DUMMYFUNCTION("""COMPUTED_VALUE"""),"EEE466")</f>
        <v>EEE466</v>
      </c>
      <c r="D404" s="8" t="str">
        <f>IFERROR(__xludf.DUMMYFUNCTION("""COMPUTED_VALUE"""),"AKTD")</f>
        <v>AKTD</v>
      </c>
      <c r="E404" s="8" t="str">
        <f>IFERROR(__xludf.DUMMYFUNCTION("""COMPUTED_VALUE"""),"MON+WED")</f>
        <v>MON+WED</v>
      </c>
      <c r="F404" s="8" t="str">
        <f>IFERROR(__xludf.DUMMYFUNCTION("""COMPUTED_VALUE"""),"2:00 PM")</f>
        <v>2:00 PM</v>
      </c>
      <c r="G404" s="9" t="str">
        <f>IFERROR(__xludf.DUMMYFUNCTION("""COMPUTED_VALUE"""),"09C-16T")</f>
        <v>09C-16T</v>
      </c>
      <c r="H404" s="8" t="str">
        <f>IFERROR(__xludf.DUMMYFUNCTION("""COMPUTED_VALUE"""),"CPTH,THR")</f>
        <v>CPTH,THR</v>
      </c>
      <c r="I404" s="8" t="str">
        <f>IFERROR(__xludf.DUMMYFUNCTION("""COMPUTED_VALUE"""),"THU")</f>
        <v>THU</v>
      </c>
      <c r="J404" s="8" t="str">
        <f>IFERROR(__xludf.DUMMYFUNCTION("""COMPUTED_VALUE"""),"2:00 PM")</f>
        <v>2:00 PM</v>
      </c>
      <c r="K404" s="8" t="str">
        <f>IFERROR(__xludf.DUMMYFUNCTION("""COMPUTED_VALUE"""),"09F-25L")</f>
        <v>09F-25L</v>
      </c>
      <c r="L404" s="8"/>
      <c r="M404" s="10" t="str">
        <f>IFERROR(VLOOKUP(D404,FacultyList!B:G,6,FALSE),"")</f>
        <v>akhtaruzzaman.adnan@bracu.ac.bd</v>
      </c>
    </row>
    <row r="405">
      <c r="A405" s="5" t="str">
        <f>IFERROR(__xludf.DUMMYFUNCTION("""COMPUTED_VALUE"""),"CSE421-13")</f>
        <v>CSE421-13</v>
      </c>
      <c r="B405" s="8" t="str">
        <f>IFERROR(__xludf.DUMMYFUNCTION("""COMPUTED_VALUE"""),"EEE465")</f>
        <v>EEE465</v>
      </c>
      <c r="C405" s="8" t="str">
        <f>IFERROR(__xludf.DUMMYFUNCTION("""COMPUTED_VALUE"""),"EEE466")</f>
        <v>EEE466</v>
      </c>
      <c r="D405" s="8" t="str">
        <f>IFERROR(__xludf.DUMMYFUNCTION("""COMPUTED_VALUE"""),"AKTD")</f>
        <v>AKTD</v>
      </c>
      <c r="E405" s="8" t="str">
        <f>IFERROR(__xludf.DUMMYFUNCTION("""COMPUTED_VALUE"""),"MON+WED")</f>
        <v>MON+WED</v>
      </c>
      <c r="F405" s="8" t="str">
        <f>IFERROR(__xludf.DUMMYFUNCTION("""COMPUTED_VALUE"""),"2:00 PM")</f>
        <v>2:00 PM</v>
      </c>
      <c r="G405" s="9" t="str">
        <f>IFERROR(__xludf.DUMMYFUNCTION("""COMPUTED_VALUE"""),"09C-16T")</f>
        <v>09C-16T</v>
      </c>
      <c r="H405" s="8" t="str">
        <f>IFERROR(__xludf.DUMMYFUNCTION("""COMPUTED_VALUE"""),"SRJ,MSMA")</f>
        <v>SRJ,MSMA</v>
      </c>
      <c r="I405" s="8" t="str">
        <f>IFERROR(__xludf.DUMMYFUNCTION("""COMPUTED_VALUE"""),"TUE")</f>
        <v>TUE</v>
      </c>
      <c r="J405" s="8" t="str">
        <f>IFERROR(__xludf.DUMMYFUNCTION("""COMPUTED_VALUE"""),"2:00 PM")</f>
        <v>2:00 PM</v>
      </c>
      <c r="K405" s="8" t="str">
        <f>IFERROR(__xludf.DUMMYFUNCTION("""COMPUTED_VALUE"""),"09F-25L")</f>
        <v>09F-25L</v>
      </c>
      <c r="L405" s="8"/>
      <c r="M405" s="10" t="str">
        <f>IFERROR(VLOOKUP(D405,FacultyList!B:G,6,FALSE),"")</f>
        <v>akhtaruzzaman.adnan@bracu.ac.bd</v>
      </c>
    </row>
    <row r="406">
      <c r="A406" s="5" t="str">
        <f>IFERROR(__xludf.DUMMYFUNCTION("""COMPUTED_VALUE"""),"CSE421-14")</f>
        <v>CSE421-14</v>
      </c>
      <c r="B406" s="8" t="str">
        <f>IFERROR(__xludf.DUMMYFUNCTION("""COMPUTED_VALUE"""),"EEE465")</f>
        <v>EEE465</v>
      </c>
      <c r="C406" s="8" t="str">
        <f>IFERROR(__xludf.DUMMYFUNCTION("""COMPUTED_VALUE"""),"EEE466")</f>
        <v>EEE466</v>
      </c>
      <c r="D406" s="8" t="str">
        <f>IFERROR(__xludf.DUMMYFUNCTION("""COMPUTED_VALUE"""),"MSMA")</f>
        <v>MSMA</v>
      </c>
      <c r="E406" s="8" t="str">
        <f>IFERROR(__xludf.DUMMYFUNCTION("""COMPUTED_VALUE"""),"MON+WED")</f>
        <v>MON+WED</v>
      </c>
      <c r="F406" s="8" t="str">
        <f>IFERROR(__xludf.DUMMYFUNCTION("""COMPUTED_VALUE"""),"11:00 AM")</f>
        <v>11:00 AM</v>
      </c>
      <c r="G406" s="9" t="str">
        <f>IFERROR(__xludf.DUMMYFUNCTION("""COMPUTED_VALUE"""),"07H-27C")</f>
        <v>07H-27C</v>
      </c>
      <c r="H406" s="8" t="str">
        <f>IFERROR(__xludf.DUMMYFUNCTION("""COMPUTED_VALUE"""),"SRJ,MSMA")</f>
        <v>SRJ,MSMA</v>
      </c>
      <c r="I406" s="8" t="str">
        <f>IFERROR(__xludf.DUMMYFUNCTION("""COMPUTED_VALUE"""),"TUE")</f>
        <v>TUE</v>
      </c>
      <c r="J406" s="8" t="str">
        <f>IFERROR(__xludf.DUMMYFUNCTION("""COMPUTED_VALUE"""),"2:00 PM")</f>
        <v>2:00 PM</v>
      </c>
      <c r="K406" s="8" t="str">
        <f>IFERROR(__xludf.DUMMYFUNCTION("""COMPUTED_VALUE"""),"09F-25L")</f>
        <v>09F-25L</v>
      </c>
      <c r="L406" s="8"/>
      <c r="M406" s="10" t="str">
        <f>IFERROR(VLOOKUP(D406,FacultyList!B:G,6,FALSE),"")</f>
        <v>shamim.mia@bracu.ac.bd</v>
      </c>
    </row>
    <row r="407">
      <c r="A407" s="5" t="str">
        <f>IFERROR(__xludf.DUMMYFUNCTION("""COMPUTED_VALUE"""),"CSE421-15")</f>
        <v>CSE421-15</v>
      </c>
      <c r="B407" s="8" t="str">
        <f>IFERROR(__xludf.DUMMYFUNCTION("""COMPUTED_VALUE"""),"EEE465")</f>
        <v>EEE465</v>
      </c>
      <c r="C407" s="8" t="str">
        <f>IFERROR(__xludf.DUMMYFUNCTION("""COMPUTED_VALUE"""),"EEE466")</f>
        <v>EEE466</v>
      </c>
      <c r="D407" s="8" t="str">
        <f>IFERROR(__xludf.DUMMYFUNCTION("""COMPUTED_VALUE"""),"MSMA")</f>
        <v>MSMA</v>
      </c>
      <c r="E407" s="8" t="str">
        <f>IFERROR(__xludf.DUMMYFUNCTION("""COMPUTED_VALUE"""),"MON+WED")</f>
        <v>MON+WED</v>
      </c>
      <c r="F407" s="8" t="str">
        <f>IFERROR(__xludf.DUMMYFUNCTION("""COMPUTED_VALUE"""),"12:30 PM")</f>
        <v>12:30 PM</v>
      </c>
      <c r="G407" s="9" t="str">
        <f>IFERROR(__xludf.DUMMYFUNCTION("""COMPUTED_VALUE"""),"07H-27C")</f>
        <v>07H-27C</v>
      </c>
      <c r="H407" s="8" t="str">
        <f>IFERROR(__xludf.DUMMYFUNCTION("""COMPUTED_VALUE"""),"SRJ,NDT")</f>
        <v>SRJ,NDT</v>
      </c>
      <c r="I407" s="8" t="str">
        <f>IFERROR(__xludf.DUMMYFUNCTION("""COMPUTED_VALUE"""),"TUE")</f>
        <v>TUE</v>
      </c>
      <c r="J407" s="8" t="str">
        <f>IFERROR(__xludf.DUMMYFUNCTION("""COMPUTED_VALUE"""),"11:00 AM")</f>
        <v>11:00 AM</v>
      </c>
      <c r="K407" s="8" t="str">
        <f>IFERROR(__xludf.DUMMYFUNCTION("""COMPUTED_VALUE"""),"09F-24L")</f>
        <v>09F-24L</v>
      </c>
      <c r="L407" s="8"/>
      <c r="M407" s="10" t="str">
        <f>IFERROR(VLOOKUP(D407,FacultyList!B:G,6,FALSE),"")</f>
        <v>shamim.mia@bracu.ac.bd</v>
      </c>
    </row>
    <row r="408">
      <c r="A408" s="5" t="str">
        <f>IFERROR(__xludf.DUMMYFUNCTION("""COMPUTED_VALUE"""),"CSE421-16")</f>
        <v>CSE421-16</v>
      </c>
      <c r="B408" s="8" t="str">
        <f>IFERROR(__xludf.DUMMYFUNCTION("""COMPUTED_VALUE"""),"EEE465")</f>
        <v>EEE465</v>
      </c>
      <c r="C408" s="8" t="str">
        <f>IFERROR(__xludf.DUMMYFUNCTION("""COMPUTED_VALUE"""),"EEE466")</f>
        <v>EEE466</v>
      </c>
      <c r="D408" s="8" t="str">
        <f>IFERROR(__xludf.DUMMYFUNCTION("""COMPUTED_VALUE"""),"MSMA")</f>
        <v>MSMA</v>
      </c>
      <c r="E408" s="8" t="str">
        <f>IFERROR(__xludf.DUMMYFUNCTION("""COMPUTED_VALUE"""),"MON+WED")</f>
        <v>MON+WED</v>
      </c>
      <c r="F408" s="8" t="str">
        <f>IFERROR(__xludf.DUMMYFUNCTION("""COMPUTED_VALUE"""),"3:30 PM")</f>
        <v>3:30 PM</v>
      </c>
      <c r="G408" s="9" t="str">
        <f>IFERROR(__xludf.DUMMYFUNCTION("""COMPUTED_VALUE"""),"07H-27C")</f>
        <v>07H-27C</v>
      </c>
      <c r="H408" s="8" t="str">
        <f>IFERROR(__xludf.DUMMYFUNCTION("""COMPUTED_VALUE"""),"SRJ,NDT")</f>
        <v>SRJ,NDT</v>
      </c>
      <c r="I408" s="8" t="str">
        <f>IFERROR(__xludf.DUMMYFUNCTION("""COMPUTED_VALUE"""),"TUE")</f>
        <v>TUE</v>
      </c>
      <c r="J408" s="8" t="str">
        <f>IFERROR(__xludf.DUMMYFUNCTION("""COMPUTED_VALUE"""),"11:00 AM")</f>
        <v>11:00 AM</v>
      </c>
      <c r="K408" s="8" t="str">
        <f>IFERROR(__xludf.DUMMYFUNCTION("""COMPUTED_VALUE"""),"09F-24L")</f>
        <v>09F-24L</v>
      </c>
      <c r="L408" s="8"/>
      <c r="M408" s="10" t="str">
        <f>IFERROR(VLOOKUP(D408,FacultyList!B:G,6,FALSE),"")</f>
        <v>shamim.mia@bracu.ac.bd</v>
      </c>
    </row>
    <row r="409">
      <c r="A409" s="5" t="str">
        <f>IFERROR(__xludf.DUMMYFUNCTION("""COMPUTED_VALUE"""),"CSE421-17")</f>
        <v>CSE421-17</v>
      </c>
      <c r="B409" s="8" t="str">
        <f>IFERROR(__xludf.DUMMYFUNCTION("""COMPUTED_VALUE"""),"EEE465")</f>
        <v>EEE465</v>
      </c>
      <c r="C409" s="8" t="str">
        <f>IFERROR(__xludf.DUMMYFUNCTION("""COMPUTED_VALUE"""),"EEE466")</f>
        <v>EEE466</v>
      </c>
      <c r="D409" s="8" t="str">
        <f>IFERROR(__xludf.DUMMYFUNCTION("""COMPUTED_VALUE"""),"ANWE")</f>
        <v>ANWE</v>
      </c>
      <c r="E409" s="8" t="str">
        <f>IFERROR(__xludf.DUMMYFUNCTION("""COMPUTED_VALUE"""),"SAT+THU")</f>
        <v>SAT+THU</v>
      </c>
      <c r="F409" s="8" t="str">
        <f>IFERROR(__xludf.DUMMYFUNCTION("""COMPUTED_VALUE"""),"8:00 AM")</f>
        <v>8:00 AM</v>
      </c>
      <c r="G409" s="9" t="str">
        <f>IFERROR(__xludf.DUMMYFUNCTION("""COMPUTED_VALUE"""),"09D-18C")</f>
        <v>09D-18C</v>
      </c>
      <c r="H409" s="8" t="str">
        <f>IFERROR(__xludf.DUMMYFUNCTION("""COMPUTED_VALUE"""),"AKTD,RKBR")</f>
        <v>AKTD,RKBR</v>
      </c>
      <c r="I409" s="8" t="str">
        <f>IFERROR(__xludf.DUMMYFUNCTION("""COMPUTED_VALUE"""),"WED")</f>
        <v>WED</v>
      </c>
      <c r="J409" s="8" t="str">
        <f>IFERROR(__xludf.DUMMYFUNCTION("""COMPUTED_VALUE"""),"11:00 AM")</f>
        <v>11:00 AM</v>
      </c>
      <c r="K409" s="8" t="str">
        <f>IFERROR(__xludf.DUMMYFUNCTION("""COMPUTED_VALUE"""),"09F-25L")</f>
        <v>09F-25L</v>
      </c>
      <c r="L409" s="8"/>
      <c r="M409" s="10" t="str">
        <f>IFERROR(VLOOKUP(D409,FacultyList!B:G,6,FALSE),"")</f>
        <v>abdullah.nayem@bracu.ac.bd</v>
      </c>
    </row>
    <row r="410">
      <c r="A410" s="5" t="str">
        <f>IFERROR(__xludf.DUMMYFUNCTION("""COMPUTED_VALUE"""),"CSE421-18")</f>
        <v>CSE421-18</v>
      </c>
      <c r="B410" s="8" t="str">
        <f>IFERROR(__xludf.DUMMYFUNCTION("""COMPUTED_VALUE"""),"EEE465")</f>
        <v>EEE465</v>
      </c>
      <c r="C410" s="8" t="str">
        <f>IFERROR(__xludf.DUMMYFUNCTION("""COMPUTED_VALUE"""),"EEE466")</f>
        <v>EEE466</v>
      </c>
      <c r="D410" s="8" t="str">
        <f>IFERROR(__xludf.DUMMYFUNCTION("""COMPUTED_VALUE"""),"ANWE")</f>
        <v>ANWE</v>
      </c>
      <c r="E410" s="8" t="str">
        <f>IFERROR(__xludf.DUMMYFUNCTION("""COMPUTED_VALUE"""),"SAT+THU")</f>
        <v>SAT+THU</v>
      </c>
      <c r="F410" s="8" t="str">
        <f>IFERROR(__xludf.DUMMYFUNCTION("""COMPUTED_VALUE"""),"9:30 AM")</f>
        <v>9:30 AM</v>
      </c>
      <c r="G410" s="9" t="str">
        <f>IFERROR(__xludf.DUMMYFUNCTION("""COMPUTED_VALUE"""),"09D-18C")</f>
        <v>09D-18C</v>
      </c>
      <c r="H410" s="8" t="str">
        <f>IFERROR(__xludf.DUMMYFUNCTION("""COMPUTED_VALUE"""),"SULT,WBH")</f>
        <v>SULT,WBH</v>
      </c>
      <c r="I410" s="8" t="str">
        <f>IFERROR(__xludf.DUMMYFUNCTION("""COMPUTED_VALUE"""),"SUN")</f>
        <v>SUN</v>
      </c>
      <c r="J410" s="8" t="str">
        <f>IFERROR(__xludf.DUMMYFUNCTION("""COMPUTED_VALUE"""),"8:00 AM")</f>
        <v>8:00 AM</v>
      </c>
      <c r="K410" s="8" t="str">
        <f>IFERROR(__xludf.DUMMYFUNCTION("""COMPUTED_VALUE"""),"10E-27L")</f>
        <v>10E-27L</v>
      </c>
      <c r="L410" s="8"/>
      <c r="M410" s="10" t="str">
        <f>IFERROR(VLOOKUP(D410,FacultyList!B:G,6,FALSE),"")</f>
        <v>abdullah.nayem@bracu.ac.bd</v>
      </c>
    </row>
    <row r="411">
      <c r="A411" s="5" t="str">
        <f>IFERROR(__xludf.DUMMYFUNCTION("""COMPUTED_VALUE"""),"CSE421-19")</f>
        <v>CSE421-19</v>
      </c>
      <c r="B411" s="8" t="str">
        <f>IFERROR(__xludf.DUMMYFUNCTION("""COMPUTED_VALUE"""),"EEE465")</f>
        <v>EEE465</v>
      </c>
      <c r="C411" s="8" t="str">
        <f>IFERROR(__xludf.DUMMYFUNCTION("""COMPUTED_VALUE"""),"EEE466")</f>
        <v>EEE466</v>
      </c>
      <c r="D411" s="8" t="str">
        <f>IFERROR(__xludf.DUMMYFUNCTION("""COMPUTED_VALUE"""),"NDT")</f>
        <v>NDT</v>
      </c>
      <c r="E411" s="8" t="str">
        <f>IFERROR(__xludf.DUMMYFUNCTION("""COMPUTED_VALUE"""),"SUN+TUE")</f>
        <v>SUN+TUE</v>
      </c>
      <c r="F411" s="8" t="str">
        <f>IFERROR(__xludf.DUMMYFUNCTION("""COMPUTED_VALUE"""),"8:00 AM")</f>
        <v>8:00 AM</v>
      </c>
      <c r="G411" s="9" t="str">
        <f>IFERROR(__xludf.DUMMYFUNCTION("""COMPUTED_VALUE"""),"09A-05C")</f>
        <v>09A-05C</v>
      </c>
      <c r="H411" s="8" t="str">
        <f>IFERROR(__xludf.DUMMYFUNCTION("""COMPUTED_VALUE"""),"RDS,WBH")</f>
        <v>RDS,WBH</v>
      </c>
      <c r="I411" s="8" t="str">
        <f>IFERROR(__xludf.DUMMYFUNCTION("""COMPUTED_VALUE"""),"SAT")</f>
        <v>SAT</v>
      </c>
      <c r="J411" s="8" t="str">
        <f>IFERROR(__xludf.DUMMYFUNCTION("""COMPUTED_VALUE"""),"8:00 AM")</f>
        <v>8:00 AM</v>
      </c>
      <c r="K411" s="8" t="str">
        <f>IFERROR(__xludf.DUMMYFUNCTION("""COMPUTED_VALUE"""),"09F-25L")</f>
        <v>09F-25L</v>
      </c>
      <c r="L411" s="8"/>
      <c r="M411" s="10" t="str">
        <f>IFERROR(VLOOKUP(D411,FacultyList!B:G,6,FALSE),"")</f>
        <v>nirjhor.datta@bracu.ac.bd</v>
      </c>
    </row>
    <row r="412">
      <c r="A412" s="5" t="str">
        <f>IFERROR(__xludf.DUMMYFUNCTION("""COMPUTED_VALUE"""),"CSE421-20")</f>
        <v>CSE421-20</v>
      </c>
      <c r="B412" s="8" t="str">
        <f>IFERROR(__xludf.DUMMYFUNCTION("""COMPUTED_VALUE"""),"EEE465")</f>
        <v>EEE465</v>
      </c>
      <c r="C412" s="8" t="str">
        <f>IFERROR(__xludf.DUMMYFUNCTION("""COMPUTED_VALUE"""),"EEE466")</f>
        <v>EEE466</v>
      </c>
      <c r="D412" s="8" t="str">
        <f>IFERROR(__xludf.DUMMYFUNCTION("""COMPUTED_VALUE"""),"NDT")</f>
        <v>NDT</v>
      </c>
      <c r="E412" s="8" t="str">
        <f>IFERROR(__xludf.DUMMYFUNCTION("""COMPUTED_VALUE"""),"SUN+TUE")</f>
        <v>SUN+TUE</v>
      </c>
      <c r="F412" s="8" t="str">
        <f>IFERROR(__xludf.DUMMYFUNCTION("""COMPUTED_VALUE"""),"9:30 AM")</f>
        <v>9:30 AM</v>
      </c>
      <c r="G412" s="9" t="str">
        <f>IFERROR(__xludf.DUMMYFUNCTION("""COMPUTED_VALUE"""),"09A-05C")</f>
        <v>09A-05C</v>
      </c>
      <c r="H412" s="8" t="str">
        <f>IFERROR(__xludf.DUMMYFUNCTION("""COMPUTED_VALUE"""),"MSMA,WBH")</f>
        <v>MSMA,WBH</v>
      </c>
      <c r="I412" s="8" t="str">
        <f>IFERROR(__xludf.DUMMYFUNCTION("""COMPUTED_VALUE"""),"MON")</f>
        <v>MON</v>
      </c>
      <c r="J412" s="8" t="str">
        <f>IFERROR(__xludf.DUMMYFUNCTION("""COMPUTED_VALUE"""),"8:00 AM")</f>
        <v>8:00 AM</v>
      </c>
      <c r="K412" s="8" t="str">
        <f>IFERROR(__xludf.DUMMYFUNCTION("""COMPUTED_VALUE"""),"09F-25L")</f>
        <v>09F-25L</v>
      </c>
      <c r="L412" s="8"/>
      <c r="M412" s="10" t="str">
        <f>IFERROR(VLOOKUP(D412,FacultyList!B:G,6,FALSE),"")</f>
        <v>nirjhor.datta@bracu.ac.bd</v>
      </c>
    </row>
    <row r="413">
      <c r="A413" s="5" t="str">
        <f>IFERROR(__xludf.DUMMYFUNCTION("""COMPUTED_VALUE"""),"CSE421-21")</f>
        <v>CSE421-21</v>
      </c>
      <c r="B413" s="8" t="str">
        <f>IFERROR(__xludf.DUMMYFUNCTION("""COMPUTED_VALUE"""),"EEE465")</f>
        <v>EEE465</v>
      </c>
      <c r="C413" s="8" t="str">
        <f>IFERROR(__xludf.DUMMYFUNCTION("""COMPUTED_VALUE"""),"EEE466")</f>
        <v>EEE466</v>
      </c>
      <c r="D413" s="8" t="str">
        <f>IFERROR(__xludf.DUMMYFUNCTION("""COMPUTED_VALUE"""),"BIJS")</f>
        <v>BIJS</v>
      </c>
      <c r="E413" s="8" t="str">
        <f>IFERROR(__xludf.DUMMYFUNCTION("""COMPUTED_VALUE"""),"MON+WED")</f>
        <v>MON+WED</v>
      </c>
      <c r="F413" s="8" t="str">
        <f>IFERROR(__xludf.DUMMYFUNCTION("""COMPUTED_VALUE"""),"8:00 AM")</f>
        <v>8:00 AM</v>
      </c>
      <c r="G413" s="9" t="str">
        <f>IFERROR(__xludf.DUMMYFUNCTION("""COMPUTED_VALUE"""),"09D-17C")</f>
        <v>09D-17C</v>
      </c>
      <c r="H413" s="8" t="str">
        <f>IFERROR(__xludf.DUMMYFUNCTION("""COMPUTED_VALUE"""),"SRJ,MSMA")</f>
        <v>SRJ,MSMA</v>
      </c>
      <c r="I413" s="8" t="str">
        <f>IFERROR(__xludf.DUMMYFUNCTION("""COMPUTED_VALUE"""),"SUN")</f>
        <v>SUN</v>
      </c>
      <c r="J413" s="8" t="str">
        <f>IFERROR(__xludf.DUMMYFUNCTION("""COMPUTED_VALUE"""),"2:00 PM")</f>
        <v>2:00 PM</v>
      </c>
      <c r="K413" s="8" t="str">
        <f>IFERROR(__xludf.DUMMYFUNCTION("""COMPUTED_VALUE"""),"10E-27L")</f>
        <v>10E-27L</v>
      </c>
      <c r="L413" s="8"/>
      <c r="M413" s="10" t="str">
        <f>IFERROR(VLOOKUP(D413,FacultyList!B:G,6,FALSE),"")</f>
        <v>bijoy.saiem@bracu.ac.bd</v>
      </c>
    </row>
    <row r="414">
      <c r="A414" s="5" t="str">
        <f>IFERROR(__xludf.DUMMYFUNCTION("""COMPUTED_VALUE"""),"CSE421-22")</f>
        <v>CSE421-22</v>
      </c>
      <c r="B414" s="8" t="str">
        <f>IFERROR(__xludf.DUMMYFUNCTION("""COMPUTED_VALUE"""),"EEE465")</f>
        <v>EEE465</v>
      </c>
      <c r="C414" s="8" t="str">
        <f>IFERROR(__xludf.DUMMYFUNCTION("""COMPUTED_VALUE"""),"EEE466")</f>
        <v>EEE466</v>
      </c>
      <c r="D414" s="8" t="str">
        <f>IFERROR(__xludf.DUMMYFUNCTION("""COMPUTED_VALUE"""),"BIJS")</f>
        <v>BIJS</v>
      </c>
      <c r="E414" s="8" t="str">
        <f>IFERROR(__xludf.DUMMYFUNCTION("""COMPUTED_VALUE"""),"MON+WED")</f>
        <v>MON+WED</v>
      </c>
      <c r="F414" s="8" t="str">
        <f>IFERROR(__xludf.DUMMYFUNCTION("""COMPUTED_VALUE"""),"9:30 AM")</f>
        <v>9:30 AM</v>
      </c>
      <c r="G414" s="9" t="str">
        <f>IFERROR(__xludf.DUMMYFUNCTION("""COMPUTED_VALUE"""),"09D-17C")</f>
        <v>09D-17C</v>
      </c>
      <c r="H414" s="8" t="str">
        <f>IFERROR(__xludf.DUMMYFUNCTION("""COMPUTED_VALUE"""),"SRJ,MSMA")</f>
        <v>SRJ,MSMA</v>
      </c>
      <c r="I414" s="8" t="str">
        <f>IFERROR(__xludf.DUMMYFUNCTION("""COMPUTED_VALUE"""),"SUN")</f>
        <v>SUN</v>
      </c>
      <c r="J414" s="8" t="str">
        <f>IFERROR(__xludf.DUMMYFUNCTION("""COMPUTED_VALUE"""),"2:00 PM")</f>
        <v>2:00 PM</v>
      </c>
      <c r="K414" s="8" t="str">
        <f>IFERROR(__xludf.DUMMYFUNCTION("""COMPUTED_VALUE"""),"10E-27L")</f>
        <v>10E-27L</v>
      </c>
      <c r="L414" s="8"/>
      <c r="M414" s="10" t="str">
        <f>IFERROR(VLOOKUP(D414,FacultyList!B:G,6,FALSE),"")</f>
        <v>bijoy.saiem@bracu.ac.bd</v>
      </c>
    </row>
    <row r="415">
      <c r="A415" s="5" t="str">
        <f>IFERROR(__xludf.DUMMYFUNCTION("""COMPUTED_VALUE"""),"CSE421-23")</f>
        <v>CSE421-23</v>
      </c>
      <c r="B415" s="8" t="str">
        <f>IFERROR(__xludf.DUMMYFUNCTION("""COMPUTED_VALUE"""),"EEE465")</f>
        <v>EEE465</v>
      </c>
      <c r="C415" s="8" t="str">
        <f>IFERROR(__xludf.DUMMYFUNCTION("""COMPUTED_VALUE"""),"EEE466")</f>
        <v>EEE466</v>
      </c>
      <c r="D415" s="8" t="str">
        <f>IFERROR(__xludf.DUMMYFUNCTION("""COMPUTED_VALUE"""),"BIJS")</f>
        <v>BIJS</v>
      </c>
      <c r="E415" s="8" t="str">
        <f>IFERROR(__xludf.DUMMYFUNCTION("""COMPUTED_VALUE"""),"SUN+TUE")</f>
        <v>SUN+TUE</v>
      </c>
      <c r="F415" s="8" t="str">
        <f>IFERROR(__xludf.DUMMYFUNCTION("""COMPUTED_VALUE"""),"8:00 AM")</f>
        <v>8:00 AM</v>
      </c>
      <c r="G415" s="9" t="str">
        <f>IFERROR(__xludf.DUMMYFUNCTION("""COMPUTED_VALUE"""),"07D-19C")</f>
        <v>07D-19C</v>
      </c>
      <c r="H415" s="8" t="str">
        <f>IFERROR(__xludf.DUMMYFUNCTION("""COMPUTED_VALUE"""),"MSMA,WBH")</f>
        <v>MSMA,WBH</v>
      </c>
      <c r="I415" s="8" t="str">
        <f>IFERROR(__xludf.DUMMYFUNCTION("""COMPUTED_VALUE"""),"MON")</f>
        <v>MON</v>
      </c>
      <c r="J415" s="8" t="str">
        <f>IFERROR(__xludf.DUMMYFUNCTION("""COMPUTED_VALUE"""),"8:00 AM")</f>
        <v>8:00 AM</v>
      </c>
      <c r="K415" s="8" t="str">
        <f>IFERROR(__xludf.DUMMYFUNCTION("""COMPUTED_VALUE"""),"09F-25L")</f>
        <v>09F-25L</v>
      </c>
      <c r="L415" s="8"/>
      <c r="M415" s="10" t="str">
        <f>IFERROR(VLOOKUP(D415,FacultyList!B:G,6,FALSE),"")</f>
        <v>bijoy.saiem@bracu.ac.bd</v>
      </c>
    </row>
    <row r="416">
      <c r="A416" s="5" t="str">
        <f>IFERROR(__xludf.DUMMYFUNCTION("""COMPUTED_VALUE"""),"CSE421-24")</f>
        <v>CSE421-24</v>
      </c>
      <c r="B416" s="8" t="str">
        <f>IFERROR(__xludf.DUMMYFUNCTION("""COMPUTED_VALUE"""),"EEE465")</f>
        <v>EEE465</v>
      </c>
      <c r="C416" s="8" t="str">
        <f>IFERROR(__xludf.DUMMYFUNCTION("""COMPUTED_VALUE"""),"EEE466")</f>
        <v>EEE466</v>
      </c>
      <c r="D416" s="8" t="str">
        <f>IFERROR(__xludf.DUMMYFUNCTION("""COMPUTED_VALUE"""),"BIJS")</f>
        <v>BIJS</v>
      </c>
      <c r="E416" s="8" t="str">
        <f>IFERROR(__xludf.DUMMYFUNCTION("""COMPUTED_VALUE"""),"SUN+TUE")</f>
        <v>SUN+TUE</v>
      </c>
      <c r="F416" s="8" t="str">
        <f>IFERROR(__xludf.DUMMYFUNCTION("""COMPUTED_VALUE"""),"9:30 AM")</f>
        <v>9:30 AM</v>
      </c>
      <c r="G416" s="9" t="str">
        <f>IFERROR(__xludf.DUMMYFUNCTION("""COMPUTED_VALUE"""),"07D-19C")</f>
        <v>07D-19C</v>
      </c>
      <c r="H416" s="8" t="str">
        <f>IFERROR(__xludf.DUMMYFUNCTION("""COMPUTED_VALUE"""),"AKTD,WBH")</f>
        <v>AKTD,WBH</v>
      </c>
      <c r="I416" s="8" t="str">
        <f>IFERROR(__xludf.DUMMYFUNCTION("""COMPUTED_VALUE"""),"MON")</f>
        <v>MON</v>
      </c>
      <c r="J416" s="8" t="str">
        <f>IFERROR(__xludf.DUMMYFUNCTION("""COMPUTED_VALUE"""),"11:00 AM")</f>
        <v>11:00 AM</v>
      </c>
      <c r="K416" s="8" t="str">
        <f>IFERROR(__xludf.DUMMYFUNCTION("""COMPUTED_VALUE"""),"09F-25L")</f>
        <v>09F-25L</v>
      </c>
      <c r="L416" s="8"/>
      <c r="M416" s="10" t="str">
        <f>IFERROR(VLOOKUP(D416,FacultyList!B:G,6,FALSE),"")</f>
        <v>bijoy.saiem@bracu.ac.bd</v>
      </c>
    </row>
    <row r="417">
      <c r="A417" s="5" t="str">
        <f>IFERROR(__xludf.DUMMYFUNCTION("""COMPUTED_VALUE"""),"CSE421-25")</f>
        <v>CSE421-25</v>
      </c>
      <c r="B417" s="8" t="str">
        <f>IFERROR(__xludf.DUMMYFUNCTION("""COMPUTED_VALUE"""),"EEE465")</f>
        <v>EEE465</v>
      </c>
      <c r="C417" s="8" t="str">
        <f>IFERROR(__xludf.DUMMYFUNCTION("""COMPUTED_VALUE"""),"EEE466")</f>
        <v>EEE466</v>
      </c>
      <c r="D417" s="8" t="str">
        <f>IFERROR(__xludf.DUMMYFUNCTION("""COMPUTED_VALUE"""),"TVRR")</f>
        <v>TVRR</v>
      </c>
      <c r="E417" s="8" t="str">
        <f>IFERROR(__xludf.DUMMYFUNCTION("""COMPUTED_VALUE"""),"SUN+TUE")</f>
        <v>SUN+TUE</v>
      </c>
      <c r="F417" s="8" t="str">
        <f>IFERROR(__xludf.DUMMYFUNCTION("""COMPUTED_VALUE"""),"11:00 AM")</f>
        <v>11:00 AM</v>
      </c>
      <c r="G417" s="9" t="str">
        <f>IFERROR(__xludf.DUMMYFUNCTION("""COMPUTED_VALUE"""),"07D-19C")</f>
        <v>07D-19C</v>
      </c>
      <c r="H417" s="8" t="str">
        <f>IFERROR(__xludf.DUMMYFUNCTION("""COMPUTED_VALUE"""),"AKTD,WBH")</f>
        <v>AKTD,WBH</v>
      </c>
      <c r="I417" s="8" t="str">
        <f>IFERROR(__xludf.DUMMYFUNCTION("""COMPUTED_VALUE"""),"MON")</f>
        <v>MON</v>
      </c>
      <c r="J417" s="8" t="str">
        <f>IFERROR(__xludf.DUMMYFUNCTION("""COMPUTED_VALUE"""),"11:00 AM")</f>
        <v>11:00 AM</v>
      </c>
      <c r="K417" s="8" t="str">
        <f>IFERROR(__xludf.DUMMYFUNCTION("""COMPUTED_VALUE"""),"09F-25L")</f>
        <v>09F-25L</v>
      </c>
      <c r="L417" s="8"/>
      <c r="M417" s="10" t="str">
        <f>IFERROR(VLOOKUP(D417,FacultyList!B:G,6,FALSE),"")</f>
        <v>tanveer.rahman@bracu.ac.bd</v>
      </c>
    </row>
    <row r="418">
      <c r="A418" s="5" t="str">
        <f>IFERROR(__xludf.DUMMYFUNCTION("""COMPUTED_VALUE"""),"CSE421-26")</f>
        <v>CSE421-26</v>
      </c>
      <c r="B418" s="8" t="str">
        <f>IFERROR(__xludf.DUMMYFUNCTION("""COMPUTED_VALUE"""),"EEE465")</f>
        <v>EEE465</v>
      </c>
      <c r="C418" s="8" t="str">
        <f>IFERROR(__xludf.DUMMYFUNCTION("""COMPUTED_VALUE"""),"EEE466")</f>
        <v>EEE466</v>
      </c>
      <c r="D418" s="8" t="str">
        <f>IFERROR(__xludf.DUMMYFUNCTION("""COMPUTED_VALUE"""),"TVRR")</f>
        <v>TVRR</v>
      </c>
      <c r="E418" s="8" t="str">
        <f>IFERROR(__xludf.DUMMYFUNCTION("""COMPUTED_VALUE"""),"SUN+TUE")</f>
        <v>SUN+TUE</v>
      </c>
      <c r="F418" s="8" t="str">
        <f>IFERROR(__xludf.DUMMYFUNCTION("""COMPUTED_VALUE"""),"12:30 PM")</f>
        <v>12:30 PM</v>
      </c>
      <c r="G418" s="9" t="str">
        <f>IFERROR(__xludf.DUMMYFUNCTION("""COMPUTED_VALUE"""),"07D-19C")</f>
        <v>07D-19C</v>
      </c>
      <c r="H418" s="8" t="str">
        <f>IFERROR(__xludf.DUMMYFUNCTION("""COMPUTED_VALUE"""),"CQAE,CPTH")</f>
        <v>CQAE,CPTH</v>
      </c>
      <c r="I418" s="8" t="str">
        <f>IFERROR(__xludf.DUMMYFUNCTION("""COMPUTED_VALUE"""),"THU")</f>
        <v>THU</v>
      </c>
      <c r="J418" s="8" t="str">
        <f>IFERROR(__xludf.DUMMYFUNCTION("""COMPUTED_VALUE"""),"11:00 AM")</f>
        <v>11:00 AM</v>
      </c>
      <c r="K418" s="8" t="str">
        <f>IFERROR(__xludf.DUMMYFUNCTION("""COMPUTED_VALUE"""),"09F-25L")</f>
        <v>09F-25L</v>
      </c>
      <c r="L418" s="8"/>
      <c r="M418" s="10" t="str">
        <f>IFERROR(VLOOKUP(D418,FacultyList!B:G,6,FALSE),"")</f>
        <v>tanveer.rahman@bracu.ac.bd</v>
      </c>
    </row>
    <row r="419">
      <c r="A419" s="5" t="str">
        <f>IFERROR(__xludf.DUMMYFUNCTION("""COMPUTED_VALUE"""),"CSE421-27")</f>
        <v>CSE421-27</v>
      </c>
      <c r="B419" s="8" t="str">
        <f>IFERROR(__xludf.DUMMYFUNCTION("""COMPUTED_VALUE"""),"EEE465")</f>
        <v>EEE465</v>
      </c>
      <c r="C419" s="8" t="str">
        <f>IFERROR(__xludf.DUMMYFUNCTION("""COMPUTED_VALUE"""),"EEE466")</f>
        <v>EEE466</v>
      </c>
      <c r="D419" s="8" t="str">
        <f>IFERROR(__xludf.DUMMYFUNCTION("""COMPUTED_VALUE"""),"TVRR")</f>
        <v>TVRR</v>
      </c>
      <c r="E419" s="8" t="str">
        <f>IFERROR(__xludf.DUMMYFUNCTION("""COMPUTED_VALUE"""),"MON+WED")</f>
        <v>MON+WED</v>
      </c>
      <c r="F419" s="8" t="str">
        <f>IFERROR(__xludf.DUMMYFUNCTION("""COMPUTED_VALUE"""),"8:00 AM")</f>
        <v>8:00 AM</v>
      </c>
      <c r="G419" s="9" t="str">
        <f>IFERROR(__xludf.DUMMYFUNCTION("""COMPUTED_VALUE"""),"07D-20C")</f>
        <v>07D-20C</v>
      </c>
      <c r="H419" s="8" t="str">
        <f>IFERROR(__xludf.DUMMYFUNCTION("""COMPUTED_VALUE"""),"SULT,WBH")</f>
        <v>SULT,WBH</v>
      </c>
      <c r="I419" s="8" t="str">
        <f>IFERROR(__xludf.DUMMYFUNCTION("""COMPUTED_VALUE"""),"SUN")</f>
        <v>SUN</v>
      </c>
      <c r="J419" s="8" t="str">
        <f>IFERROR(__xludf.DUMMYFUNCTION("""COMPUTED_VALUE"""),"8:00 AM")</f>
        <v>8:00 AM</v>
      </c>
      <c r="K419" s="8" t="str">
        <f>IFERROR(__xludf.DUMMYFUNCTION("""COMPUTED_VALUE"""),"10E-27L")</f>
        <v>10E-27L</v>
      </c>
      <c r="L419" s="8"/>
      <c r="M419" s="10" t="str">
        <f>IFERROR(VLOOKUP(D419,FacultyList!B:G,6,FALSE),"")</f>
        <v>tanveer.rahman@bracu.ac.bd</v>
      </c>
    </row>
    <row r="420">
      <c r="A420" s="5" t="str">
        <f>IFERROR(__xludf.DUMMYFUNCTION("""COMPUTED_VALUE"""),"CSE421-28")</f>
        <v>CSE421-28</v>
      </c>
      <c r="B420" s="8" t="str">
        <f>IFERROR(__xludf.DUMMYFUNCTION("""COMPUTED_VALUE"""),"EEE465")</f>
        <v>EEE465</v>
      </c>
      <c r="C420" s="8" t="str">
        <f>IFERROR(__xludf.DUMMYFUNCTION("""COMPUTED_VALUE"""),"EEE466")</f>
        <v>EEE466</v>
      </c>
      <c r="D420" s="8" t="str">
        <f>IFERROR(__xludf.DUMMYFUNCTION("""COMPUTED_VALUE"""),"ASMN")</f>
        <v>ASMN</v>
      </c>
      <c r="E420" s="8" t="str">
        <f>IFERROR(__xludf.DUMMYFUNCTION("""COMPUTED_VALUE"""),"SUN+TUE")</f>
        <v>SUN+TUE</v>
      </c>
      <c r="F420" s="8" t="str">
        <f>IFERROR(__xludf.DUMMYFUNCTION("""COMPUTED_VALUE"""),"3:30 PM")</f>
        <v>3:30 PM</v>
      </c>
      <c r="G420" s="9" t="str">
        <f>IFERROR(__xludf.DUMMYFUNCTION("""COMPUTED_VALUE"""),"07F-22C")</f>
        <v>07F-22C</v>
      </c>
      <c r="H420" s="8" t="str">
        <f>IFERROR(__xludf.DUMMYFUNCTION("""COMPUTED_VALUE"""),"CQAE,CPTH")</f>
        <v>CQAE,CPTH</v>
      </c>
      <c r="I420" s="8" t="str">
        <f>IFERROR(__xludf.DUMMYFUNCTION("""COMPUTED_VALUE"""),"THU")</f>
        <v>THU</v>
      </c>
      <c r="J420" s="8" t="str">
        <f>IFERROR(__xludf.DUMMYFUNCTION("""COMPUTED_VALUE"""),"11:00 AM")</f>
        <v>11:00 AM</v>
      </c>
      <c r="K420" s="8" t="str">
        <f>IFERROR(__xludf.DUMMYFUNCTION("""COMPUTED_VALUE"""),"09F-25L")</f>
        <v>09F-25L</v>
      </c>
      <c r="L420" s="8"/>
      <c r="M420" s="10" t="str">
        <f>IFERROR(VLOOKUP(D420,FacultyList!B:G,6,FALSE),"")</f>
        <v>ext.nasim.khan@bracu.ac.bd</v>
      </c>
    </row>
    <row r="421">
      <c r="A421" s="5" t="str">
        <f>IFERROR(__xludf.DUMMYFUNCTION("""COMPUTED_VALUE"""),"CSE422-01")</f>
        <v>CSE422-01</v>
      </c>
      <c r="B421" s="8" t="str">
        <f>IFERROR(__xludf.DUMMYFUNCTION("""COMPUTED_VALUE"""),"EEE472")</f>
        <v>EEE472</v>
      </c>
      <c r="C421" s="8"/>
      <c r="D421" s="8" t="str">
        <f>IFERROR(__xludf.DUMMYFUNCTION("""COMPUTED_VALUE"""),"TRZ")</f>
        <v>TRZ</v>
      </c>
      <c r="E421" s="8" t="str">
        <f>IFERROR(__xludf.DUMMYFUNCTION("""COMPUTED_VALUE"""),"SAT+THU")</f>
        <v>SAT+THU</v>
      </c>
      <c r="F421" s="8" t="str">
        <f>IFERROR(__xludf.DUMMYFUNCTION("""COMPUTED_VALUE"""),"2:00 PM")</f>
        <v>2:00 PM</v>
      </c>
      <c r="G421" s="9" t="str">
        <f>IFERROR(__xludf.DUMMYFUNCTION("""COMPUTED_VALUE"""),"10A-05C")</f>
        <v>10A-05C</v>
      </c>
      <c r="H421" s="8" t="str">
        <f>IFERROR(__xludf.DUMMYFUNCTION("""COMPUTED_VALUE"""),"ZHS,FFU")</f>
        <v>ZHS,FFU</v>
      </c>
      <c r="I421" s="8" t="str">
        <f>IFERROR(__xludf.DUMMYFUNCTION("""COMPUTED_VALUE"""),"TUE")</f>
        <v>TUE</v>
      </c>
      <c r="J421" s="8" t="str">
        <f>IFERROR(__xludf.DUMMYFUNCTION("""COMPUTED_VALUE"""),"11:00 AM")</f>
        <v>11:00 AM</v>
      </c>
      <c r="K421" s="8" t="str">
        <f>IFERROR(__xludf.DUMMYFUNCTION("""COMPUTED_VALUE"""),"09F-25L")</f>
        <v>09F-25L</v>
      </c>
      <c r="L421" s="8"/>
      <c r="M421" s="10" t="str">
        <f>IFERROR(VLOOKUP(D421,FacultyList!B:G,6,FALSE),"")</f>
        <v>tanzim.reza@bracu.ac.bd</v>
      </c>
    </row>
    <row r="422">
      <c r="A422" s="5" t="str">
        <f>IFERROR(__xludf.DUMMYFUNCTION("""COMPUTED_VALUE"""),"CSE422-02")</f>
        <v>CSE422-02</v>
      </c>
      <c r="B422" s="8" t="str">
        <f>IFERROR(__xludf.DUMMYFUNCTION("""COMPUTED_VALUE"""),"EEE472")</f>
        <v>EEE472</v>
      </c>
      <c r="C422" s="8"/>
      <c r="D422" s="8" t="str">
        <f>IFERROR(__xludf.DUMMYFUNCTION("""COMPUTED_VALUE"""),"TRZ")</f>
        <v>TRZ</v>
      </c>
      <c r="E422" s="8" t="str">
        <f>IFERROR(__xludf.DUMMYFUNCTION("""COMPUTED_VALUE"""),"SAT+THU")</f>
        <v>SAT+THU</v>
      </c>
      <c r="F422" s="8" t="str">
        <f>IFERROR(__xludf.DUMMYFUNCTION("""COMPUTED_VALUE"""),"3:30 PM")</f>
        <v>3:30 PM</v>
      </c>
      <c r="G422" s="9" t="str">
        <f>IFERROR(__xludf.DUMMYFUNCTION("""COMPUTED_VALUE"""),"10A-05C")</f>
        <v>10A-05C</v>
      </c>
      <c r="H422" s="8" t="str">
        <f>IFERROR(__xludf.DUMMYFUNCTION("""COMPUTED_VALUE"""),"MUNR,RZR")</f>
        <v>MUNR,RZR</v>
      </c>
      <c r="I422" s="8" t="str">
        <f>IFERROR(__xludf.DUMMYFUNCTION("""COMPUTED_VALUE"""),"WED")</f>
        <v>WED</v>
      </c>
      <c r="J422" s="8" t="str">
        <f>IFERROR(__xludf.DUMMYFUNCTION("""COMPUTED_VALUE"""),"8:00 AM")</f>
        <v>8:00 AM</v>
      </c>
      <c r="K422" s="8" t="str">
        <f>IFERROR(__xludf.DUMMYFUNCTION("""COMPUTED_VALUE"""),"09F-26L")</f>
        <v>09F-26L</v>
      </c>
      <c r="L422" s="8"/>
      <c r="M422" s="10" t="str">
        <f>IFERROR(VLOOKUP(D422,FacultyList!B:G,6,FALSE),"")</f>
        <v>tanzim.reza@bracu.ac.bd</v>
      </c>
    </row>
    <row r="423">
      <c r="A423" s="5" t="str">
        <f>IFERROR(__xludf.DUMMYFUNCTION("""COMPUTED_VALUE"""),"CSE422-03")</f>
        <v>CSE422-03</v>
      </c>
      <c r="B423" s="8" t="str">
        <f>IFERROR(__xludf.DUMMYFUNCTION("""COMPUTED_VALUE"""),"EEE472")</f>
        <v>EEE472</v>
      </c>
      <c r="C423" s="8"/>
      <c r="D423" s="8" t="str">
        <f>IFERROR(__xludf.DUMMYFUNCTION("""COMPUTED_VALUE"""),"TRZ")</f>
        <v>TRZ</v>
      </c>
      <c r="E423" s="8" t="str">
        <f>IFERROR(__xludf.DUMMYFUNCTION("""COMPUTED_VALUE"""),"SUN+TUE")</f>
        <v>SUN+TUE</v>
      </c>
      <c r="F423" s="8" t="str">
        <f>IFERROR(__xludf.DUMMYFUNCTION("""COMPUTED_VALUE"""),"2:00 PM")</f>
        <v>2:00 PM</v>
      </c>
      <c r="G423" s="9" t="str">
        <f>IFERROR(__xludf.DUMMYFUNCTION("""COMPUTED_VALUE"""),"10A-05C")</f>
        <v>10A-05C</v>
      </c>
      <c r="H423" s="8" t="str">
        <f>IFERROR(__xludf.DUMMYFUNCTION("""COMPUTED_VALUE"""),"RRH,AHC")</f>
        <v>RRH,AHC</v>
      </c>
      <c r="I423" s="8" t="str">
        <f>IFERROR(__xludf.DUMMYFUNCTION("""COMPUTED_VALUE"""),"SAT")</f>
        <v>SAT</v>
      </c>
      <c r="J423" s="8" t="str">
        <f>IFERROR(__xludf.DUMMYFUNCTION("""COMPUTED_VALUE"""),"8:00 AM")</f>
        <v>8:00 AM</v>
      </c>
      <c r="K423" s="8" t="str">
        <f>IFERROR(__xludf.DUMMYFUNCTION("""COMPUTED_VALUE"""),"09F-26L")</f>
        <v>09F-26L</v>
      </c>
      <c r="L423" s="8"/>
      <c r="M423" s="10" t="str">
        <f>IFERROR(VLOOKUP(D423,FacultyList!B:G,6,FALSE),"")</f>
        <v>tanzim.reza@bracu.ac.bd</v>
      </c>
    </row>
    <row r="424">
      <c r="A424" s="5" t="str">
        <f>IFERROR(__xludf.DUMMYFUNCTION("""COMPUTED_VALUE"""),"CSE422-04")</f>
        <v>CSE422-04</v>
      </c>
      <c r="B424" s="8" t="str">
        <f>IFERROR(__xludf.DUMMYFUNCTION("""COMPUTED_VALUE"""),"EEE472")</f>
        <v>EEE472</v>
      </c>
      <c r="C424" s="8"/>
      <c r="D424" s="8" t="str">
        <f>IFERROR(__xludf.DUMMYFUNCTION("""COMPUTED_VALUE"""),"RRH")</f>
        <v>RRH</v>
      </c>
      <c r="E424" s="8" t="str">
        <f>IFERROR(__xludf.DUMMYFUNCTION("""COMPUTED_VALUE"""),"SAT+THU")</f>
        <v>SAT+THU</v>
      </c>
      <c r="F424" s="8" t="str">
        <f>IFERROR(__xludf.DUMMYFUNCTION("""COMPUTED_VALUE"""),"11:00 AM")</f>
        <v>11:00 AM</v>
      </c>
      <c r="G424" s="9" t="str">
        <f>IFERROR(__xludf.DUMMYFUNCTION("""COMPUTED_VALUE"""),"09C-16T")</f>
        <v>09C-16T</v>
      </c>
      <c r="H424" s="8" t="str">
        <f>IFERROR(__xludf.DUMMYFUNCTION("""COMPUTED_VALUE"""),"DPU,SWG")</f>
        <v>DPU,SWG</v>
      </c>
      <c r="I424" s="8" t="str">
        <f>IFERROR(__xludf.DUMMYFUNCTION("""COMPUTED_VALUE"""),"WED")</f>
        <v>WED</v>
      </c>
      <c r="J424" s="8" t="str">
        <f>IFERROR(__xludf.DUMMYFUNCTION("""COMPUTED_VALUE"""),"11:00 AM")</f>
        <v>11:00 AM</v>
      </c>
      <c r="K424" s="8" t="str">
        <f>IFERROR(__xludf.DUMMYFUNCTION("""COMPUTED_VALUE"""),"09F-26L")</f>
        <v>09F-26L</v>
      </c>
      <c r="L424" s="8"/>
      <c r="M424" s="10" t="str">
        <f>IFERROR(VLOOKUP(D424,FacultyList!B:G,6,FALSE),"")</f>
        <v>rahman.rafeed@bracu.ac.bd</v>
      </c>
    </row>
    <row r="425">
      <c r="A425" s="5" t="str">
        <f>IFERROR(__xludf.DUMMYFUNCTION("""COMPUTED_VALUE"""),"CSE422-05")</f>
        <v>CSE422-05</v>
      </c>
      <c r="B425" s="8" t="str">
        <f>IFERROR(__xludf.DUMMYFUNCTION("""COMPUTED_VALUE"""),"EEE472")</f>
        <v>EEE472</v>
      </c>
      <c r="C425" s="8"/>
      <c r="D425" s="8" t="str">
        <f>IFERROR(__xludf.DUMMYFUNCTION("""COMPUTED_VALUE"""),"RRH")</f>
        <v>RRH</v>
      </c>
      <c r="E425" s="8" t="str">
        <f>IFERROR(__xludf.DUMMYFUNCTION("""COMPUTED_VALUE"""),"SAT+THU")</f>
        <v>SAT+THU</v>
      </c>
      <c r="F425" s="8" t="str">
        <f>IFERROR(__xludf.DUMMYFUNCTION("""COMPUTED_VALUE"""),"11:00 AM")</f>
        <v>11:00 AM</v>
      </c>
      <c r="G425" s="9" t="str">
        <f>IFERROR(__xludf.DUMMYFUNCTION("""COMPUTED_VALUE"""),"09C-16T")</f>
        <v>09C-16T</v>
      </c>
      <c r="H425" s="8" t="str">
        <f>IFERROR(__xludf.DUMMYFUNCTION("""COMPUTED_VALUE"""),"WHMJ,FFU")</f>
        <v>WHMJ,FFU</v>
      </c>
      <c r="I425" s="8" t="str">
        <f>IFERROR(__xludf.DUMMYFUNCTION("""COMPUTED_VALUE"""),"WED")</f>
        <v>WED</v>
      </c>
      <c r="J425" s="8" t="str">
        <f>IFERROR(__xludf.DUMMYFUNCTION("""COMPUTED_VALUE"""),"2:00 PM")</f>
        <v>2:00 PM</v>
      </c>
      <c r="K425" s="8" t="str">
        <f>IFERROR(__xludf.DUMMYFUNCTION("""COMPUTED_VALUE"""),"09F-26L")</f>
        <v>09F-26L</v>
      </c>
      <c r="L425" s="8"/>
      <c r="M425" s="10" t="str">
        <f>IFERROR(VLOOKUP(D425,FacultyList!B:G,6,FALSE),"")</f>
        <v>rahman.rafeed@bracu.ac.bd</v>
      </c>
    </row>
    <row r="426">
      <c r="A426" s="5" t="str">
        <f>IFERROR(__xludf.DUMMYFUNCTION("""COMPUTED_VALUE"""),"CSE422-06")</f>
        <v>CSE422-06</v>
      </c>
      <c r="B426" s="8" t="str">
        <f>IFERROR(__xludf.DUMMYFUNCTION("""COMPUTED_VALUE"""),"EEE472")</f>
        <v>EEE472</v>
      </c>
      <c r="C426" s="8"/>
      <c r="D426" s="8" t="str">
        <f>IFERROR(__xludf.DUMMYFUNCTION("""COMPUTED_VALUE"""),"RRH")</f>
        <v>RRH</v>
      </c>
      <c r="E426" s="8" t="str">
        <f>IFERROR(__xludf.DUMMYFUNCTION("""COMPUTED_VALUE"""),"SAT+THU")</f>
        <v>SAT+THU</v>
      </c>
      <c r="F426" s="8" t="str">
        <f>IFERROR(__xludf.DUMMYFUNCTION("""COMPUTED_VALUE"""),"11:00 AM")</f>
        <v>11:00 AM</v>
      </c>
      <c r="G426" s="9" t="str">
        <f>IFERROR(__xludf.DUMMYFUNCTION("""COMPUTED_VALUE"""),"09C-16T")</f>
        <v>09C-16T</v>
      </c>
      <c r="H426" s="8" t="str">
        <f>IFERROR(__xludf.DUMMYFUNCTION("""COMPUTED_VALUE"""),"YND,RZR")</f>
        <v>YND,RZR</v>
      </c>
      <c r="I426" s="8" t="str">
        <f>IFERROR(__xludf.DUMMYFUNCTION("""COMPUTED_VALUE"""),"WED")</f>
        <v>WED</v>
      </c>
      <c r="J426" s="8" t="str">
        <f>IFERROR(__xludf.DUMMYFUNCTION("""COMPUTED_VALUE"""),"2:00 PM")</f>
        <v>2:00 PM</v>
      </c>
      <c r="K426" s="8" t="str">
        <f>IFERROR(__xludf.DUMMYFUNCTION("""COMPUTED_VALUE"""),"09F-27L")</f>
        <v>09F-27L</v>
      </c>
      <c r="L426" s="8"/>
      <c r="M426" s="10" t="str">
        <f>IFERROR(VLOOKUP(D426,FacultyList!B:G,6,FALSE),"")</f>
        <v>rahman.rafeed@bracu.ac.bd</v>
      </c>
    </row>
    <row r="427">
      <c r="A427" s="5" t="str">
        <f>IFERROR(__xludf.DUMMYFUNCTION("""COMPUTED_VALUE"""),"CSE422-07")</f>
        <v>CSE422-07</v>
      </c>
      <c r="B427" s="8" t="str">
        <f>IFERROR(__xludf.DUMMYFUNCTION("""COMPUTED_VALUE"""),"EEE472")</f>
        <v>EEE472</v>
      </c>
      <c r="C427" s="8"/>
      <c r="D427" s="8" t="str">
        <f>IFERROR(__xludf.DUMMYFUNCTION("""COMPUTED_VALUE"""),"IBU")</f>
        <v>IBU</v>
      </c>
      <c r="E427" s="8" t="str">
        <f>IFERROR(__xludf.DUMMYFUNCTION("""COMPUTED_VALUE"""),"SAT+THU")</f>
        <v>SAT+THU</v>
      </c>
      <c r="F427" s="8" t="str">
        <f>IFERROR(__xludf.DUMMYFUNCTION("""COMPUTED_VALUE"""),"11:00 AM")</f>
        <v>11:00 AM</v>
      </c>
      <c r="G427" s="9" t="str">
        <f>IFERROR(__xludf.DUMMYFUNCTION("""COMPUTED_VALUE"""),"10A-05C")</f>
        <v>10A-05C</v>
      </c>
      <c r="H427" s="8" t="str">
        <f>IFERROR(__xludf.DUMMYFUNCTION("""COMPUTED_VALUE"""),"MHDE,YND")</f>
        <v>MHDE,YND</v>
      </c>
      <c r="I427" s="8" t="str">
        <f>IFERROR(__xludf.DUMMYFUNCTION("""COMPUTED_VALUE"""),"MON")</f>
        <v>MON</v>
      </c>
      <c r="J427" s="8" t="str">
        <f>IFERROR(__xludf.DUMMYFUNCTION("""COMPUTED_VALUE"""),"2:00 PM")</f>
        <v>2:00 PM</v>
      </c>
      <c r="K427" s="8" t="str">
        <f>IFERROR(__xludf.DUMMYFUNCTION("""COMPUTED_VALUE"""),"09F-24L")</f>
        <v>09F-24L</v>
      </c>
      <c r="L427" s="8"/>
      <c r="M427" s="10" t="str">
        <f>IFERROR(VLOOKUP(D427,FacultyList!B:G,6,FALSE),"")</f>
        <v>ipshita.upoma@bracu.ac.bd</v>
      </c>
    </row>
    <row r="428">
      <c r="A428" s="5" t="str">
        <f>IFERROR(__xludf.DUMMYFUNCTION("""COMPUTED_VALUE"""),"CSE422-08")</f>
        <v>CSE422-08</v>
      </c>
      <c r="B428" s="8" t="str">
        <f>IFERROR(__xludf.DUMMYFUNCTION("""COMPUTED_VALUE"""),"EEE472")</f>
        <v>EEE472</v>
      </c>
      <c r="C428" s="8"/>
      <c r="D428" s="8" t="str">
        <f>IFERROR(__xludf.DUMMYFUNCTION("""COMPUTED_VALUE"""),"IBU")</f>
        <v>IBU</v>
      </c>
      <c r="E428" s="8" t="str">
        <f>IFERROR(__xludf.DUMMYFUNCTION("""COMPUTED_VALUE"""),"SAT+THU")</f>
        <v>SAT+THU</v>
      </c>
      <c r="F428" s="8" t="str">
        <f>IFERROR(__xludf.DUMMYFUNCTION("""COMPUTED_VALUE"""),"12:30 PM")</f>
        <v>12:30 PM</v>
      </c>
      <c r="G428" s="9" t="str">
        <f>IFERROR(__xludf.DUMMYFUNCTION("""COMPUTED_VALUE"""),"10A-05C")</f>
        <v>10A-05C</v>
      </c>
      <c r="H428" s="8" t="str">
        <f>IFERROR(__xludf.DUMMYFUNCTION("""COMPUTED_VALUE"""),"RRH,AHC")</f>
        <v>RRH,AHC</v>
      </c>
      <c r="I428" s="8" t="str">
        <f>IFERROR(__xludf.DUMMYFUNCTION("""COMPUTED_VALUE"""),"SUN")</f>
        <v>SUN</v>
      </c>
      <c r="J428" s="8" t="str">
        <f>IFERROR(__xludf.DUMMYFUNCTION("""COMPUTED_VALUE"""),"8:00 AM")</f>
        <v>8:00 AM</v>
      </c>
      <c r="K428" s="8" t="str">
        <f>IFERROR(__xludf.DUMMYFUNCTION("""COMPUTED_VALUE"""),"09F-26L")</f>
        <v>09F-26L</v>
      </c>
      <c r="L428" s="8"/>
      <c r="M428" s="10" t="str">
        <f>IFERROR(VLOOKUP(D428,FacultyList!B:G,6,FALSE),"")</f>
        <v>ipshita.upoma@bracu.ac.bd</v>
      </c>
    </row>
    <row r="429">
      <c r="A429" s="5" t="str">
        <f>IFERROR(__xludf.DUMMYFUNCTION("""COMPUTED_VALUE"""),"CSE422-09")</f>
        <v>CSE422-09</v>
      </c>
      <c r="B429" s="8" t="str">
        <f>IFERROR(__xludf.DUMMYFUNCTION("""COMPUTED_VALUE"""),"EEE472")</f>
        <v>EEE472</v>
      </c>
      <c r="C429" s="8"/>
      <c r="D429" s="8" t="str">
        <f>IFERROR(__xludf.DUMMYFUNCTION("""COMPUTED_VALUE"""),"ZHS")</f>
        <v>ZHS</v>
      </c>
      <c r="E429" s="8" t="str">
        <f>IFERROR(__xludf.DUMMYFUNCTION("""COMPUTED_VALUE"""),"SUN+TUE")</f>
        <v>SUN+TUE</v>
      </c>
      <c r="F429" s="8" t="str">
        <f>IFERROR(__xludf.DUMMYFUNCTION("""COMPUTED_VALUE"""),"8:00 AM")</f>
        <v>8:00 AM</v>
      </c>
      <c r="G429" s="9" t="str">
        <f>IFERROR(__xludf.DUMMYFUNCTION("""COMPUTED_VALUE"""),"10B-15C")</f>
        <v>10B-15C</v>
      </c>
      <c r="H429" s="8" t="str">
        <f>IFERROR(__xludf.DUMMYFUNCTION("""COMPUTED_VALUE"""),"LBBH,KKS")</f>
        <v>LBBH,KKS</v>
      </c>
      <c r="I429" s="8" t="str">
        <f>IFERROR(__xludf.DUMMYFUNCTION("""COMPUTED_VALUE"""),"SAT")</f>
        <v>SAT</v>
      </c>
      <c r="J429" s="8" t="str">
        <f>IFERROR(__xludf.DUMMYFUNCTION("""COMPUTED_VALUE"""),"11:00 AM")</f>
        <v>11:00 AM</v>
      </c>
      <c r="K429" s="8" t="str">
        <f>IFERROR(__xludf.DUMMYFUNCTION("""COMPUTED_VALUE"""),"09F-26L")</f>
        <v>09F-26L</v>
      </c>
      <c r="L429" s="8"/>
      <c r="M429" s="10" t="str">
        <f>IFERROR(VLOOKUP(D429,FacultyList!B:G,6,FALSE),"")</f>
        <v>shoumo.hasan@bracu.ac.bd</v>
      </c>
    </row>
    <row r="430">
      <c r="A430" s="5" t="str">
        <f>IFERROR(__xludf.DUMMYFUNCTION("""COMPUTED_VALUE"""),"CSE422-10")</f>
        <v>CSE422-10</v>
      </c>
      <c r="B430" s="8" t="str">
        <f>IFERROR(__xludf.DUMMYFUNCTION("""COMPUTED_VALUE"""),"EEE472")</f>
        <v>EEE472</v>
      </c>
      <c r="C430" s="8"/>
      <c r="D430" s="8" t="str">
        <f>IFERROR(__xludf.DUMMYFUNCTION("""COMPUTED_VALUE"""),"ZHS")</f>
        <v>ZHS</v>
      </c>
      <c r="E430" s="8" t="str">
        <f>IFERROR(__xludf.DUMMYFUNCTION("""COMPUTED_VALUE"""),"SUN+TUE")</f>
        <v>SUN+TUE</v>
      </c>
      <c r="F430" s="8" t="str">
        <f>IFERROR(__xludf.DUMMYFUNCTION("""COMPUTED_VALUE"""),"9:30 AM")</f>
        <v>9:30 AM</v>
      </c>
      <c r="G430" s="9" t="str">
        <f>IFERROR(__xludf.DUMMYFUNCTION("""COMPUTED_VALUE"""),"10B-15C")</f>
        <v>10B-15C</v>
      </c>
      <c r="H430" s="8" t="str">
        <f>IFERROR(__xludf.DUMMYFUNCTION("""COMPUTED_VALUE"""),"NWT,MUNR")</f>
        <v>NWT,MUNR</v>
      </c>
      <c r="I430" s="8" t="str">
        <f>IFERROR(__xludf.DUMMYFUNCTION("""COMPUTED_VALUE"""),"MON")</f>
        <v>MON</v>
      </c>
      <c r="J430" s="8" t="str">
        <f>IFERROR(__xludf.DUMMYFUNCTION("""COMPUTED_VALUE"""),"8:00 AM")</f>
        <v>8:00 AM</v>
      </c>
      <c r="K430" s="8" t="str">
        <f>IFERROR(__xludf.DUMMYFUNCTION("""COMPUTED_VALUE"""),"09F-24L")</f>
        <v>09F-24L</v>
      </c>
      <c r="L430" s="8"/>
      <c r="M430" s="10" t="str">
        <f>IFERROR(VLOOKUP(D430,FacultyList!B:G,6,FALSE),"")</f>
        <v>shoumo.hasan@bracu.ac.bd</v>
      </c>
    </row>
    <row r="431">
      <c r="A431" s="5" t="str">
        <f>IFERROR(__xludf.DUMMYFUNCTION("""COMPUTED_VALUE"""),"CSE422-11")</f>
        <v>CSE422-11</v>
      </c>
      <c r="B431" s="8" t="str">
        <f>IFERROR(__xludf.DUMMYFUNCTION("""COMPUTED_VALUE"""),"EEE472")</f>
        <v>EEE472</v>
      </c>
      <c r="C431" s="8"/>
      <c r="D431" s="8" t="str">
        <f>IFERROR(__xludf.DUMMYFUNCTION("""COMPUTED_VALUE"""),"ZHS")</f>
        <v>ZHS</v>
      </c>
      <c r="E431" s="8" t="str">
        <f>IFERROR(__xludf.DUMMYFUNCTION("""COMPUTED_VALUE"""),"MON+WED")</f>
        <v>MON+WED</v>
      </c>
      <c r="F431" s="8" t="str">
        <f>IFERROR(__xludf.DUMMYFUNCTION("""COMPUTED_VALUE"""),"8:00 AM")</f>
        <v>8:00 AM</v>
      </c>
      <c r="G431" s="9" t="str">
        <f>IFERROR(__xludf.DUMMYFUNCTION("""COMPUTED_VALUE"""),"10A-10C")</f>
        <v>10A-10C</v>
      </c>
      <c r="H431" s="8" t="str">
        <f>IFERROR(__xludf.DUMMYFUNCTION("""COMPUTED_VALUE"""),"PLN,CMHH")</f>
        <v>PLN,CMHH</v>
      </c>
      <c r="I431" s="8" t="str">
        <f>IFERROR(__xludf.DUMMYFUNCTION("""COMPUTED_VALUE"""),"THU")</f>
        <v>THU</v>
      </c>
      <c r="J431" s="8" t="str">
        <f>IFERROR(__xludf.DUMMYFUNCTION("""COMPUTED_VALUE"""),"8:00 AM")</f>
        <v>8:00 AM</v>
      </c>
      <c r="K431" s="8" t="str">
        <f>IFERROR(__xludf.DUMMYFUNCTION("""COMPUTED_VALUE"""),"09F-26L")</f>
        <v>09F-26L</v>
      </c>
      <c r="L431" s="8"/>
      <c r="M431" s="10" t="str">
        <f>IFERROR(VLOOKUP(D431,FacultyList!B:G,6,FALSE),"")</f>
        <v>shoumo.hasan@bracu.ac.bd</v>
      </c>
    </row>
    <row r="432">
      <c r="A432" s="5" t="str">
        <f>IFERROR(__xludf.DUMMYFUNCTION("""COMPUTED_VALUE"""),"CSE422-12")</f>
        <v>CSE422-12</v>
      </c>
      <c r="B432" s="8" t="str">
        <f>IFERROR(__xludf.DUMMYFUNCTION("""COMPUTED_VALUE"""),"EEE472")</f>
        <v>EEE472</v>
      </c>
      <c r="C432" s="8"/>
      <c r="D432" s="8" t="str">
        <f>IFERROR(__xludf.DUMMYFUNCTION("""COMPUTED_VALUE"""),"ZHS")</f>
        <v>ZHS</v>
      </c>
      <c r="E432" s="8" t="str">
        <f>IFERROR(__xludf.DUMMYFUNCTION("""COMPUTED_VALUE"""),"MON+WED")</f>
        <v>MON+WED</v>
      </c>
      <c r="F432" s="8" t="str">
        <f>IFERROR(__xludf.DUMMYFUNCTION("""COMPUTED_VALUE"""),"9:30 AM")</f>
        <v>9:30 AM</v>
      </c>
      <c r="G432" s="9" t="str">
        <f>IFERROR(__xludf.DUMMYFUNCTION("""COMPUTED_VALUE"""),"10A-10C")</f>
        <v>10A-10C</v>
      </c>
      <c r="H432" s="8" t="str">
        <f>IFERROR(__xludf.DUMMYFUNCTION("""COMPUTED_VALUE"""),"LBBH,AJK")</f>
        <v>LBBH,AJK</v>
      </c>
      <c r="I432" s="8" t="str">
        <f>IFERROR(__xludf.DUMMYFUNCTION("""COMPUTED_VALUE"""),"THU")</f>
        <v>THU</v>
      </c>
      <c r="J432" s="8" t="str">
        <f>IFERROR(__xludf.DUMMYFUNCTION("""COMPUTED_VALUE"""),"11:00 AM")</f>
        <v>11:00 AM</v>
      </c>
      <c r="K432" s="8" t="str">
        <f>IFERROR(__xludf.DUMMYFUNCTION("""COMPUTED_VALUE"""),"09F-26L")</f>
        <v>09F-26L</v>
      </c>
      <c r="L432" s="8"/>
      <c r="M432" s="10" t="str">
        <f>IFERROR(VLOOKUP(D432,FacultyList!B:G,6,FALSE),"")</f>
        <v>shoumo.hasan@bracu.ac.bd</v>
      </c>
    </row>
    <row r="433">
      <c r="A433" s="5" t="str">
        <f>IFERROR(__xludf.DUMMYFUNCTION("""COMPUTED_VALUE"""),"CSE422-13")</f>
        <v>CSE422-13</v>
      </c>
      <c r="B433" s="8" t="str">
        <f>IFERROR(__xludf.DUMMYFUNCTION("""COMPUTED_VALUE"""),"EEE472")</f>
        <v>EEE472</v>
      </c>
      <c r="C433" s="8"/>
      <c r="D433" s="8" t="str">
        <f>IFERROR(__xludf.DUMMYFUNCTION("""COMPUTED_VALUE"""),"SWG")</f>
        <v>SWG</v>
      </c>
      <c r="E433" s="8" t="str">
        <f>IFERROR(__xludf.DUMMYFUNCTION("""COMPUTED_VALUE"""),"SUN+TUE")</f>
        <v>SUN+TUE</v>
      </c>
      <c r="F433" s="8" t="str">
        <f>IFERROR(__xludf.DUMMYFUNCTION("""COMPUTED_VALUE"""),"11:00 AM")</f>
        <v>11:00 AM</v>
      </c>
      <c r="G433" s="9" t="str">
        <f>IFERROR(__xludf.DUMMYFUNCTION("""COMPUTED_VALUE"""),"09D-17C")</f>
        <v>09D-17C</v>
      </c>
      <c r="H433" s="8" t="str">
        <f>IFERROR(__xludf.DUMMYFUNCTION("""COMPUTED_VALUE"""),"ZHS,RSS")</f>
        <v>ZHS,RSS</v>
      </c>
      <c r="I433" s="8" t="str">
        <f>IFERROR(__xludf.DUMMYFUNCTION("""COMPUTED_VALUE"""),"MON")</f>
        <v>MON</v>
      </c>
      <c r="J433" s="8" t="str">
        <f>IFERROR(__xludf.DUMMYFUNCTION("""COMPUTED_VALUE"""),"11:00 AM")</f>
        <v>11:00 AM</v>
      </c>
      <c r="K433" s="8" t="str">
        <f>IFERROR(__xludf.DUMMYFUNCTION("""COMPUTED_VALUE"""),"09F-24L")</f>
        <v>09F-24L</v>
      </c>
      <c r="L433" s="8"/>
      <c r="M433" s="10" t="str">
        <f>IFERROR(VLOOKUP(D433,FacultyList!B:G,6,FALSE),"")</f>
        <v>swattic.ghose@bracu.ac.bd</v>
      </c>
    </row>
    <row r="434">
      <c r="A434" s="5" t="str">
        <f>IFERROR(__xludf.DUMMYFUNCTION("""COMPUTED_VALUE"""),"CSE422-14")</f>
        <v>CSE422-14</v>
      </c>
      <c r="B434" s="8" t="str">
        <f>IFERROR(__xludf.DUMMYFUNCTION("""COMPUTED_VALUE"""),"EEE472")</f>
        <v>EEE472</v>
      </c>
      <c r="C434" s="8"/>
      <c r="D434" s="8" t="str">
        <f>IFERROR(__xludf.DUMMYFUNCTION("""COMPUTED_VALUE"""),"SWG")</f>
        <v>SWG</v>
      </c>
      <c r="E434" s="8" t="str">
        <f>IFERROR(__xludf.DUMMYFUNCTION("""COMPUTED_VALUE"""),"SUN+TUE")</f>
        <v>SUN+TUE</v>
      </c>
      <c r="F434" s="8" t="str">
        <f>IFERROR(__xludf.DUMMYFUNCTION("""COMPUTED_VALUE"""),"12:30 PM")</f>
        <v>12:30 PM</v>
      </c>
      <c r="G434" s="9" t="str">
        <f>IFERROR(__xludf.DUMMYFUNCTION("""COMPUTED_VALUE"""),"09D-17C")</f>
        <v>09D-17C</v>
      </c>
      <c r="H434" s="8" t="str">
        <f>IFERROR(__xludf.DUMMYFUNCTION("""COMPUTED_VALUE"""),"IRZ,RZR")</f>
        <v>IRZ,RZR</v>
      </c>
      <c r="I434" s="8" t="str">
        <f>IFERROR(__xludf.DUMMYFUNCTION("""COMPUTED_VALUE"""),"MON")</f>
        <v>MON</v>
      </c>
      <c r="J434" s="8" t="str">
        <f>IFERROR(__xludf.DUMMYFUNCTION("""COMPUTED_VALUE"""),"2:00 PM")</f>
        <v>2:00 PM</v>
      </c>
      <c r="K434" s="8" t="str">
        <f>IFERROR(__xludf.DUMMYFUNCTION("""COMPUTED_VALUE"""),"09F-25L")</f>
        <v>09F-25L</v>
      </c>
      <c r="L434" s="8"/>
      <c r="M434" s="10" t="str">
        <f>IFERROR(VLOOKUP(D434,FacultyList!B:G,6,FALSE),"")</f>
        <v>swattic.ghose@bracu.ac.bd</v>
      </c>
    </row>
    <row r="435">
      <c r="A435" s="5" t="str">
        <f>IFERROR(__xludf.DUMMYFUNCTION("""COMPUTED_VALUE"""),"CSE422-15")</f>
        <v>CSE422-15</v>
      </c>
      <c r="B435" s="8" t="str">
        <f>IFERROR(__xludf.DUMMYFUNCTION("""COMPUTED_VALUE"""),"EEE472")</f>
        <v>EEE472</v>
      </c>
      <c r="C435" s="8"/>
      <c r="D435" s="8" t="str">
        <f>IFERROR(__xludf.DUMMYFUNCTION("""COMPUTED_VALUE"""),"RSS")</f>
        <v>RSS</v>
      </c>
      <c r="E435" s="8" t="str">
        <f>IFERROR(__xludf.DUMMYFUNCTION("""COMPUTED_VALUE"""),"MON+WED")</f>
        <v>MON+WED</v>
      </c>
      <c r="F435" s="8" t="str">
        <f>IFERROR(__xludf.DUMMYFUNCTION("""COMPUTED_VALUE"""),"9:30 AM")</f>
        <v>9:30 AM</v>
      </c>
      <c r="G435" s="9" t="str">
        <f>IFERROR(__xludf.DUMMYFUNCTION("""COMPUTED_VALUE"""),"09H-33C")</f>
        <v>09H-33C</v>
      </c>
      <c r="H435" s="8" t="str">
        <f>IFERROR(__xludf.DUMMYFUNCTION("""COMPUTED_VALUE"""),"ANV,CSSA")</f>
        <v>ANV,CSSA</v>
      </c>
      <c r="I435" s="8" t="str">
        <f>IFERROR(__xludf.DUMMYFUNCTION("""COMPUTED_VALUE"""),"THU")</f>
        <v>THU</v>
      </c>
      <c r="J435" s="8" t="str">
        <f>IFERROR(__xludf.DUMMYFUNCTION("""COMPUTED_VALUE"""),"2:00 PM")</f>
        <v>2:00 PM</v>
      </c>
      <c r="K435" s="8" t="str">
        <f>IFERROR(__xludf.DUMMYFUNCTION("""COMPUTED_VALUE"""),"09F-26L")</f>
        <v>09F-26L</v>
      </c>
      <c r="L435" s="8"/>
      <c r="M435" s="10" t="str">
        <f>IFERROR(VLOOKUP(D435,FacultyList!B:G,6,FALSE),"")</f>
        <v>rafiad.shahir@bracu.ac.bd</v>
      </c>
    </row>
    <row r="436">
      <c r="A436" s="5" t="str">
        <f>IFERROR(__xludf.DUMMYFUNCTION("""COMPUTED_VALUE"""),"CSE422-16")</f>
        <v>CSE422-16</v>
      </c>
      <c r="B436" s="8" t="str">
        <f>IFERROR(__xludf.DUMMYFUNCTION("""COMPUTED_VALUE"""),"EEE472")</f>
        <v>EEE472</v>
      </c>
      <c r="C436" s="8"/>
      <c r="D436" s="8" t="str">
        <f>IFERROR(__xludf.DUMMYFUNCTION("""COMPUTED_VALUE"""),"SHAH")</f>
        <v>SHAH</v>
      </c>
      <c r="E436" s="8" t="str">
        <f>IFERROR(__xludf.DUMMYFUNCTION("""COMPUTED_VALUE"""),"MON+WED")</f>
        <v>MON+WED</v>
      </c>
      <c r="F436" s="8" t="str">
        <f>IFERROR(__xludf.DUMMYFUNCTION("""COMPUTED_VALUE"""),"3:30 PM")</f>
        <v>3:30 PM</v>
      </c>
      <c r="G436" s="9" t="str">
        <f>IFERROR(__xludf.DUMMYFUNCTION("""COMPUTED_VALUE"""),"09E-20T")</f>
        <v>09E-20T</v>
      </c>
      <c r="H436" s="8" t="str">
        <f>IFERROR(__xludf.DUMMYFUNCTION("""COMPUTED_VALUE"""),"RRH,FMK")</f>
        <v>RRH,FMK</v>
      </c>
      <c r="I436" s="8" t="str">
        <f>IFERROR(__xludf.DUMMYFUNCTION("""COMPUTED_VALUE"""),"THU")</f>
        <v>THU</v>
      </c>
      <c r="J436" s="8" t="str">
        <f>IFERROR(__xludf.DUMMYFUNCTION("""COMPUTED_VALUE"""),"8:00 AM")</f>
        <v>8:00 AM</v>
      </c>
      <c r="K436" s="8" t="str">
        <f>IFERROR(__xludf.DUMMYFUNCTION("""COMPUTED_VALUE"""),"09F-27L")</f>
        <v>09F-27L</v>
      </c>
      <c r="L436" s="8"/>
      <c r="M436" s="10" t="str">
        <f>IFERROR(VLOOKUP(D436,FacultyList!B:G,6,FALSE),"")</f>
        <v>asif.shahriar@bracu.ac.bd</v>
      </c>
    </row>
    <row r="437">
      <c r="A437" s="5" t="str">
        <f>IFERROR(__xludf.DUMMYFUNCTION("""COMPUTED_VALUE"""),"CSE422-17")</f>
        <v>CSE422-17</v>
      </c>
      <c r="B437" s="8" t="str">
        <f>IFERROR(__xludf.DUMMYFUNCTION("""COMPUTED_VALUE"""),"EEE472")</f>
        <v>EEE472</v>
      </c>
      <c r="C437" s="8"/>
      <c r="D437" s="8" t="str">
        <f>IFERROR(__xludf.DUMMYFUNCTION("""COMPUTED_VALUE"""),"SHAH")</f>
        <v>SHAH</v>
      </c>
      <c r="E437" s="8" t="str">
        <f>IFERROR(__xludf.DUMMYFUNCTION("""COMPUTED_VALUE"""),"MON+WED")</f>
        <v>MON+WED</v>
      </c>
      <c r="F437" s="8" t="str">
        <f>IFERROR(__xludf.DUMMYFUNCTION("""COMPUTED_VALUE"""),"3:30 PM")</f>
        <v>3:30 PM</v>
      </c>
      <c r="G437" s="9" t="str">
        <f>IFERROR(__xludf.DUMMYFUNCTION("""COMPUTED_VALUE"""),"09E-20T")</f>
        <v>09E-20T</v>
      </c>
      <c r="H437" s="8" t="str">
        <f>IFERROR(__xludf.DUMMYFUNCTION("""COMPUTED_VALUE"""),"MUNR,WHMJ")</f>
        <v>MUNR,WHMJ</v>
      </c>
      <c r="I437" s="8" t="str">
        <f>IFERROR(__xludf.DUMMYFUNCTION("""COMPUTED_VALUE"""),"TUE")</f>
        <v>TUE</v>
      </c>
      <c r="J437" s="8" t="str">
        <f>IFERROR(__xludf.DUMMYFUNCTION("""COMPUTED_VALUE"""),"8:00 AM")</f>
        <v>8:00 AM</v>
      </c>
      <c r="K437" s="8" t="str">
        <f>IFERROR(__xludf.DUMMYFUNCTION("""COMPUTED_VALUE"""),"09F-26L")</f>
        <v>09F-26L</v>
      </c>
      <c r="L437" s="8"/>
      <c r="M437" s="10" t="str">
        <f>IFERROR(VLOOKUP(D437,FacultyList!B:G,6,FALSE),"")</f>
        <v>asif.shahriar@bracu.ac.bd</v>
      </c>
    </row>
    <row r="438">
      <c r="A438" s="5" t="str">
        <f>IFERROR(__xludf.DUMMYFUNCTION("""COMPUTED_VALUE"""),"CSE422-18")</f>
        <v>CSE422-18</v>
      </c>
      <c r="B438" s="8" t="str">
        <f>IFERROR(__xludf.DUMMYFUNCTION("""COMPUTED_VALUE"""),"EEE472")</f>
        <v>EEE472</v>
      </c>
      <c r="C438" s="8"/>
      <c r="D438" s="8" t="str">
        <f>IFERROR(__xludf.DUMMYFUNCTION("""COMPUTED_VALUE"""),"SHAH")</f>
        <v>SHAH</v>
      </c>
      <c r="E438" s="8" t="str">
        <f>IFERROR(__xludf.DUMMYFUNCTION("""COMPUTED_VALUE"""),"MON+WED")</f>
        <v>MON+WED</v>
      </c>
      <c r="F438" s="8" t="str">
        <f>IFERROR(__xludf.DUMMYFUNCTION("""COMPUTED_VALUE"""),"3:30 PM")</f>
        <v>3:30 PM</v>
      </c>
      <c r="G438" s="9" t="str">
        <f>IFERROR(__xludf.DUMMYFUNCTION("""COMPUTED_VALUE"""),"09E-20T")</f>
        <v>09E-20T</v>
      </c>
      <c r="H438" s="8" t="str">
        <f>IFERROR(__xludf.DUMMYFUNCTION("""COMPUTED_VALUE"""),"DPU,NDT")</f>
        <v>DPU,NDT</v>
      </c>
      <c r="I438" s="8" t="str">
        <f>IFERROR(__xludf.DUMMYFUNCTION("""COMPUTED_VALUE"""),"SUN")</f>
        <v>SUN</v>
      </c>
      <c r="J438" s="8" t="str">
        <f>IFERROR(__xludf.DUMMYFUNCTION("""COMPUTED_VALUE"""),"11:00 AM")</f>
        <v>11:00 AM</v>
      </c>
      <c r="K438" s="8" t="str">
        <f>IFERROR(__xludf.DUMMYFUNCTION("""COMPUTED_VALUE"""),"10G-32L")</f>
        <v>10G-32L</v>
      </c>
      <c r="L438" s="8"/>
      <c r="M438" s="10" t="str">
        <f>IFERROR(VLOOKUP(D438,FacultyList!B:G,6,FALSE),"")</f>
        <v>asif.shahriar@bracu.ac.bd</v>
      </c>
    </row>
    <row r="439">
      <c r="A439" s="5" t="str">
        <f>IFERROR(__xludf.DUMMYFUNCTION("""COMPUTED_VALUE"""),"CSE422-19")</f>
        <v>CSE422-19</v>
      </c>
      <c r="B439" s="8" t="str">
        <f>IFERROR(__xludf.DUMMYFUNCTION("""COMPUTED_VALUE"""),"EEE472")</f>
        <v>EEE472</v>
      </c>
      <c r="C439" s="8"/>
      <c r="D439" s="8" t="str">
        <f>IFERROR(__xludf.DUMMYFUNCTION("""COMPUTED_VALUE"""),"NDT")</f>
        <v>NDT</v>
      </c>
      <c r="E439" s="8" t="str">
        <f>IFERROR(__xludf.DUMMYFUNCTION("""COMPUTED_VALUE"""),"MON+WED")</f>
        <v>MON+WED</v>
      </c>
      <c r="F439" s="8" t="str">
        <f>IFERROR(__xludf.DUMMYFUNCTION("""COMPUTED_VALUE"""),"8:00 AM")</f>
        <v>8:00 AM</v>
      </c>
      <c r="G439" s="9" t="str">
        <f>IFERROR(__xludf.DUMMYFUNCTION("""COMPUTED_VALUE"""),"09A-04C")</f>
        <v>09A-04C</v>
      </c>
      <c r="H439" s="8" t="str">
        <f>IFERROR(__xludf.DUMMYFUNCTION("""COMPUTED_VALUE"""),"ZHS,RSS")</f>
        <v>ZHS,RSS</v>
      </c>
      <c r="I439" s="8" t="str">
        <f>IFERROR(__xludf.DUMMYFUNCTION("""COMPUTED_VALUE"""),"SUN")</f>
        <v>SUN</v>
      </c>
      <c r="J439" s="8" t="str">
        <f>IFERROR(__xludf.DUMMYFUNCTION("""COMPUTED_VALUE"""),"11:00 AM")</f>
        <v>11:00 AM</v>
      </c>
      <c r="K439" s="8" t="str">
        <f>IFERROR(__xludf.DUMMYFUNCTION("""COMPUTED_VALUE"""),"09F-26L")</f>
        <v>09F-26L</v>
      </c>
      <c r="L439" s="8"/>
      <c r="M439" s="10" t="str">
        <f>IFERROR(VLOOKUP(D439,FacultyList!B:G,6,FALSE),"")</f>
        <v>nirjhor.datta@bracu.ac.bd</v>
      </c>
    </row>
    <row r="440">
      <c r="A440" s="5" t="str">
        <f>IFERROR(__xludf.DUMMYFUNCTION("""COMPUTED_VALUE"""),"CSE422-20")</f>
        <v>CSE422-20</v>
      </c>
      <c r="B440" s="8" t="str">
        <f>IFERROR(__xludf.DUMMYFUNCTION("""COMPUTED_VALUE"""),"EEE472")</f>
        <v>EEE472</v>
      </c>
      <c r="C440" s="8"/>
      <c r="D440" s="8" t="str">
        <f>IFERROR(__xludf.DUMMYFUNCTION("""COMPUTED_VALUE"""),"KKS")</f>
        <v>KKS</v>
      </c>
      <c r="E440" s="8" t="str">
        <f>IFERROR(__xludf.DUMMYFUNCTION("""COMPUTED_VALUE"""),"SAT+THU")</f>
        <v>SAT+THU</v>
      </c>
      <c r="F440" s="8" t="str">
        <f>IFERROR(__xludf.DUMMYFUNCTION("""COMPUTED_VALUE"""),"3:30 PM")</f>
        <v>3:30 PM</v>
      </c>
      <c r="G440" s="9" t="str">
        <f>IFERROR(__xludf.DUMMYFUNCTION("""COMPUTED_VALUE"""),"10B-15C")</f>
        <v>10B-15C</v>
      </c>
      <c r="H440" s="8" t="str">
        <f>IFERROR(__xludf.DUMMYFUNCTION("""COMPUTED_VALUE"""),"SHAH,YND")</f>
        <v>SHAH,YND</v>
      </c>
      <c r="I440" s="8" t="str">
        <f>IFERROR(__xludf.DUMMYFUNCTION("""COMPUTED_VALUE"""),"SUN")</f>
        <v>SUN</v>
      </c>
      <c r="J440" s="8" t="str">
        <f>IFERROR(__xludf.DUMMYFUNCTION("""COMPUTED_VALUE"""),"2:00 PM")</f>
        <v>2:00 PM</v>
      </c>
      <c r="K440" s="8" t="str">
        <f>IFERROR(__xludf.DUMMYFUNCTION("""COMPUTED_VALUE"""),"09F-26L")</f>
        <v>09F-26L</v>
      </c>
      <c r="L440" s="8"/>
      <c r="M440" s="10" t="str">
        <f>IFERROR(VLOOKUP(D440,FacultyList!B:G,6,FALSE),"")</f>
        <v>md.khaliduzzaman@bracu.ac.bd</v>
      </c>
    </row>
    <row r="441">
      <c r="A441" s="5" t="str">
        <f>IFERROR(__xludf.DUMMYFUNCTION("""COMPUTED_VALUE"""),"CSE422-21")</f>
        <v>CSE422-21</v>
      </c>
      <c r="B441" s="8" t="str">
        <f>IFERROR(__xludf.DUMMYFUNCTION("""COMPUTED_VALUE"""),"EEE472")</f>
        <v>EEE472</v>
      </c>
      <c r="C441" s="8"/>
      <c r="D441" s="8" t="str">
        <f>IFERROR(__xludf.DUMMYFUNCTION("""COMPUTED_VALUE"""),"NDT")</f>
        <v>NDT</v>
      </c>
      <c r="E441" s="8" t="str">
        <f>IFERROR(__xludf.DUMMYFUNCTION("""COMPUTED_VALUE"""),"MON+WED")</f>
        <v>MON+WED</v>
      </c>
      <c r="F441" s="8" t="str">
        <f>IFERROR(__xludf.DUMMYFUNCTION("""COMPUTED_VALUE"""),"12:30 PM")</f>
        <v>12:30 PM</v>
      </c>
      <c r="G441" s="9" t="str">
        <f>IFERROR(__xludf.DUMMYFUNCTION("""COMPUTED_VALUE"""),"09A-02C")</f>
        <v>09A-02C</v>
      </c>
      <c r="H441" s="8" t="str">
        <f>IFERROR(__xludf.DUMMYFUNCTION("""COMPUTED_VALUE"""),"AYO,SHAH")</f>
        <v>AYO,SHAH</v>
      </c>
      <c r="I441" s="8" t="str">
        <f>IFERROR(__xludf.DUMMYFUNCTION("""COMPUTED_VALUE"""),"TUE")</f>
        <v>TUE</v>
      </c>
      <c r="J441" s="8" t="str">
        <f>IFERROR(__xludf.DUMMYFUNCTION("""COMPUTED_VALUE"""),"2:00 PM")</f>
        <v>2:00 PM</v>
      </c>
      <c r="K441" s="8" t="str">
        <f>IFERROR(__xludf.DUMMYFUNCTION("""COMPUTED_VALUE"""),"09F-26L")</f>
        <v>09F-26L</v>
      </c>
      <c r="L441" s="8"/>
      <c r="M441" s="10" t="str">
        <f>IFERROR(VLOOKUP(D441,FacultyList!B:G,6,FALSE),"")</f>
        <v>nirjhor.datta@bracu.ac.bd</v>
      </c>
    </row>
    <row r="442">
      <c r="A442" s="5" t="str">
        <f>IFERROR(__xludf.DUMMYFUNCTION("""COMPUTED_VALUE"""),"CSE422-22")</f>
        <v>CSE422-22</v>
      </c>
      <c r="B442" s="8" t="str">
        <f>IFERROR(__xludf.DUMMYFUNCTION("""COMPUTED_VALUE"""),"EEE472")</f>
        <v>EEE472</v>
      </c>
      <c r="C442" s="8"/>
      <c r="D442" s="8" t="str">
        <f>IFERROR(__xludf.DUMMYFUNCTION("""COMPUTED_VALUE"""),"PSMD")</f>
        <v>PSMD</v>
      </c>
      <c r="E442" s="8" t="str">
        <f>IFERROR(__xludf.DUMMYFUNCTION("""COMPUTED_VALUE"""),"SUN+TUE")</f>
        <v>SUN+TUE</v>
      </c>
      <c r="F442" s="8" t="str">
        <f>IFERROR(__xludf.DUMMYFUNCTION("""COMPUTED_VALUE"""),"12:30 PM")</f>
        <v>12:30 PM</v>
      </c>
      <c r="G442" s="9" t="str">
        <f>IFERROR(__xludf.DUMMYFUNCTION("""COMPUTED_VALUE"""),"09B-12C")</f>
        <v>09B-12C</v>
      </c>
      <c r="H442" s="8" t="str">
        <f>IFERROR(__xludf.DUMMYFUNCTION("""COMPUTED_VALUE"""),"MHDE,AHC")</f>
        <v>MHDE,AHC</v>
      </c>
      <c r="I442" s="8" t="str">
        <f>IFERROR(__xludf.DUMMYFUNCTION("""COMPUTED_VALUE"""),"SAT")</f>
        <v>SAT</v>
      </c>
      <c r="J442" s="8" t="str">
        <f>IFERROR(__xludf.DUMMYFUNCTION("""COMPUTED_VALUE"""),"2:00 PM")</f>
        <v>2:00 PM</v>
      </c>
      <c r="K442" s="8" t="str">
        <f>IFERROR(__xludf.DUMMYFUNCTION("""COMPUTED_VALUE"""),"09F-26L")</f>
        <v>09F-26L</v>
      </c>
      <c r="L442" s="8"/>
      <c r="M442" s="10" t="str">
        <f>IFERROR(VLOOKUP(D442,FacultyList!B:G,6,FALSE),"")</f>
        <v>prothito.shovon@bracu.ac.bd</v>
      </c>
    </row>
    <row r="443">
      <c r="A443" s="5" t="str">
        <f>IFERROR(__xludf.DUMMYFUNCTION("""COMPUTED_VALUE"""),"CSE422-23")</f>
        <v>CSE422-23</v>
      </c>
      <c r="B443" s="8" t="str">
        <f>IFERROR(__xludf.DUMMYFUNCTION("""COMPUTED_VALUE"""),"EEE472")</f>
        <v>EEE472</v>
      </c>
      <c r="C443" s="8"/>
      <c r="D443" s="8" t="str">
        <f>IFERROR(__xludf.DUMMYFUNCTION("""COMPUTED_VALUE"""),"PSMD")</f>
        <v>PSMD</v>
      </c>
      <c r="E443" s="8" t="str">
        <f>IFERROR(__xludf.DUMMYFUNCTION("""COMPUTED_VALUE"""),"SUN+TUE")</f>
        <v>SUN+TUE</v>
      </c>
      <c r="F443" s="8" t="str">
        <f>IFERROR(__xludf.DUMMYFUNCTION("""COMPUTED_VALUE"""),"2:00 PM")</f>
        <v>2:00 PM</v>
      </c>
      <c r="G443" s="9" t="str">
        <f>IFERROR(__xludf.DUMMYFUNCTION("""COMPUTED_VALUE"""),"09B-12C")</f>
        <v>09B-12C</v>
      </c>
      <c r="H443" s="8" t="str">
        <f>IFERROR(__xludf.DUMMYFUNCTION("""COMPUTED_VALUE"""),"PLN,IRZ")</f>
        <v>PLN,IRZ</v>
      </c>
      <c r="I443" s="8" t="str">
        <f>IFERROR(__xludf.DUMMYFUNCTION("""COMPUTED_VALUE"""),"SAT")</f>
        <v>SAT</v>
      </c>
      <c r="J443" s="8" t="str">
        <f>IFERROR(__xludf.DUMMYFUNCTION("""COMPUTED_VALUE"""),"8:00 AM")</f>
        <v>8:00 AM</v>
      </c>
      <c r="K443" s="8" t="str">
        <f>IFERROR(__xludf.DUMMYFUNCTION("""COMPUTED_VALUE"""),"09F-27L")</f>
        <v>09F-27L</v>
      </c>
      <c r="L443" s="8"/>
      <c r="M443" s="10" t="str">
        <f>IFERROR(VLOOKUP(D443,FacultyList!B:G,6,FALSE),"")</f>
        <v>prothito.shovon@bracu.ac.bd</v>
      </c>
    </row>
    <row r="444">
      <c r="A444" s="5" t="str">
        <f>IFERROR(__xludf.DUMMYFUNCTION("""COMPUTED_VALUE"""),"CSE423-01")</f>
        <v>CSE423-01</v>
      </c>
      <c r="B444" s="8"/>
      <c r="C444" s="8"/>
      <c r="D444" s="8" t="str">
        <f>IFERROR(__xludf.DUMMYFUNCTION("""COMPUTED_VALUE"""),"TMD")</f>
        <v>TMD</v>
      </c>
      <c r="E444" s="8" t="str">
        <f>IFERROR(__xludf.DUMMYFUNCTION("""COMPUTED_VALUE"""),"SUN+TUE")</f>
        <v>SUN+TUE</v>
      </c>
      <c r="F444" s="8" t="str">
        <f>IFERROR(__xludf.DUMMYFUNCTION("""COMPUTED_VALUE"""),"11:00 AM")</f>
        <v>11:00 AM</v>
      </c>
      <c r="G444" s="9" t="str">
        <f>IFERROR(__xludf.DUMMYFUNCTION("""COMPUTED_VALUE"""),"09A-07C")</f>
        <v>09A-07C</v>
      </c>
      <c r="H444" s="8" t="str">
        <f>IFERROR(__xludf.DUMMYFUNCTION("""COMPUTED_VALUE"""),"MZFZ,CAPN")</f>
        <v>MZFZ,CAPN</v>
      </c>
      <c r="I444" s="8" t="str">
        <f>IFERROR(__xludf.DUMMYFUNCTION("""COMPUTED_VALUE"""),"SAT")</f>
        <v>SAT</v>
      </c>
      <c r="J444" s="8" t="str">
        <f>IFERROR(__xludf.DUMMYFUNCTION("""COMPUTED_VALUE"""),"11:00 AM")</f>
        <v>11:00 AM</v>
      </c>
      <c r="K444" s="8" t="str">
        <f>IFERROR(__xludf.DUMMYFUNCTION("""COMPUTED_VALUE"""),"09F-27L")</f>
        <v>09F-27L</v>
      </c>
      <c r="L444" s="8"/>
      <c r="M444" s="10" t="str">
        <f>IFERROR(VLOOKUP(D444,FacultyList!B:G,6,FALSE),"")</f>
        <v>tamkin.mahmud@bracu.ac.bd</v>
      </c>
    </row>
    <row r="445">
      <c r="A445" s="5" t="str">
        <f>IFERROR(__xludf.DUMMYFUNCTION("""COMPUTED_VALUE"""),"CSE423-02")</f>
        <v>CSE423-02</v>
      </c>
      <c r="B445" s="8"/>
      <c r="C445" s="8"/>
      <c r="D445" s="8" t="str">
        <f>IFERROR(__xludf.DUMMYFUNCTION("""COMPUTED_VALUE"""),"TMD")</f>
        <v>TMD</v>
      </c>
      <c r="E445" s="8" t="str">
        <f>IFERROR(__xludf.DUMMYFUNCTION("""COMPUTED_VALUE"""),"SUN+TUE")</f>
        <v>SUN+TUE</v>
      </c>
      <c r="F445" s="8" t="str">
        <f>IFERROR(__xludf.DUMMYFUNCTION("""COMPUTED_VALUE"""),"12:30 PM")</f>
        <v>12:30 PM</v>
      </c>
      <c r="G445" s="9" t="str">
        <f>IFERROR(__xludf.DUMMYFUNCTION("""COMPUTED_VALUE"""),"09A-07C")</f>
        <v>09A-07C</v>
      </c>
      <c r="H445" s="8" t="str">
        <f>IFERROR(__xludf.DUMMYFUNCTION("""COMPUTED_VALUE"""),"MZFZ,CAPN")</f>
        <v>MZFZ,CAPN</v>
      </c>
      <c r="I445" s="8" t="str">
        <f>IFERROR(__xludf.DUMMYFUNCTION("""COMPUTED_VALUE"""),"SAT")</f>
        <v>SAT</v>
      </c>
      <c r="J445" s="8" t="str">
        <f>IFERROR(__xludf.DUMMYFUNCTION("""COMPUTED_VALUE"""),"11:00 AM")</f>
        <v>11:00 AM</v>
      </c>
      <c r="K445" s="8" t="str">
        <f>IFERROR(__xludf.DUMMYFUNCTION("""COMPUTED_VALUE"""),"09F-27L")</f>
        <v>09F-27L</v>
      </c>
      <c r="L445" s="8"/>
      <c r="M445" s="10" t="str">
        <f>IFERROR(VLOOKUP(D445,FacultyList!B:G,6,FALSE),"")</f>
        <v>tamkin.mahmud@bracu.ac.bd</v>
      </c>
    </row>
    <row r="446">
      <c r="A446" s="5" t="str">
        <f>IFERROR(__xludf.DUMMYFUNCTION("""COMPUTED_VALUE"""),"CSE423-03")</f>
        <v>CSE423-03</v>
      </c>
      <c r="B446" s="8"/>
      <c r="C446" s="8"/>
      <c r="D446" s="8" t="str">
        <f>IFERROR(__xludf.DUMMYFUNCTION("""COMPUTED_VALUE"""),"TMD")</f>
        <v>TMD</v>
      </c>
      <c r="E446" s="8" t="str">
        <f>IFERROR(__xludf.DUMMYFUNCTION("""COMPUTED_VALUE"""),"MON+WED")</f>
        <v>MON+WED</v>
      </c>
      <c r="F446" s="8" t="str">
        <f>IFERROR(__xludf.DUMMYFUNCTION("""COMPUTED_VALUE"""),"2:00 PM")</f>
        <v>2:00 PM</v>
      </c>
      <c r="G446" s="9" t="str">
        <f>IFERROR(__xludf.DUMMYFUNCTION("""COMPUTED_VALUE"""),"09A-02C")</f>
        <v>09A-02C</v>
      </c>
      <c r="H446" s="8" t="str">
        <f>IFERROR(__xludf.DUMMYFUNCTION("""COMPUTED_VALUE"""),"SRU,SMUR")</f>
        <v>SRU,SMUR</v>
      </c>
      <c r="I446" s="8" t="str">
        <f>IFERROR(__xludf.DUMMYFUNCTION("""COMPUTED_VALUE"""),"TUE")</f>
        <v>TUE</v>
      </c>
      <c r="J446" s="8" t="str">
        <f>IFERROR(__xludf.DUMMYFUNCTION("""COMPUTED_VALUE"""),"11:00 AM")</f>
        <v>11:00 AM</v>
      </c>
      <c r="K446" s="8" t="str">
        <f>IFERROR(__xludf.DUMMYFUNCTION("""COMPUTED_VALUE"""),"09E-22L")</f>
        <v>09E-22L</v>
      </c>
      <c r="L446" s="8"/>
      <c r="M446" s="10" t="str">
        <f>IFERROR(VLOOKUP(D446,FacultyList!B:G,6,FALSE),"")</f>
        <v>tamkin.mahmud@bracu.ac.bd</v>
      </c>
    </row>
    <row r="447">
      <c r="A447" s="5" t="str">
        <f>IFERROR(__xludf.DUMMYFUNCTION("""COMPUTED_VALUE"""),"CSE423-04")</f>
        <v>CSE423-04</v>
      </c>
      <c r="B447" s="8"/>
      <c r="C447" s="8"/>
      <c r="D447" s="8" t="str">
        <f>IFERROR(__xludf.DUMMYFUNCTION("""COMPUTED_VALUE"""),"TMD")</f>
        <v>TMD</v>
      </c>
      <c r="E447" s="8" t="str">
        <f>IFERROR(__xludf.DUMMYFUNCTION("""COMPUTED_VALUE"""),"MON+WED")</f>
        <v>MON+WED</v>
      </c>
      <c r="F447" s="8" t="str">
        <f>IFERROR(__xludf.DUMMYFUNCTION("""COMPUTED_VALUE"""),"3:30 PM")</f>
        <v>3:30 PM</v>
      </c>
      <c r="G447" s="9" t="str">
        <f>IFERROR(__xludf.DUMMYFUNCTION("""COMPUTED_VALUE"""),"09A-02C")</f>
        <v>09A-02C</v>
      </c>
      <c r="H447" s="8" t="str">
        <f>IFERROR(__xludf.DUMMYFUNCTION("""COMPUTED_VALUE"""),"SRU,SMUR")</f>
        <v>SRU,SMUR</v>
      </c>
      <c r="I447" s="8" t="str">
        <f>IFERROR(__xludf.DUMMYFUNCTION("""COMPUTED_VALUE"""),"TUE")</f>
        <v>TUE</v>
      </c>
      <c r="J447" s="8" t="str">
        <f>IFERROR(__xludf.DUMMYFUNCTION("""COMPUTED_VALUE"""),"11:00 AM")</f>
        <v>11:00 AM</v>
      </c>
      <c r="K447" s="8" t="str">
        <f>IFERROR(__xludf.DUMMYFUNCTION("""COMPUTED_VALUE"""),"09E-22L")</f>
        <v>09E-22L</v>
      </c>
      <c r="L447" s="8"/>
      <c r="M447" s="10" t="str">
        <f>IFERROR(VLOOKUP(D447,FacultyList!B:G,6,FALSE),"")</f>
        <v>tamkin.mahmud@bracu.ac.bd</v>
      </c>
    </row>
    <row r="448">
      <c r="A448" s="5" t="str">
        <f>IFERROR(__xludf.DUMMYFUNCTION("""COMPUTED_VALUE"""),"CSE423-05")</f>
        <v>CSE423-05</v>
      </c>
      <c r="B448" s="8"/>
      <c r="C448" s="8"/>
      <c r="D448" s="8" t="str">
        <f>IFERROR(__xludf.DUMMYFUNCTION("""COMPUTED_VALUE"""),"AJA")</f>
        <v>AJA</v>
      </c>
      <c r="E448" s="8" t="str">
        <f>IFERROR(__xludf.DUMMYFUNCTION("""COMPUTED_VALUE"""),"SUN+TUE")</f>
        <v>SUN+TUE</v>
      </c>
      <c r="F448" s="8" t="str">
        <f>IFERROR(__xludf.DUMMYFUNCTION("""COMPUTED_VALUE"""),"11:00 AM")</f>
        <v>11:00 AM</v>
      </c>
      <c r="G448" s="9" t="str">
        <f>IFERROR(__xludf.DUMMYFUNCTION("""COMPUTED_VALUE"""),"07H-27C")</f>
        <v>07H-27C</v>
      </c>
      <c r="H448" s="8" t="str">
        <f>IFERROR(__xludf.DUMMYFUNCTION("""COMPUTED_VALUE"""),"MZFZ,NMP")</f>
        <v>MZFZ,NMP</v>
      </c>
      <c r="I448" s="8" t="str">
        <f>IFERROR(__xludf.DUMMYFUNCTION("""COMPUTED_VALUE"""),"SAT")</f>
        <v>SAT</v>
      </c>
      <c r="J448" s="8" t="str">
        <f>IFERROR(__xludf.DUMMYFUNCTION("""COMPUTED_VALUE"""),"2:00 PM")</f>
        <v>2:00 PM</v>
      </c>
      <c r="K448" s="8" t="str">
        <f>IFERROR(__xludf.DUMMYFUNCTION("""COMPUTED_VALUE"""),"09F-27L")</f>
        <v>09F-27L</v>
      </c>
      <c r="L448" s="8"/>
      <c r="M448" s="10" t="str">
        <f>IFERROR(VLOOKUP(D448,FacultyList!B:G,6,FALSE),"")</f>
        <v>abid.jahan@bracu.ac.bd</v>
      </c>
    </row>
    <row r="449">
      <c r="A449" s="5" t="str">
        <f>IFERROR(__xludf.DUMMYFUNCTION("""COMPUTED_VALUE"""),"CSE423-06")</f>
        <v>CSE423-06</v>
      </c>
      <c r="B449" s="8"/>
      <c r="C449" s="8"/>
      <c r="D449" s="8" t="str">
        <f>IFERROR(__xludf.DUMMYFUNCTION("""COMPUTED_VALUE"""),"AJA")</f>
        <v>AJA</v>
      </c>
      <c r="E449" s="8" t="str">
        <f>IFERROR(__xludf.DUMMYFUNCTION("""COMPUTED_VALUE"""),"SUN+TUE")</f>
        <v>SUN+TUE</v>
      </c>
      <c r="F449" s="8" t="str">
        <f>IFERROR(__xludf.DUMMYFUNCTION("""COMPUTED_VALUE"""),"12:30 PM")</f>
        <v>12:30 PM</v>
      </c>
      <c r="G449" s="9" t="str">
        <f>IFERROR(__xludf.DUMMYFUNCTION("""COMPUTED_VALUE"""),"07H-27C")</f>
        <v>07H-27C</v>
      </c>
      <c r="H449" s="8" t="str">
        <f>IFERROR(__xludf.DUMMYFUNCTION("""COMPUTED_VALUE"""),"MZFZ,NMP")</f>
        <v>MZFZ,NMP</v>
      </c>
      <c r="I449" s="8" t="str">
        <f>IFERROR(__xludf.DUMMYFUNCTION("""COMPUTED_VALUE"""),"SAT")</f>
        <v>SAT</v>
      </c>
      <c r="J449" s="8" t="str">
        <f>IFERROR(__xludf.DUMMYFUNCTION("""COMPUTED_VALUE"""),"2:00 PM")</f>
        <v>2:00 PM</v>
      </c>
      <c r="K449" s="8" t="str">
        <f>IFERROR(__xludf.DUMMYFUNCTION("""COMPUTED_VALUE"""),"09F-27L")</f>
        <v>09F-27L</v>
      </c>
      <c r="L449" s="8"/>
      <c r="M449" s="10" t="str">
        <f>IFERROR(VLOOKUP(D449,FacultyList!B:G,6,FALSE),"")</f>
        <v>abid.jahan@bracu.ac.bd</v>
      </c>
    </row>
    <row r="450">
      <c r="A450" s="5" t="str">
        <f>IFERROR(__xludf.DUMMYFUNCTION("""COMPUTED_VALUE"""),"CSE423-07")</f>
        <v>CSE423-07</v>
      </c>
      <c r="B450" s="8"/>
      <c r="C450" s="8"/>
      <c r="D450" s="8" t="str">
        <f>IFERROR(__xludf.DUMMYFUNCTION("""COMPUTED_VALUE"""),"AJA")</f>
        <v>AJA</v>
      </c>
      <c r="E450" s="8" t="str">
        <f>IFERROR(__xludf.DUMMYFUNCTION("""COMPUTED_VALUE"""),"MON+WED")</f>
        <v>MON+WED</v>
      </c>
      <c r="F450" s="8" t="str">
        <f>IFERROR(__xludf.DUMMYFUNCTION("""COMPUTED_VALUE"""),"12:30 PM")</f>
        <v>12:30 PM</v>
      </c>
      <c r="G450" s="9" t="str">
        <f>IFERROR(__xludf.DUMMYFUNCTION("""COMPUTED_VALUE"""),"09H-35C")</f>
        <v>09H-35C</v>
      </c>
      <c r="H450" s="8" t="str">
        <f>IFERROR(__xludf.DUMMYFUNCTION("""COMPUTED_VALUE"""),"AJA,CAPN")</f>
        <v>AJA,CAPN</v>
      </c>
      <c r="I450" s="8" t="str">
        <f>IFERROR(__xludf.DUMMYFUNCTION("""COMPUTED_VALUE"""),"TUE")</f>
        <v>TUE</v>
      </c>
      <c r="J450" s="8" t="str">
        <f>IFERROR(__xludf.DUMMYFUNCTION("""COMPUTED_VALUE"""),"2:00 PM")</f>
        <v>2:00 PM</v>
      </c>
      <c r="K450" s="8" t="str">
        <f>IFERROR(__xludf.DUMMYFUNCTION("""COMPUTED_VALUE"""),"09F-24L")</f>
        <v>09F-24L</v>
      </c>
      <c r="L450" s="8"/>
      <c r="M450" s="10" t="str">
        <f>IFERROR(VLOOKUP(D450,FacultyList!B:G,6,FALSE),"")</f>
        <v>abid.jahan@bracu.ac.bd</v>
      </c>
    </row>
    <row r="451">
      <c r="A451" s="5" t="str">
        <f>IFERROR(__xludf.DUMMYFUNCTION("""COMPUTED_VALUE"""),"CSE423-08")</f>
        <v>CSE423-08</v>
      </c>
      <c r="B451" s="8"/>
      <c r="C451" s="8"/>
      <c r="D451" s="8" t="str">
        <f>IFERROR(__xludf.DUMMYFUNCTION("""COMPUTED_VALUE"""),"SRU")</f>
        <v>SRU</v>
      </c>
      <c r="E451" s="8" t="str">
        <f>IFERROR(__xludf.DUMMYFUNCTION("""COMPUTED_VALUE"""),"SUN+TUE")</f>
        <v>SUN+TUE</v>
      </c>
      <c r="F451" s="8" t="str">
        <f>IFERROR(__xludf.DUMMYFUNCTION("""COMPUTED_VALUE"""),"2:00 PM")</f>
        <v>2:00 PM</v>
      </c>
      <c r="G451" s="9" t="str">
        <f>IFERROR(__xludf.DUMMYFUNCTION("""COMPUTED_VALUE"""),"10A-04C")</f>
        <v>10A-04C</v>
      </c>
      <c r="H451" s="8" t="str">
        <f>IFERROR(__xludf.DUMMYFUNCTION("""COMPUTED_VALUE"""),"SMUR,SKIB")</f>
        <v>SMUR,SKIB</v>
      </c>
      <c r="I451" s="8" t="str">
        <f>IFERROR(__xludf.DUMMYFUNCTION("""COMPUTED_VALUE"""),"MON")</f>
        <v>MON</v>
      </c>
      <c r="J451" s="8" t="str">
        <f>IFERROR(__xludf.DUMMYFUNCTION("""COMPUTED_VALUE"""),"8:00 AM")</f>
        <v>8:00 AM</v>
      </c>
      <c r="K451" s="8" t="str">
        <f>IFERROR(__xludf.DUMMYFUNCTION("""COMPUTED_VALUE"""),"09E-22L")</f>
        <v>09E-22L</v>
      </c>
      <c r="L451" s="8"/>
      <c r="M451" s="10" t="str">
        <f>IFERROR(VLOOKUP(D451,FacultyList!B:G,6,FALSE),"")</f>
        <v>shakir.rouf@bracu.ac.bd</v>
      </c>
    </row>
    <row r="452">
      <c r="A452" s="5" t="str">
        <f>IFERROR(__xludf.DUMMYFUNCTION("""COMPUTED_VALUE"""),"CSE423-09")</f>
        <v>CSE423-09</v>
      </c>
      <c r="B452" s="8"/>
      <c r="C452" s="8"/>
      <c r="D452" s="8" t="str">
        <f>IFERROR(__xludf.DUMMYFUNCTION("""COMPUTED_VALUE"""),"SRU")</f>
        <v>SRU</v>
      </c>
      <c r="E452" s="8" t="str">
        <f>IFERROR(__xludf.DUMMYFUNCTION("""COMPUTED_VALUE"""),"SUN+TUE")</f>
        <v>SUN+TUE</v>
      </c>
      <c r="F452" s="8" t="str">
        <f>IFERROR(__xludf.DUMMYFUNCTION("""COMPUTED_VALUE"""),"3:30 PM")</f>
        <v>3:30 PM</v>
      </c>
      <c r="G452" s="9" t="str">
        <f>IFERROR(__xludf.DUMMYFUNCTION("""COMPUTED_VALUE"""),"10A-04C")</f>
        <v>10A-04C</v>
      </c>
      <c r="H452" s="8" t="str">
        <f>IFERROR(__xludf.DUMMYFUNCTION("""COMPUTED_VALUE"""),"SMUR,SKIB")</f>
        <v>SMUR,SKIB</v>
      </c>
      <c r="I452" s="8" t="str">
        <f>IFERROR(__xludf.DUMMYFUNCTION("""COMPUTED_VALUE"""),"MON")</f>
        <v>MON</v>
      </c>
      <c r="J452" s="8" t="str">
        <f>IFERROR(__xludf.DUMMYFUNCTION("""COMPUTED_VALUE"""),"8:00 AM")</f>
        <v>8:00 AM</v>
      </c>
      <c r="K452" s="8" t="str">
        <f>IFERROR(__xludf.DUMMYFUNCTION("""COMPUTED_VALUE"""),"09E-22L")</f>
        <v>09E-22L</v>
      </c>
      <c r="L452" s="8"/>
      <c r="M452" s="10" t="str">
        <f>IFERROR(VLOOKUP(D452,FacultyList!B:G,6,FALSE),"")</f>
        <v>shakir.rouf@bracu.ac.bd</v>
      </c>
    </row>
    <row r="453">
      <c r="A453" s="5" t="str">
        <f>IFERROR(__xludf.DUMMYFUNCTION("""COMPUTED_VALUE"""),"CSE423-10")</f>
        <v>CSE423-10</v>
      </c>
      <c r="B453" s="8"/>
      <c r="C453" s="8"/>
      <c r="D453" s="8" t="str">
        <f>IFERROR(__xludf.DUMMYFUNCTION("""COMPUTED_VALUE"""),"SRU")</f>
        <v>SRU</v>
      </c>
      <c r="E453" s="8" t="str">
        <f>IFERROR(__xludf.DUMMYFUNCTION("""COMPUTED_VALUE"""),"MON+WED")</f>
        <v>MON+WED</v>
      </c>
      <c r="F453" s="8" t="str">
        <f>IFERROR(__xludf.DUMMYFUNCTION("""COMPUTED_VALUE"""),"11:00 AM")</f>
        <v>11:00 AM</v>
      </c>
      <c r="G453" s="9" t="str">
        <f>IFERROR(__xludf.DUMMYFUNCTION("""COMPUTED_VALUE"""),"09C-13C")</f>
        <v>09C-13C</v>
      </c>
      <c r="H453" s="8" t="str">
        <f>IFERROR(__xludf.DUMMYFUNCTION("""COMPUTED_VALUE"""),"AJA,CAPN")</f>
        <v>AJA,CAPN</v>
      </c>
      <c r="I453" s="8" t="str">
        <f>IFERROR(__xludf.DUMMYFUNCTION("""COMPUTED_VALUE"""),"TUE")</f>
        <v>TUE</v>
      </c>
      <c r="J453" s="8" t="str">
        <f>IFERROR(__xludf.DUMMYFUNCTION("""COMPUTED_VALUE"""),"2:00 PM")</f>
        <v>2:00 PM</v>
      </c>
      <c r="K453" s="8" t="str">
        <f>IFERROR(__xludf.DUMMYFUNCTION("""COMPUTED_VALUE"""),"09F-24L")</f>
        <v>09F-24L</v>
      </c>
      <c r="L453" s="8"/>
      <c r="M453" s="10" t="str">
        <f>IFERROR(VLOOKUP(D453,FacultyList!B:G,6,FALSE),"")</f>
        <v>shakir.rouf@bracu.ac.bd</v>
      </c>
    </row>
    <row r="454">
      <c r="A454" s="5" t="str">
        <f>IFERROR(__xludf.DUMMYFUNCTION("""COMPUTED_VALUE"""),"CSE423-11")</f>
        <v>CSE423-11</v>
      </c>
      <c r="B454" s="8"/>
      <c r="C454" s="8"/>
      <c r="D454" s="8" t="str">
        <f>IFERROR(__xludf.DUMMYFUNCTION("""COMPUTED_VALUE"""),"ZLNM")</f>
        <v>ZLNM</v>
      </c>
      <c r="E454" s="8" t="str">
        <f>IFERROR(__xludf.DUMMYFUNCTION("""COMPUTED_VALUE"""),"MON+WED")</f>
        <v>MON+WED</v>
      </c>
      <c r="F454" s="8" t="str">
        <f>IFERROR(__xludf.DUMMYFUNCTION("""COMPUTED_VALUE"""),"9:30 AM")</f>
        <v>9:30 AM</v>
      </c>
      <c r="G454" s="9" t="str">
        <f>IFERROR(__xludf.DUMMYFUNCTION("""COMPUTED_VALUE"""),"09A-04C")</f>
        <v>09A-04C</v>
      </c>
      <c r="H454" s="8" t="str">
        <f>IFERROR(__xludf.DUMMYFUNCTION("""COMPUTED_VALUE"""),"NMP,ANT")</f>
        <v>NMP,ANT</v>
      </c>
      <c r="I454" s="8" t="str">
        <f>IFERROR(__xludf.DUMMYFUNCTION("""COMPUTED_VALUE"""),"SUN")</f>
        <v>SUN</v>
      </c>
      <c r="J454" s="8" t="str">
        <f>IFERROR(__xludf.DUMMYFUNCTION("""COMPUTED_VALUE"""),"2:00 PM")</f>
        <v>2:00 PM</v>
      </c>
      <c r="K454" s="8" t="str">
        <f>IFERROR(__xludf.DUMMYFUNCTION("""COMPUTED_VALUE"""),"09F-25L")</f>
        <v>09F-25L</v>
      </c>
      <c r="L454" s="8"/>
      <c r="M454" s="10" t="str">
        <f>IFERROR(VLOOKUP(D454,FacultyList!B:G,6,FALSE),"")</f>
        <v>zulkar.naim@bracu.ac.bd</v>
      </c>
    </row>
    <row r="455">
      <c r="A455" s="5" t="str">
        <f>IFERROR(__xludf.DUMMYFUNCTION("""COMPUTED_VALUE"""),"CSE423-12")</f>
        <v>CSE423-12</v>
      </c>
      <c r="B455" s="8"/>
      <c r="C455" s="8"/>
      <c r="D455" s="8" t="str">
        <f>IFERROR(__xludf.DUMMYFUNCTION("""COMPUTED_VALUE"""),"ZLNM")</f>
        <v>ZLNM</v>
      </c>
      <c r="E455" s="8" t="str">
        <f>IFERROR(__xludf.DUMMYFUNCTION("""COMPUTED_VALUE"""),"MON+WED")</f>
        <v>MON+WED</v>
      </c>
      <c r="F455" s="8" t="str">
        <f>IFERROR(__xludf.DUMMYFUNCTION("""COMPUTED_VALUE"""),"11:00 AM")</f>
        <v>11:00 AM</v>
      </c>
      <c r="G455" s="9" t="str">
        <f>IFERROR(__xludf.DUMMYFUNCTION("""COMPUTED_VALUE"""),"09A-04C")</f>
        <v>09A-04C</v>
      </c>
      <c r="H455" s="8" t="str">
        <f>IFERROR(__xludf.DUMMYFUNCTION("""COMPUTED_VALUE"""),"NMP,ANT")</f>
        <v>NMP,ANT</v>
      </c>
      <c r="I455" s="8" t="str">
        <f>IFERROR(__xludf.DUMMYFUNCTION("""COMPUTED_VALUE"""),"SUN")</f>
        <v>SUN</v>
      </c>
      <c r="J455" s="8" t="str">
        <f>IFERROR(__xludf.DUMMYFUNCTION("""COMPUTED_VALUE"""),"2:00 PM")</f>
        <v>2:00 PM</v>
      </c>
      <c r="K455" s="8" t="str">
        <f>IFERROR(__xludf.DUMMYFUNCTION("""COMPUTED_VALUE"""),"09F-25L")</f>
        <v>09F-25L</v>
      </c>
      <c r="L455" s="8"/>
      <c r="M455" s="10" t="str">
        <f>IFERROR(VLOOKUP(D455,FacultyList!B:G,6,FALSE),"")</f>
        <v>zulkar.naim@bracu.ac.bd</v>
      </c>
    </row>
    <row r="456">
      <c r="A456" s="5" t="str">
        <f>IFERROR(__xludf.DUMMYFUNCTION("""COMPUTED_VALUE"""),"CSE423-13")</f>
        <v>CSE423-13</v>
      </c>
      <c r="B456" s="8"/>
      <c r="C456" s="8"/>
      <c r="D456" s="8" t="str">
        <f>IFERROR(__xludf.DUMMYFUNCTION("""COMPUTED_VALUE"""),"SOSB")</f>
        <v>SOSB</v>
      </c>
      <c r="E456" s="8" t="str">
        <f>IFERROR(__xludf.DUMMYFUNCTION("""COMPUTED_VALUE"""),"SUN+TUE")</f>
        <v>SUN+TUE</v>
      </c>
      <c r="F456" s="8" t="str">
        <f>IFERROR(__xludf.DUMMYFUNCTION("""COMPUTED_VALUE"""),"2:00 PM")</f>
        <v>2:00 PM</v>
      </c>
      <c r="G456" s="9" t="str">
        <f>IFERROR(__xludf.DUMMYFUNCTION("""COMPUTED_VALUE"""),"09A-03C")</f>
        <v>09A-03C</v>
      </c>
      <c r="H456" s="8" t="str">
        <f>IFERROR(__xludf.DUMMYFUNCTION("""COMPUTED_VALUE"""),"SRU,SOSB")</f>
        <v>SRU,SOSB</v>
      </c>
      <c r="I456" s="8" t="str">
        <f>IFERROR(__xludf.DUMMYFUNCTION("""COMPUTED_VALUE"""),"MON")</f>
        <v>MON</v>
      </c>
      <c r="J456" s="8" t="str">
        <f>IFERROR(__xludf.DUMMYFUNCTION("""COMPUTED_VALUE"""),"2:00 PM")</f>
        <v>2:00 PM</v>
      </c>
      <c r="K456" s="8" t="str">
        <f>IFERROR(__xludf.DUMMYFUNCTION("""COMPUTED_VALUE"""),"09E-22L")</f>
        <v>09E-22L</v>
      </c>
      <c r="L456" s="8"/>
      <c r="M456" s="10" t="str">
        <f>IFERROR(VLOOKUP(D456,FacultyList!B:G,6,FALSE),"")</f>
        <v>soumya.swagata@bracu.ac.bd</v>
      </c>
    </row>
    <row r="457">
      <c r="A457" s="5" t="str">
        <f>IFERROR(__xludf.DUMMYFUNCTION("""COMPUTED_VALUE"""),"CSE423-14")</f>
        <v>CSE423-14</v>
      </c>
      <c r="B457" s="8"/>
      <c r="C457" s="8"/>
      <c r="D457" s="8" t="str">
        <f>IFERROR(__xludf.DUMMYFUNCTION("""COMPUTED_VALUE"""),"SOSB")</f>
        <v>SOSB</v>
      </c>
      <c r="E457" s="8" t="str">
        <f>IFERROR(__xludf.DUMMYFUNCTION("""COMPUTED_VALUE"""),"SUN+TUE")</f>
        <v>SUN+TUE</v>
      </c>
      <c r="F457" s="8" t="str">
        <f>IFERROR(__xludf.DUMMYFUNCTION("""COMPUTED_VALUE"""),"3:30 PM")</f>
        <v>3:30 PM</v>
      </c>
      <c r="G457" s="9" t="str">
        <f>IFERROR(__xludf.DUMMYFUNCTION("""COMPUTED_VALUE"""),"09A-03C")</f>
        <v>09A-03C</v>
      </c>
      <c r="H457" s="8" t="str">
        <f>IFERROR(__xludf.DUMMYFUNCTION("""COMPUTED_VALUE"""),"SRU,SOSB")</f>
        <v>SRU,SOSB</v>
      </c>
      <c r="I457" s="8" t="str">
        <f>IFERROR(__xludf.DUMMYFUNCTION("""COMPUTED_VALUE"""),"MON")</f>
        <v>MON</v>
      </c>
      <c r="J457" s="8" t="str">
        <f>IFERROR(__xludf.DUMMYFUNCTION("""COMPUTED_VALUE"""),"2:00 PM")</f>
        <v>2:00 PM</v>
      </c>
      <c r="K457" s="8" t="str">
        <f>IFERROR(__xludf.DUMMYFUNCTION("""COMPUTED_VALUE"""),"09E-22L")</f>
        <v>09E-22L</v>
      </c>
      <c r="L457" s="8"/>
      <c r="M457" s="10" t="str">
        <f>IFERROR(VLOOKUP(D457,FacultyList!B:G,6,FALSE),"")</f>
        <v>soumya.swagata@bracu.ac.bd</v>
      </c>
    </row>
    <row r="458">
      <c r="A458" s="5" t="str">
        <f>IFERROR(__xludf.DUMMYFUNCTION("""COMPUTED_VALUE"""),"CSE423-15")</f>
        <v>CSE423-15</v>
      </c>
      <c r="B458" s="8"/>
      <c r="C458" s="8"/>
      <c r="D458" s="8" t="str">
        <f>IFERROR(__xludf.DUMMYFUNCTION("""COMPUTED_VALUE"""),"MRIA")</f>
        <v>MRIA</v>
      </c>
      <c r="E458" s="8" t="str">
        <f>IFERROR(__xludf.DUMMYFUNCTION("""COMPUTED_VALUE"""),"SAT+THU")</f>
        <v>SAT+THU</v>
      </c>
      <c r="F458" s="8" t="str">
        <f>IFERROR(__xludf.DUMMYFUNCTION("""COMPUTED_VALUE"""),"3:30 PM")</f>
        <v>3:30 PM</v>
      </c>
      <c r="G458" s="9" t="str">
        <f>IFERROR(__xludf.DUMMYFUNCTION("""COMPUTED_VALUE"""),"07H-27C")</f>
        <v>07H-27C</v>
      </c>
      <c r="H458" s="8" t="str">
        <f>IFERROR(__xludf.DUMMYFUNCTION("""COMPUTED_VALUE"""),"MHM,ANKH")</f>
        <v>MHM,ANKH</v>
      </c>
      <c r="I458" s="8" t="str">
        <f>IFERROR(__xludf.DUMMYFUNCTION("""COMPUTED_VALUE"""),"WED")</f>
        <v>WED</v>
      </c>
      <c r="J458" s="8" t="str">
        <f>IFERROR(__xludf.DUMMYFUNCTION("""COMPUTED_VALUE"""),"8:00 AM")</f>
        <v>8:00 AM</v>
      </c>
      <c r="K458" s="8" t="str">
        <f>IFERROR(__xludf.DUMMYFUNCTION("""COMPUTED_VALUE"""),"10E-27L")</f>
        <v>10E-27L</v>
      </c>
      <c r="L458" s="8"/>
      <c r="M458" s="10" t="str">
        <f>IFERROR(VLOOKUP(D458,FacultyList!B:G,6,FALSE),"")</f>
        <v>maria.muna@bracu.ac.bd</v>
      </c>
    </row>
    <row r="459">
      <c r="A459" s="5" t="str">
        <f>IFERROR(__xludf.DUMMYFUNCTION("""COMPUTED_VALUE"""),"CSE423-16")</f>
        <v>CSE423-16</v>
      </c>
      <c r="B459" s="8"/>
      <c r="C459" s="8"/>
      <c r="D459" s="8" t="str">
        <f>IFERROR(__xludf.DUMMYFUNCTION("""COMPUTED_VALUE"""),"MAHS")</f>
        <v>MAHS</v>
      </c>
      <c r="E459" s="8" t="str">
        <f>IFERROR(__xludf.DUMMYFUNCTION("""COMPUTED_VALUE"""),"SAT+THU")</f>
        <v>SAT+THU</v>
      </c>
      <c r="F459" s="8" t="str">
        <f>IFERROR(__xludf.DUMMYFUNCTION("""COMPUTED_VALUE"""),"3:30 PM")</f>
        <v>3:30 PM</v>
      </c>
      <c r="G459" s="9" t="str">
        <f>IFERROR(__xludf.DUMMYFUNCTION("""COMPUTED_VALUE"""),"09A-07C")</f>
        <v>09A-07C</v>
      </c>
      <c r="H459" s="8" t="str">
        <f>IFERROR(__xludf.DUMMYFUNCTION("""COMPUTED_VALUE"""),"MHM,ANKH")</f>
        <v>MHM,ANKH</v>
      </c>
      <c r="I459" s="8" t="str">
        <f>IFERROR(__xludf.DUMMYFUNCTION("""COMPUTED_VALUE"""),"WED")</f>
        <v>WED</v>
      </c>
      <c r="J459" s="8" t="str">
        <f>IFERROR(__xludf.DUMMYFUNCTION("""COMPUTED_VALUE"""),"8:00 AM")</f>
        <v>8:00 AM</v>
      </c>
      <c r="K459" s="8" t="str">
        <f>IFERROR(__xludf.DUMMYFUNCTION("""COMPUTED_VALUE"""),"10E-27L")</f>
        <v>10E-27L</v>
      </c>
      <c r="L459" s="8"/>
      <c r="M459" s="10" t="str">
        <f>IFERROR(VLOOKUP(D459,FacultyList!B:G,6,FALSE),"")</f>
        <v>arif.hasan@bracu.ac.bd</v>
      </c>
    </row>
    <row r="460">
      <c r="A460" s="5" t="str">
        <f>IFERROR(__xludf.DUMMYFUNCTION("""COMPUTED_VALUE"""),"CSE423-17")</f>
        <v>CSE423-17</v>
      </c>
      <c r="B460" s="8"/>
      <c r="C460" s="8"/>
      <c r="D460" s="8" t="str">
        <f>IFERROR(__xludf.DUMMYFUNCTION("""COMPUTED_VALUE"""),"ASAK")</f>
        <v>ASAK</v>
      </c>
      <c r="E460" s="8" t="str">
        <f>IFERROR(__xludf.DUMMYFUNCTION("""COMPUTED_VALUE"""),"SAT+THU")</f>
        <v>SAT+THU</v>
      </c>
      <c r="F460" s="8" t="str">
        <f>IFERROR(__xludf.DUMMYFUNCTION("""COMPUTED_VALUE"""),"11:00 AM")</f>
        <v>11:00 AM</v>
      </c>
      <c r="G460" s="9" t="str">
        <f>IFERROR(__xludf.DUMMYFUNCTION("""COMPUTED_VALUE"""),"09B-12C")</f>
        <v>09B-12C</v>
      </c>
      <c r="H460" s="8" t="str">
        <f>IFERROR(__xludf.DUMMYFUNCTION("""COMPUTED_VALUE"""),"MAHS,NMP")</f>
        <v>MAHS,NMP</v>
      </c>
      <c r="I460" s="8" t="str">
        <f>IFERROR(__xludf.DUMMYFUNCTION("""COMPUTED_VALUE"""),"WED")</f>
        <v>WED</v>
      </c>
      <c r="J460" s="8" t="str">
        <f>IFERROR(__xludf.DUMMYFUNCTION("""COMPUTED_VALUE"""),"2:00 PM")</f>
        <v>2:00 PM</v>
      </c>
      <c r="K460" s="8" t="str">
        <f>IFERROR(__xludf.DUMMYFUNCTION("""COMPUTED_VALUE"""),"12F-31L")</f>
        <v>12F-31L</v>
      </c>
      <c r="L460" s="8"/>
      <c r="M460" s="10" t="str">
        <f>IFERROR(VLOOKUP(D460,FacultyList!B:G,6,FALSE),"")</f>
        <v>arnob.ankon@bracu.ac.bd</v>
      </c>
    </row>
    <row r="461">
      <c r="A461" s="5" t="str">
        <f>IFERROR(__xludf.DUMMYFUNCTION("""COMPUTED_VALUE"""),"CSE423-18")</f>
        <v>CSE423-18</v>
      </c>
      <c r="B461" s="8"/>
      <c r="C461" s="8"/>
      <c r="D461" s="8" t="str">
        <f>IFERROR(__xludf.DUMMYFUNCTION("""COMPUTED_VALUE"""),"SKIB")</f>
        <v>SKIB</v>
      </c>
      <c r="E461" s="8" t="str">
        <f>IFERROR(__xludf.DUMMYFUNCTION("""COMPUTED_VALUE"""),"SAT+THU")</f>
        <v>SAT+THU</v>
      </c>
      <c r="F461" s="8" t="str">
        <f>IFERROR(__xludf.DUMMYFUNCTION("""COMPUTED_VALUE"""),"2:00 PM")</f>
        <v>2:00 PM</v>
      </c>
      <c r="G461" s="9" t="str">
        <f>IFERROR(__xludf.DUMMYFUNCTION("""COMPUTED_VALUE"""),"09A-02C")</f>
        <v>09A-02C</v>
      </c>
      <c r="H461" s="8" t="str">
        <f>IFERROR(__xludf.DUMMYFUNCTION("""COMPUTED_VALUE"""),"MAHS,NMP")</f>
        <v>MAHS,NMP</v>
      </c>
      <c r="I461" s="8" t="str">
        <f>IFERROR(__xludf.DUMMYFUNCTION("""COMPUTED_VALUE"""),"WED")</f>
        <v>WED</v>
      </c>
      <c r="J461" s="8" t="str">
        <f>IFERROR(__xludf.DUMMYFUNCTION("""COMPUTED_VALUE"""),"2:00 PM")</f>
        <v>2:00 PM</v>
      </c>
      <c r="K461" s="8" t="str">
        <f>IFERROR(__xludf.DUMMYFUNCTION("""COMPUTED_VALUE"""),"12F-31L")</f>
        <v>12F-31L</v>
      </c>
      <c r="L461" s="8"/>
      <c r="M461" s="10" t="str">
        <f>IFERROR(VLOOKUP(D461,FacultyList!B:G,6,FALSE),"")</f>
        <v>nazmus.sakib@bracu.ac.bd</v>
      </c>
    </row>
    <row r="462">
      <c r="A462" s="5" t="str">
        <f>IFERROR(__xludf.DUMMYFUNCTION("""COMPUTED_VALUE"""),"CSE423-19")</f>
        <v>CSE423-19</v>
      </c>
      <c r="B462" s="8"/>
      <c r="C462" s="8"/>
      <c r="D462" s="8" t="str">
        <f>IFERROR(__xludf.DUMMYFUNCTION("""COMPUTED_VALUE"""),"ASRF")</f>
        <v>ASRF</v>
      </c>
      <c r="E462" s="8" t="str">
        <f>IFERROR(__xludf.DUMMYFUNCTION("""COMPUTED_VALUE"""),"SAT+THU")</f>
        <v>SAT+THU</v>
      </c>
      <c r="F462" s="8" t="str">
        <f>IFERROR(__xludf.DUMMYFUNCTION("""COMPUTED_VALUE"""),"3:30 PM")</f>
        <v>3:30 PM</v>
      </c>
      <c r="G462" s="9" t="str">
        <f>IFERROR(__xludf.DUMMYFUNCTION("""COMPUTED_VALUE"""),"09D-18C")</f>
        <v>09D-18C</v>
      </c>
      <c r="H462" s="8" t="str">
        <f>IFERROR(__xludf.DUMMYFUNCTION("""COMPUTED_VALUE"""),"SOSB,MZFZ")</f>
        <v>SOSB,MZFZ</v>
      </c>
      <c r="I462" s="8" t="str">
        <f>IFERROR(__xludf.DUMMYFUNCTION("""COMPUTED_VALUE"""),"WED")</f>
        <v>WED</v>
      </c>
      <c r="J462" s="8" t="str">
        <f>IFERROR(__xludf.DUMMYFUNCTION("""COMPUTED_VALUE"""),"11:00 AM")</f>
        <v>11:00 AM</v>
      </c>
      <c r="K462" s="8" t="str">
        <f>IFERROR(__xludf.DUMMYFUNCTION("""COMPUTED_VALUE"""),"09F-24L")</f>
        <v>09F-24L</v>
      </c>
      <c r="L462" s="8"/>
      <c r="M462" s="10" t="str">
        <f>IFERROR(VLOOKUP(D462,FacultyList!B:G,6,FALSE),"")</f>
        <v>ashraful.islam@bracu.ac.bd</v>
      </c>
    </row>
    <row r="463">
      <c r="A463" s="5" t="str">
        <f>IFERROR(__xludf.DUMMYFUNCTION("""COMPUTED_VALUE"""),"CSE423-20")</f>
        <v>CSE423-20</v>
      </c>
      <c r="B463" s="8"/>
      <c r="C463" s="8"/>
      <c r="D463" s="8" t="str">
        <f>IFERROR(__xludf.DUMMYFUNCTION("""COMPUTED_VALUE"""),"AJA")</f>
        <v>AJA</v>
      </c>
      <c r="E463" s="8" t="str">
        <f>IFERROR(__xludf.DUMMYFUNCTION("""COMPUTED_VALUE"""),"MON+WED")</f>
        <v>MON+WED</v>
      </c>
      <c r="F463" s="8" t="str">
        <f>IFERROR(__xludf.DUMMYFUNCTION("""COMPUTED_VALUE"""),"11:00 AM")</f>
        <v>11:00 AM</v>
      </c>
      <c r="G463" s="9" t="str">
        <f>IFERROR(__xludf.DUMMYFUNCTION("""COMPUTED_VALUE"""),"09H-35C")</f>
        <v>09H-35C</v>
      </c>
      <c r="H463" s="8" t="str">
        <f>IFERROR(__xludf.DUMMYFUNCTION("""COMPUTED_VALUE"""),"ANKH,MAHS")</f>
        <v>ANKH,MAHS</v>
      </c>
      <c r="I463" s="8" t="str">
        <f>IFERROR(__xludf.DUMMYFUNCTION("""COMPUTED_VALUE"""),"SUN")</f>
        <v>SUN</v>
      </c>
      <c r="J463" s="8" t="str">
        <f>IFERROR(__xludf.DUMMYFUNCTION("""COMPUTED_VALUE"""),"8:00 AM")</f>
        <v>8:00 AM</v>
      </c>
      <c r="K463" s="8" t="str">
        <f>IFERROR(__xludf.DUMMYFUNCTION("""COMPUTED_VALUE"""),"09F-27L")</f>
        <v>09F-27L</v>
      </c>
      <c r="L463" s="8"/>
      <c r="M463" s="10" t="str">
        <f>IFERROR(VLOOKUP(D463,FacultyList!B:G,6,FALSE),"")</f>
        <v>abid.jahan@bracu.ac.bd</v>
      </c>
    </row>
    <row r="464">
      <c r="A464" s="5" t="str">
        <f>IFERROR(__xludf.DUMMYFUNCTION("""COMPUTED_VALUE"""),"CSE423-21")</f>
        <v>CSE423-21</v>
      </c>
      <c r="B464" s="8"/>
      <c r="C464" s="8"/>
      <c r="D464" s="8" t="str">
        <f>IFERROR(__xludf.DUMMYFUNCTION("""COMPUTED_VALUE"""),"RAHA")</f>
        <v>RAHA</v>
      </c>
      <c r="E464" s="8" t="str">
        <f>IFERROR(__xludf.DUMMYFUNCTION("""COMPUTED_VALUE"""),"SAT+THU")</f>
        <v>SAT+THU</v>
      </c>
      <c r="F464" s="8" t="str">
        <f>IFERROR(__xludf.DUMMYFUNCTION("""COMPUTED_VALUE"""),"9:30 AM")</f>
        <v>9:30 AM</v>
      </c>
      <c r="G464" s="9" t="str">
        <f>IFERROR(__xludf.DUMMYFUNCTION("""COMPUTED_VALUE"""),"09B-12C")</f>
        <v>09B-12C</v>
      </c>
      <c r="H464" s="8" t="str">
        <f>IFERROR(__xludf.DUMMYFUNCTION("""COMPUTED_VALUE"""),"SOSB,MZFZ")</f>
        <v>SOSB,MZFZ</v>
      </c>
      <c r="I464" s="8" t="str">
        <f>IFERROR(__xludf.DUMMYFUNCTION("""COMPUTED_VALUE"""),"WED")</f>
        <v>WED</v>
      </c>
      <c r="J464" s="8" t="str">
        <f>IFERROR(__xludf.DUMMYFUNCTION("""COMPUTED_VALUE"""),"11:00 AM")</f>
        <v>11:00 AM</v>
      </c>
      <c r="K464" s="8" t="str">
        <f>IFERROR(__xludf.DUMMYFUNCTION("""COMPUTED_VALUE"""),"09F-24L")</f>
        <v>09F-24L</v>
      </c>
      <c r="L464" s="8"/>
      <c r="M464" s="10" t="str">
        <f>IFERROR(VLOOKUP(D464,FacultyList!B:G,6,FALSE),"")</f>
        <v>reefat.raha@bracu.ac.bd</v>
      </c>
    </row>
    <row r="465">
      <c r="A465" s="5" t="str">
        <f>IFERROR(__xludf.DUMMYFUNCTION("""COMPUTED_VALUE"""),"CSE423-22")</f>
        <v>CSE423-22</v>
      </c>
      <c r="B465" s="8"/>
      <c r="C465" s="8"/>
      <c r="D465" s="8" t="str">
        <f>IFERROR(__xludf.DUMMYFUNCTION("""COMPUTED_VALUE"""),"ASAK")</f>
        <v>ASAK</v>
      </c>
      <c r="E465" s="8" t="str">
        <f>IFERROR(__xludf.DUMMYFUNCTION("""COMPUTED_VALUE"""),"SAT+THU")</f>
        <v>SAT+THU</v>
      </c>
      <c r="F465" s="8" t="str">
        <f>IFERROR(__xludf.DUMMYFUNCTION("""COMPUTED_VALUE"""),"2:00 PM")</f>
        <v>2:00 PM</v>
      </c>
      <c r="G465" s="9" t="str">
        <f>IFERROR(__xludf.DUMMYFUNCTION("""COMPUTED_VALUE"""),"09B-12C")</f>
        <v>09B-12C</v>
      </c>
      <c r="H465" s="8" t="str">
        <f>IFERROR(__xludf.DUMMYFUNCTION("""COMPUTED_VALUE"""),"MHM,ANT")</f>
        <v>MHM,ANT</v>
      </c>
      <c r="I465" s="8" t="str">
        <f>IFERROR(__xludf.DUMMYFUNCTION("""COMPUTED_VALUE"""),"WED")</f>
        <v>WED</v>
      </c>
      <c r="J465" s="8" t="str">
        <f>IFERROR(__xludf.DUMMYFUNCTION("""COMPUTED_VALUE"""),"2:00 PM")</f>
        <v>2:00 PM</v>
      </c>
      <c r="K465" s="8" t="str">
        <f>IFERROR(__xludf.DUMMYFUNCTION("""COMPUTED_VALUE"""),"09F-24L")</f>
        <v>09F-24L</v>
      </c>
      <c r="L465" s="8"/>
      <c r="M465" s="10" t="str">
        <f>IFERROR(VLOOKUP(D465,FacultyList!B:G,6,FALSE),"")</f>
        <v>arnob.ankon@bracu.ac.bd</v>
      </c>
    </row>
    <row r="466">
      <c r="A466" s="5" t="str">
        <f>IFERROR(__xludf.DUMMYFUNCTION("""COMPUTED_VALUE"""),"CSE423-23")</f>
        <v>CSE423-23</v>
      </c>
      <c r="B466" s="8"/>
      <c r="C466" s="8"/>
      <c r="D466" s="8" t="str">
        <f>IFERROR(__xludf.DUMMYFUNCTION("""COMPUTED_VALUE"""),"SMUR")</f>
        <v>SMUR</v>
      </c>
      <c r="E466" s="8" t="str">
        <f>IFERROR(__xludf.DUMMYFUNCTION("""COMPUTED_VALUE"""),"SUN+TUE")</f>
        <v>SUN+TUE</v>
      </c>
      <c r="F466" s="8" t="str">
        <f>IFERROR(__xludf.DUMMYFUNCTION("""COMPUTED_VALUE"""),"8:00 AM")</f>
        <v>8:00 AM</v>
      </c>
      <c r="G466" s="9" t="str">
        <f>IFERROR(__xludf.DUMMYFUNCTION("""COMPUTED_VALUE"""),"07H-27C")</f>
        <v>07H-27C</v>
      </c>
      <c r="H466" s="8" t="str">
        <f>IFERROR(__xludf.DUMMYFUNCTION("""COMPUTED_VALUE"""),"ANT,CAPN")</f>
        <v>ANT,CAPN</v>
      </c>
      <c r="I466" s="8" t="str">
        <f>IFERROR(__xludf.DUMMYFUNCTION("""COMPUTED_VALUE"""),"THU")</f>
        <v>THU</v>
      </c>
      <c r="J466" s="8" t="str">
        <f>IFERROR(__xludf.DUMMYFUNCTION("""COMPUTED_VALUE"""),"11:00 AM")</f>
        <v>11:00 AM</v>
      </c>
      <c r="K466" s="8" t="str">
        <f>IFERROR(__xludf.DUMMYFUNCTION("""COMPUTED_VALUE"""),"09F-24L")</f>
        <v>09F-24L</v>
      </c>
      <c r="L466" s="8"/>
      <c r="M466" s="10" t="str">
        <f>IFERROR(VLOOKUP(D466,FacultyList!B:G,6,FALSE),"")</f>
        <v>rahman.samiur@bracu.ac.bd</v>
      </c>
    </row>
    <row r="467">
      <c r="A467" s="5" t="str">
        <f>IFERROR(__xludf.DUMMYFUNCTION("""COMPUTED_VALUE"""),"CSE423-24")</f>
        <v>CSE423-24</v>
      </c>
      <c r="B467" s="8"/>
      <c r="C467" s="8"/>
      <c r="D467" s="8" t="str">
        <f>IFERROR(__xludf.DUMMYFUNCTION("""COMPUTED_VALUE"""),"SMUR")</f>
        <v>SMUR</v>
      </c>
      <c r="E467" s="8" t="str">
        <f>IFERROR(__xludf.DUMMYFUNCTION("""COMPUTED_VALUE"""),"SUN+TUE")</f>
        <v>SUN+TUE</v>
      </c>
      <c r="F467" s="8" t="str">
        <f>IFERROR(__xludf.DUMMYFUNCTION("""COMPUTED_VALUE"""),"9:30 AM")</f>
        <v>9:30 AM</v>
      </c>
      <c r="G467" s="9" t="str">
        <f>IFERROR(__xludf.DUMMYFUNCTION("""COMPUTED_VALUE"""),"07H-27C")</f>
        <v>07H-27C</v>
      </c>
      <c r="H467" s="8" t="str">
        <f>IFERROR(__xludf.DUMMYFUNCTION("""COMPUTED_VALUE"""),"ANT,CAPN")</f>
        <v>ANT,CAPN</v>
      </c>
      <c r="I467" s="8" t="str">
        <f>IFERROR(__xludf.DUMMYFUNCTION("""COMPUTED_VALUE"""),"THU")</f>
        <v>THU</v>
      </c>
      <c r="J467" s="8" t="str">
        <f>IFERROR(__xludf.DUMMYFUNCTION("""COMPUTED_VALUE"""),"11:00 AM")</f>
        <v>11:00 AM</v>
      </c>
      <c r="K467" s="8" t="str">
        <f>IFERROR(__xludf.DUMMYFUNCTION("""COMPUTED_VALUE"""),"09F-24L")</f>
        <v>09F-24L</v>
      </c>
      <c r="L467" s="8"/>
      <c r="M467" s="10" t="str">
        <f>IFERROR(VLOOKUP(D467,FacultyList!B:G,6,FALSE),"")</f>
        <v>rahman.samiur@bracu.ac.bd</v>
      </c>
    </row>
    <row r="468">
      <c r="A468" s="5" t="str">
        <f>IFERROR(__xludf.DUMMYFUNCTION("""COMPUTED_VALUE"""),"CSE423-25")</f>
        <v>CSE423-25</v>
      </c>
      <c r="B468" s="8"/>
      <c r="C468" s="8"/>
      <c r="D468" s="8" t="str">
        <f>IFERROR(__xludf.DUMMYFUNCTION("""COMPUTED_VALUE"""),"ANKH")</f>
        <v>ANKH</v>
      </c>
      <c r="E468" s="8" t="str">
        <f>IFERROR(__xludf.DUMMYFUNCTION("""COMPUTED_VALUE"""),"SAT+THU")</f>
        <v>SAT+THU</v>
      </c>
      <c r="F468" s="8" t="str">
        <f>IFERROR(__xludf.DUMMYFUNCTION("""COMPUTED_VALUE"""),"8:00 AM")</f>
        <v>8:00 AM</v>
      </c>
      <c r="G468" s="9" t="str">
        <f>IFERROR(__xludf.DUMMYFUNCTION("""COMPUTED_VALUE"""),"09D-17C")</f>
        <v>09D-17C</v>
      </c>
      <c r="H468" s="8" t="str">
        <f>IFERROR(__xludf.DUMMYFUNCTION("""COMPUTED_VALUE"""),"ANKH,MAHS")</f>
        <v>ANKH,MAHS</v>
      </c>
      <c r="I468" s="8" t="str">
        <f>IFERROR(__xludf.DUMMYFUNCTION("""COMPUTED_VALUE"""),"SUN")</f>
        <v>SUN</v>
      </c>
      <c r="J468" s="8" t="str">
        <f>IFERROR(__xludf.DUMMYFUNCTION("""COMPUTED_VALUE"""),"8:00 AM")</f>
        <v>8:00 AM</v>
      </c>
      <c r="K468" s="8" t="str">
        <f>IFERROR(__xludf.DUMMYFUNCTION("""COMPUTED_VALUE"""),"09F-27L")</f>
        <v>09F-27L</v>
      </c>
      <c r="L468" s="8"/>
      <c r="M468" s="10" t="str">
        <f>IFERROR(VLOOKUP(D468,FacultyList!B:G,6,FALSE),"")</f>
        <v>anika.ahmed@bracu.ac.bd</v>
      </c>
    </row>
    <row r="469">
      <c r="A469" s="5" t="str">
        <f>IFERROR(__xludf.DUMMYFUNCTION("""COMPUTED_VALUE"""),"CSE424-01")</f>
        <v>CSE424-01</v>
      </c>
      <c r="B469" s="8"/>
      <c r="C469" s="8"/>
      <c r="D469" s="8" t="str">
        <f>IFERROR(__xludf.DUMMYFUNCTION("""COMPUTED_VALUE"""),"AAR")</f>
        <v>AAR</v>
      </c>
      <c r="E469" s="8" t="str">
        <f>IFERROR(__xludf.DUMMYFUNCTION("""COMPUTED_VALUE"""),"MON+WED")</f>
        <v>MON+WED</v>
      </c>
      <c r="F469" s="8" t="str">
        <f>IFERROR(__xludf.DUMMYFUNCTION("""COMPUTED_VALUE"""),"2:00 PM")</f>
        <v>2:00 PM</v>
      </c>
      <c r="G469" s="9" t="str">
        <f>IFERROR(__xludf.DUMMYFUNCTION("""COMPUTED_VALUE"""),"08H-22C")</f>
        <v>08H-22C</v>
      </c>
      <c r="H469" s="8" t="str">
        <f>IFERROR(__xludf.DUMMYFUNCTION("""COMPUTED_VALUE"""),"SBHN,LBBH")</f>
        <v>SBHN,LBBH</v>
      </c>
      <c r="I469" s="8" t="str">
        <f>IFERROR(__xludf.DUMMYFUNCTION("""COMPUTED_VALUE"""),"MON")</f>
        <v>MON</v>
      </c>
      <c r="J469" s="8" t="str">
        <f>IFERROR(__xludf.DUMMYFUNCTION("""COMPUTED_VALUE"""),"11:00 AM")</f>
        <v>11:00 AM</v>
      </c>
      <c r="K469" s="8" t="str">
        <f>IFERROR(__xludf.DUMMYFUNCTION("""COMPUTED_VALUE"""),"12D-26L")</f>
        <v>12D-26L</v>
      </c>
      <c r="L469" s="8"/>
      <c r="M469" s="10" t="str">
        <f>IFERROR(VLOOKUP(D469,FacultyList!B:G,6,FALSE),"")</f>
        <v>annajiat@bracu.ac.bd</v>
      </c>
    </row>
    <row r="470">
      <c r="A470" s="5" t="str">
        <f>IFERROR(__xludf.DUMMYFUNCTION("""COMPUTED_VALUE"""),"CSE424-02")</f>
        <v>CSE424-02</v>
      </c>
      <c r="B470" s="8"/>
      <c r="C470" s="8"/>
      <c r="D470" s="8" t="str">
        <f>IFERROR(__xludf.DUMMYFUNCTION("""COMPUTED_VALUE"""),"SBHN")</f>
        <v>SBHN</v>
      </c>
      <c r="E470" s="8" t="str">
        <f>IFERROR(__xludf.DUMMYFUNCTION("""COMPUTED_VALUE"""),"MON+WED")</f>
        <v>MON+WED</v>
      </c>
      <c r="F470" s="8" t="str">
        <f>IFERROR(__xludf.DUMMYFUNCTION("""COMPUTED_VALUE"""),"3:30 PM")</f>
        <v>3:30 PM</v>
      </c>
      <c r="G470" s="9" t="str">
        <f>IFERROR(__xludf.DUMMYFUNCTION("""COMPUTED_VALUE"""),"09D-17C")</f>
        <v>09D-17C</v>
      </c>
      <c r="H470" s="8" t="str">
        <f>IFERROR(__xludf.DUMMYFUNCTION("""COMPUTED_VALUE"""),"SBHN,LBBH")</f>
        <v>SBHN,LBBH</v>
      </c>
      <c r="I470" s="8" t="str">
        <f>IFERROR(__xludf.DUMMYFUNCTION("""COMPUTED_VALUE"""),"MON")</f>
        <v>MON</v>
      </c>
      <c r="J470" s="8" t="str">
        <f>IFERROR(__xludf.DUMMYFUNCTION("""COMPUTED_VALUE"""),"11:00 AM")</f>
        <v>11:00 AM</v>
      </c>
      <c r="K470" s="8" t="str">
        <f>IFERROR(__xludf.DUMMYFUNCTION("""COMPUTED_VALUE"""),"12D-26L")</f>
        <v>12D-26L</v>
      </c>
      <c r="L470" s="8"/>
      <c r="M470" s="10" t="str">
        <f>IFERROR(VLOOKUP(D470,FacultyList!B:G,6,FALSE),"")</f>
        <v>sabbir.hossain@bracu.ac.bd</v>
      </c>
    </row>
    <row r="471">
      <c r="A471" s="5" t="str">
        <f>IFERROR(__xludf.DUMMYFUNCTION("""COMPUTED_VALUE"""),"CSE425-01")</f>
        <v>CSE425-01</v>
      </c>
      <c r="B471" s="8" t="str">
        <f>IFERROR(__xludf.DUMMYFUNCTION("""COMPUTED_VALUE"""),"EEE474")</f>
        <v>EEE474</v>
      </c>
      <c r="C471" s="8"/>
      <c r="D471" s="8" t="str">
        <f>IFERROR(__xludf.DUMMYFUNCTION("""COMPUTED_VALUE"""),"MMM")</f>
        <v>MMM</v>
      </c>
      <c r="E471" s="8" t="str">
        <f>IFERROR(__xludf.DUMMYFUNCTION("""COMPUTED_VALUE"""),"SUN+TUE")</f>
        <v>SUN+TUE</v>
      </c>
      <c r="F471" s="8" t="str">
        <f>IFERROR(__xludf.DUMMYFUNCTION("""COMPUTED_VALUE"""),"8:00 AM")</f>
        <v>8:00 AM</v>
      </c>
      <c r="G471" s="9" t="str">
        <f>IFERROR(__xludf.DUMMYFUNCTION("""COMPUTED_VALUE"""),"09E-20T")</f>
        <v>09E-20T</v>
      </c>
      <c r="H471" s="8"/>
      <c r="I471" s="8"/>
      <c r="J471" s="8"/>
      <c r="K471" s="8"/>
      <c r="L471" s="8"/>
      <c r="M471" s="10" t="str">
        <f>IFERROR(VLOOKUP(D471,FacultyList!B:G,6,FALSE),"")</f>
        <v>mostakim@bracu.ac.bd</v>
      </c>
    </row>
    <row r="472">
      <c r="A472" s="5" t="str">
        <f>IFERROR(__xludf.DUMMYFUNCTION("""COMPUTED_VALUE"""),"CSE425-02")</f>
        <v>CSE425-02</v>
      </c>
      <c r="B472" s="8" t="str">
        <f>IFERROR(__xludf.DUMMYFUNCTION("""COMPUTED_VALUE"""),"EEE474")</f>
        <v>EEE474</v>
      </c>
      <c r="C472" s="8"/>
      <c r="D472" s="8" t="str">
        <f>IFERROR(__xludf.DUMMYFUNCTION("""COMPUTED_VALUE"""),"MMM")</f>
        <v>MMM</v>
      </c>
      <c r="E472" s="8" t="str">
        <f>IFERROR(__xludf.DUMMYFUNCTION("""COMPUTED_VALUE"""),"SUN+TUE")</f>
        <v>SUN+TUE</v>
      </c>
      <c r="F472" s="8" t="str">
        <f>IFERROR(__xludf.DUMMYFUNCTION("""COMPUTED_VALUE"""),"8:00 AM")</f>
        <v>8:00 AM</v>
      </c>
      <c r="G472" s="9" t="str">
        <f>IFERROR(__xludf.DUMMYFUNCTION("""COMPUTED_VALUE"""),"09E-20T")</f>
        <v>09E-20T</v>
      </c>
      <c r="H472" s="8"/>
      <c r="I472" s="8"/>
      <c r="J472" s="8"/>
      <c r="K472" s="8"/>
      <c r="L472" s="8"/>
      <c r="M472" s="10" t="str">
        <f>IFERROR(VLOOKUP(D472,FacultyList!B:G,6,FALSE),"")</f>
        <v>mostakim@bracu.ac.bd</v>
      </c>
    </row>
    <row r="473">
      <c r="A473" s="5" t="str">
        <f>IFERROR(__xludf.DUMMYFUNCTION("""COMPUTED_VALUE"""),"CSE425-03")</f>
        <v>CSE425-03</v>
      </c>
      <c r="B473" s="8" t="str">
        <f>IFERROR(__xludf.DUMMYFUNCTION("""COMPUTED_VALUE"""),"EEE474")</f>
        <v>EEE474</v>
      </c>
      <c r="C473" s="8"/>
      <c r="D473" s="8" t="str">
        <f>IFERROR(__xludf.DUMMYFUNCTION("""COMPUTED_VALUE"""),"MMM")</f>
        <v>MMM</v>
      </c>
      <c r="E473" s="8" t="str">
        <f>IFERROR(__xludf.DUMMYFUNCTION("""COMPUTED_VALUE"""),"SUN+TUE")</f>
        <v>SUN+TUE</v>
      </c>
      <c r="F473" s="8" t="str">
        <f>IFERROR(__xludf.DUMMYFUNCTION("""COMPUTED_VALUE"""),"8:00 AM")</f>
        <v>8:00 AM</v>
      </c>
      <c r="G473" s="9" t="str">
        <f>IFERROR(__xludf.DUMMYFUNCTION("""COMPUTED_VALUE"""),"09E-20T")</f>
        <v>09E-20T</v>
      </c>
      <c r="H473" s="8"/>
      <c r="I473" s="8"/>
      <c r="J473" s="8"/>
      <c r="K473" s="8"/>
      <c r="L473" s="8"/>
      <c r="M473" s="10" t="str">
        <f>IFERROR(VLOOKUP(D473,FacultyList!B:G,6,FALSE),"")</f>
        <v>mostakim@bracu.ac.bd</v>
      </c>
    </row>
    <row r="474">
      <c r="A474" s="5" t="str">
        <f>IFERROR(__xludf.DUMMYFUNCTION("""COMPUTED_VALUE"""),"CSE425-04")</f>
        <v>CSE425-04</v>
      </c>
      <c r="B474" s="8" t="str">
        <f>IFERROR(__xludf.DUMMYFUNCTION("""COMPUTED_VALUE"""),"EEE474")</f>
        <v>EEE474</v>
      </c>
      <c r="C474" s="8"/>
      <c r="D474" s="8" t="str">
        <f>IFERROR(__xludf.DUMMYFUNCTION("""COMPUTED_VALUE"""),"DPU")</f>
        <v>DPU</v>
      </c>
      <c r="E474" s="8" t="str">
        <f>IFERROR(__xludf.DUMMYFUNCTION("""COMPUTED_VALUE"""),"MON+WED")</f>
        <v>MON+WED</v>
      </c>
      <c r="F474" s="8" t="str">
        <f>IFERROR(__xludf.DUMMYFUNCTION("""COMPUTED_VALUE"""),"8:00 AM")</f>
        <v>8:00 AM</v>
      </c>
      <c r="G474" s="9" t="str">
        <f>IFERROR(__xludf.DUMMYFUNCTION("""COMPUTED_VALUE"""),"09E-20T")</f>
        <v>09E-20T</v>
      </c>
      <c r="H474" s="8"/>
      <c r="I474" s="8"/>
      <c r="J474" s="8"/>
      <c r="K474" s="8"/>
      <c r="L474" s="8"/>
      <c r="M474" s="10" t="str">
        <f>IFERROR(VLOOKUP(D474,FacultyList!B:G,6,FALSE),"")</f>
        <v>shoaib.ahmed@bracu.ac.bd</v>
      </c>
    </row>
    <row r="475">
      <c r="A475" s="5" t="str">
        <f>IFERROR(__xludf.DUMMYFUNCTION("""COMPUTED_VALUE"""),"CSE425-05")</f>
        <v>CSE425-05</v>
      </c>
      <c r="B475" s="8" t="str">
        <f>IFERROR(__xludf.DUMMYFUNCTION("""COMPUTED_VALUE"""),"EEE474")</f>
        <v>EEE474</v>
      </c>
      <c r="C475" s="8"/>
      <c r="D475" s="8" t="str">
        <f>IFERROR(__xludf.DUMMYFUNCTION("""COMPUTED_VALUE"""),"DPU")</f>
        <v>DPU</v>
      </c>
      <c r="E475" s="8" t="str">
        <f>IFERROR(__xludf.DUMMYFUNCTION("""COMPUTED_VALUE"""),"MON+WED")</f>
        <v>MON+WED</v>
      </c>
      <c r="F475" s="8" t="str">
        <f>IFERROR(__xludf.DUMMYFUNCTION("""COMPUTED_VALUE"""),"8:00 AM")</f>
        <v>8:00 AM</v>
      </c>
      <c r="G475" s="9" t="str">
        <f>IFERROR(__xludf.DUMMYFUNCTION("""COMPUTED_VALUE"""),"09E-20T")</f>
        <v>09E-20T</v>
      </c>
      <c r="H475" s="8"/>
      <c r="I475" s="8"/>
      <c r="J475" s="8"/>
      <c r="K475" s="8"/>
      <c r="L475" s="8"/>
      <c r="M475" s="10" t="str">
        <f>IFERROR(VLOOKUP(D475,FacultyList!B:G,6,FALSE),"")</f>
        <v>shoaib.ahmed@bracu.ac.bd</v>
      </c>
    </row>
    <row r="476">
      <c r="A476" s="5" t="str">
        <f>IFERROR(__xludf.DUMMYFUNCTION("""COMPUTED_VALUE"""),"CSE425-06")</f>
        <v>CSE425-06</v>
      </c>
      <c r="B476" s="8" t="str">
        <f>IFERROR(__xludf.DUMMYFUNCTION("""COMPUTED_VALUE"""),"EEE474")</f>
        <v>EEE474</v>
      </c>
      <c r="C476" s="8"/>
      <c r="D476" s="8" t="str">
        <f>IFERROR(__xludf.DUMMYFUNCTION("""COMPUTED_VALUE"""),"DPU")</f>
        <v>DPU</v>
      </c>
      <c r="E476" s="8" t="str">
        <f>IFERROR(__xludf.DUMMYFUNCTION("""COMPUTED_VALUE"""),"MON+WED")</f>
        <v>MON+WED</v>
      </c>
      <c r="F476" s="8" t="str">
        <f>IFERROR(__xludf.DUMMYFUNCTION("""COMPUTED_VALUE"""),"8:00 AM")</f>
        <v>8:00 AM</v>
      </c>
      <c r="G476" s="9" t="str">
        <f>IFERROR(__xludf.DUMMYFUNCTION("""COMPUTED_VALUE"""),"09E-20T")</f>
        <v>09E-20T</v>
      </c>
      <c r="H476" s="8"/>
      <c r="I476" s="8"/>
      <c r="J476" s="8"/>
      <c r="K476" s="8"/>
      <c r="L476" s="8"/>
      <c r="M476" s="10" t="str">
        <f>IFERROR(VLOOKUP(D476,FacultyList!B:G,6,FALSE),"")</f>
        <v>shoaib.ahmed@bracu.ac.bd</v>
      </c>
    </row>
    <row r="477">
      <c r="A477" s="5" t="str">
        <f>IFERROR(__xludf.DUMMYFUNCTION("""COMPUTED_VALUE"""),"CSE426-01")</f>
        <v>CSE426-01</v>
      </c>
      <c r="B477" s="8"/>
      <c r="C477" s="8"/>
      <c r="D477" s="8" t="str">
        <f>IFERROR(__xludf.DUMMYFUNCTION("""COMPUTED_VALUE"""),"TSM")</f>
        <v>TSM</v>
      </c>
      <c r="E477" s="8" t="str">
        <f>IFERROR(__xludf.DUMMYFUNCTION("""COMPUTED_VALUE"""),"MON+WED")</f>
        <v>MON+WED</v>
      </c>
      <c r="F477" s="8" t="str">
        <f>IFERROR(__xludf.DUMMYFUNCTION("""COMPUTED_VALUE"""),"12:30 PM")</f>
        <v>12:30 PM</v>
      </c>
      <c r="G477" s="9" t="str">
        <f>IFERROR(__xludf.DUMMYFUNCTION("""COMPUTED_VALUE"""),"09A-04C")</f>
        <v>09A-04C</v>
      </c>
      <c r="H477" s="8"/>
      <c r="I477" s="8"/>
      <c r="J477" s="8"/>
      <c r="K477" s="8"/>
      <c r="L477" s="8"/>
      <c r="M477" s="10" t="str">
        <f>IFERROR(VLOOKUP(D477,FacultyList!B:G,6,FALSE),"")</f>
        <v>mirza.mugdho@bracu.ac.bd</v>
      </c>
    </row>
    <row r="478">
      <c r="A478" s="5" t="str">
        <f>IFERROR(__xludf.DUMMYFUNCTION("""COMPUTED_VALUE"""),"CSE426-02")</f>
        <v>CSE426-02</v>
      </c>
      <c r="B478" s="8"/>
      <c r="C478" s="8"/>
      <c r="D478" s="8" t="str">
        <f>IFERROR(__xludf.DUMMYFUNCTION("""COMPUTED_VALUE"""),"RFR")</f>
        <v>RFR</v>
      </c>
      <c r="E478" s="8" t="str">
        <f>IFERROR(__xludf.DUMMYFUNCTION("""COMPUTED_VALUE"""),"SUN+TUE")</f>
        <v>SUN+TUE</v>
      </c>
      <c r="F478" s="8" t="str">
        <f>IFERROR(__xludf.DUMMYFUNCTION("""COMPUTED_VALUE"""),"9:30 AM")</f>
        <v>9:30 AM</v>
      </c>
      <c r="G478" s="9" t="str">
        <f>IFERROR(__xludf.DUMMYFUNCTION("""COMPUTED_VALUE"""),"09C-13C")</f>
        <v>09C-13C</v>
      </c>
      <c r="H478" s="8"/>
      <c r="I478" s="8"/>
      <c r="J478" s="8"/>
      <c r="K478" s="8"/>
      <c r="L478" s="8"/>
      <c r="M478" s="10" t="str">
        <f>IFERROR(VLOOKUP(D478,FacultyList!B:G,6,FALSE),"")</f>
        <v>rifat.rahman@bracu.ac.bd</v>
      </c>
    </row>
    <row r="479">
      <c r="A479" s="5" t="str">
        <f>IFERROR(__xludf.DUMMYFUNCTION("""COMPUTED_VALUE"""),"CSE427-01")</f>
        <v>CSE427-01</v>
      </c>
      <c r="B479" s="8"/>
      <c r="C479" s="8"/>
      <c r="D479" s="8" t="str">
        <f>IFERROR(__xludf.DUMMYFUNCTION("""COMPUTED_VALUE"""),"CMR")</f>
        <v>CMR</v>
      </c>
      <c r="E479" s="8" t="str">
        <f>IFERROR(__xludf.DUMMYFUNCTION("""COMPUTED_VALUE"""),"SAT+THU")</f>
        <v>SAT+THU</v>
      </c>
      <c r="F479" s="8" t="str">
        <f>IFERROR(__xludf.DUMMYFUNCTION("""COMPUTED_VALUE"""),"12:30 PM")</f>
        <v>12:30 PM</v>
      </c>
      <c r="G479" s="9" t="str">
        <f>IFERROR(__xludf.DUMMYFUNCTION("""COMPUTED_VALUE"""),"09C-16T")</f>
        <v>09C-16T</v>
      </c>
      <c r="H479" s="8" t="str">
        <f>IFERROR(__xludf.DUMMYFUNCTION("""COMPUTED_VALUE"""),"CSYR,CSAB")</f>
        <v>CSYR,CSAB</v>
      </c>
      <c r="I479" s="8" t="str">
        <f>IFERROR(__xludf.DUMMYFUNCTION("""COMPUTED_VALUE"""),"MON")</f>
        <v>MON</v>
      </c>
      <c r="J479" s="8" t="str">
        <f>IFERROR(__xludf.DUMMYFUNCTION("""COMPUTED_VALUE"""),"8:00 AM")</f>
        <v>8:00 AM</v>
      </c>
      <c r="K479" s="8" t="str">
        <f>IFERROR(__xludf.DUMMYFUNCTION("""COMPUTED_VALUE"""),"09F-27L")</f>
        <v>09F-27L</v>
      </c>
      <c r="L479" s="8"/>
      <c r="M479" s="10" t="str">
        <f>IFERROR(VLOOKUP(D479,FacultyList!B:G,6,FALSE),"")</f>
        <v>rahman.mofizur@bracu.ac.bd</v>
      </c>
    </row>
    <row r="480">
      <c r="A480" s="5" t="str">
        <f>IFERROR(__xludf.DUMMYFUNCTION("""COMPUTED_VALUE"""),"CSE427-01")</f>
        <v>CSE427-01</v>
      </c>
      <c r="B480" s="8"/>
      <c r="C480" s="8"/>
      <c r="D480" s="8" t="str">
        <f>IFERROR(__xludf.DUMMYFUNCTION("""COMPUTED_VALUE"""),"DFD")</f>
        <v>DFD</v>
      </c>
      <c r="E480" s="8" t="str">
        <f>IFERROR(__xludf.DUMMYFUNCTION("""COMPUTED_VALUE"""),"SAT+THU")</f>
        <v>SAT+THU</v>
      </c>
      <c r="F480" s="8" t="str">
        <f>IFERROR(__xludf.DUMMYFUNCTION("""COMPUTED_VALUE"""),"12:30 PM")</f>
        <v>12:30 PM</v>
      </c>
      <c r="G480" s="9" t="str">
        <f>IFERROR(__xludf.DUMMYFUNCTION("""COMPUTED_VALUE"""),"09C-16T")</f>
        <v>09C-16T</v>
      </c>
      <c r="H480" s="8" t="str">
        <f>IFERROR(__xludf.DUMMYFUNCTION("""COMPUTED_VALUE"""),"CSYR,CSAB")</f>
        <v>CSYR,CSAB</v>
      </c>
      <c r="I480" s="8" t="str">
        <f>IFERROR(__xludf.DUMMYFUNCTION("""COMPUTED_VALUE"""),"MON")</f>
        <v>MON</v>
      </c>
      <c r="J480" s="8" t="str">
        <f>IFERROR(__xludf.DUMMYFUNCTION("""COMPUTED_VALUE"""),"8:00 AM")</f>
        <v>8:00 AM</v>
      </c>
      <c r="K480" s="8" t="str">
        <f>IFERROR(__xludf.DUMMYFUNCTION("""COMPUTED_VALUE"""),"09F-27L")</f>
        <v>09F-27L</v>
      </c>
      <c r="L480" s="8"/>
      <c r="M480" s="10" t="str">
        <f>IFERROR(VLOOKUP(D480,FacultyList!B:G,6,FALSE),"")</f>
        <v>fabian.dofadar@bracu.ac.bd</v>
      </c>
    </row>
    <row r="481">
      <c r="A481" s="5" t="str">
        <f>IFERROR(__xludf.DUMMYFUNCTION("""COMPUTED_VALUE"""),"CSE427-02")</f>
        <v>CSE427-02</v>
      </c>
      <c r="B481" s="8"/>
      <c r="C481" s="8"/>
      <c r="D481" s="8" t="str">
        <f>IFERROR(__xludf.DUMMYFUNCTION("""COMPUTED_VALUE"""),"CMR")</f>
        <v>CMR</v>
      </c>
      <c r="E481" s="8" t="str">
        <f>IFERROR(__xludf.DUMMYFUNCTION("""COMPUTED_VALUE"""),"SAT+THU")</f>
        <v>SAT+THU</v>
      </c>
      <c r="F481" s="8" t="str">
        <f>IFERROR(__xludf.DUMMYFUNCTION("""COMPUTED_VALUE"""),"12:30 PM")</f>
        <v>12:30 PM</v>
      </c>
      <c r="G481" s="9" t="str">
        <f>IFERROR(__xludf.DUMMYFUNCTION("""COMPUTED_VALUE"""),"09C-16T")</f>
        <v>09C-16T</v>
      </c>
      <c r="H481" s="8" t="str">
        <f>IFERROR(__xludf.DUMMYFUNCTION("""COMPUTED_VALUE"""),"ADU,NLH")</f>
        <v>ADU,NLH</v>
      </c>
      <c r="I481" s="8" t="str">
        <f>IFERROR(__xludf.DUMMYFUNCTION("""COMPUTED_VALUE"""),"TUE")</f>
        <v>TUE</v>
      </c>
      <c r="J481" s="8" t="str">
        <f>IFERROR(__xludf.DUMMYFUNCTION("""COMPUTED_VALUE"""),"8:00 AM")</f>
        <v>8:00 AM</v>
      </c>
      <c r="K481" s="8" t="str">
        <f>IFERROR(__xludf.DUMMYFUNCTION("""COMPUTED_VALUE"""),"09F-27L")</f>
        <v>09F-27L</v>
      </c>
      <c r="L481" s="8"/>
      <c r="M481" s="10" t="str">
        <f>IFERROR(VLOOKUP(D481,FacultyList!B:G,6,FALSE),"")</f>
        <v>rahman.mofizur@bracu.ac.bd</v>
      </c>
    </row>
    <row r="482">
      <c r="A482" s="5" t="str">
        <f>IFERROR(__xludf.DUMMYFUNCTION("""COMPUTED_VALUE"""),"CSE427-02")</f>
        <v>CSE427-02</v>
      </c>
      <c r="B482" s="8"/>
      <c r="C482" s="8"/>
      <c r="D482" s="8" t="str">
        <f>IFERROR(__xludf.DUMMYFUNCTION("""COMPUTED_VALUE"""),"DFD")</f>
        <v>DFD</v>
      </c>
      <c r="E482" s="8" t="str">
        <f>IFERROR(__xludf.DUMMYFUNCTION("""COMPUTED_VALUE"""),"SAT+THU")</f>
        <v>SAT+THU</v>
      </c>
      <c r="F482" s="8" t="str">
        <f>IFERROR(__xludf.DUMMYFUNCTION("""COMPUTED_VALUE"""),"12:30 PM")</f>
        <v>12:30 PM</v>
      </c>
      <c r="G482" s="9" t="str">
        <f>IFERROR(__xludf.DUMMYFUNCTION("""COMPUTED_VALUE"""),"09C-16T")</f>
        <v>09C-16T</v>
      </c>
      <c r="H482" s="8" t="str">
        <f>IFERROR(__xludf.DUMMYFUNCTION("""COMPUTED_VALUE"""),"ADU,NLH")</f>
        <v>ADU,NLH</v>
      </c>
      <c r="I482" s="8" t="str">
        <f>IFERROR(__xludf.DUMMYFUNCTION("""COMPUTED_VALUE"""),"TUE")</f>
        <v>TUE</v>
      </c>
      <c r="J482" s="8" t="str">
        <f>IFERROR(__xludf.DUMMYFUNCTION("""COMPUTED_VALUE"""),"8:00 AM")</f>
        <v>8:00 AM</v>
      </c>
      <c r="K482" s="8" t="str">
        <f>IFERROR(__xludf.DUMMYFUNCTION("""COMPUTED_VALUE"""),"09F-27L")</f>
        <v>09F-27L</v>
      </c>
      <c r="L482" s="8"/>
      <c r="M482" s="10" t="str">
        <f>IFERROR(VLOOKUP(D482,FacultyList!B:G,6,FALSE),"")</f>
        <v>fabian.dofadar@bracu.ac.bd</v>
      </c>
    </row>
    <row r="483">
      <c r="A483" s="5" t="str">
        <f>IFERROR(__xludf.DUMMYFUNCTION("""COMPUTED_VALUE"""),"CSE427-03")</f>
        <v>CSE427-03</v>
      </c>
      <c r="B483" s="8"/>
      <c r="C483" s="8"/>
      <c r="D483" s="8" t="str">
        <f>IFERROR(__xludf.DUMMYFUNCTION("""COMPUTED_VALUE"""),"CMR")</f>
        <v>CMR</v>
      </c>
      <c r="E483" s="8" t="str">
        <f>IFERROR(__xludf.DUMMYFUNCTION("""COMPUTED_VALUE"""),"SAT+THU")</f>
        <v>SAT+THU</v>
      </c>
      <c r="F483" s="8" t="str">
        <f>IFERROR(__xludf.DUMMYFUNCTION("""COMPUTED_VALUE"""),"12:30 PM")</f>
        <v>12:30 PM</v>
      </c>
      <c r="G483" s="9" t="str">
        <f>IFERROR(__xludf.DUMMYFUNCTION("""COMPUTED_VALUE"""),"09C-16T")</f>
        <v>09C-16T</v>
      </c>
      <c r="H483" s="8" t="str">
        <f>IFERROR(__xludf.DUMMYFUNCTION("""COMPUTED_VALUE"""),"RZR,NLH")</f>
        <v>RZR,NLH</v>
      </c>
      <c r="I483" s="8" t="str">
        <f>IFERROR(__xludf.DUMMYFUNCTION("""COMPUTED_VALUE"""),"TUE")</f>
        <v>TUE</v>
      </c>
      <c r="J483" s="8" t="str">
        <f>IFERROR(__xludf.DUMMYFUNCTION("""COMPUTED_VALUE"""),"11:00 AM")</f>
        <v>11:00 AM</v>
      </c>
      <c r="K483" s="8" t="str">
        <f>IFERROR(__xludf.DUMMYFUNCTION("""COMPUTED_VALUE"""),"09F-27L")</f>
        <v>09F-27L</v>
      </c>
      <c r="L483" s="8"/>
      <c r="M483" s="10" t="str">
        <f>IFERROR(VLOOKUP(D483,FacultyList!B:G,6,FALSE),"")</f>
        <v>rahman.mofizur@bracu.ac.bd</v>
      </c>
    </row>
    <row r="484">
      <c r="A484" s="5" t="str">
        <f>IFERROR(__xludf.DUMMYFUNCTION("""COMPUTED_VALUE"""),"CSE427-03")</f>
        <v>CSE427-03</v>
      </c>
      <c r="B484" s="8"/>
      <c r="C484" s="8"/>
      <c r="D484" s="8" t="str">
        <f>IFERROR(__xludf.DUMMYFUNCTION("""COMPUTED_VALUE"""),"DFD")</f>
        <v>DFD</v>
      </c>
      <c r="E484" s="8" t="str">
        <f>IFERROR(__xludf.DUMMYFUNCTION("""COMPUTED_VALUE"""),"SAT+THU")</f>
        <v>SAT+THU</v>
      </c>
      <c r="F484" s="8" t="str">
        <f>IFERROR(__xludf.DUMMYFUNCTION("""COMPUTED_VALUE"""),"12:30 PM")</f>
        <v>12:30 PM</v>
      </c>
      <c r="G484" s="9" t="str">
        <f>IFERROR(__xludf.DUMMYFUNCTION("""COMPUTED_VALUE"""),"09C-16T")</f>
        <v>09C-16T</v>
      </c>
      <c r="H484" s="8" t="str">
        <f>IFERROR(__xludf.DUMMYFUNCTION("""COMPUTED_VALUE"""),"RZR,NLH")</f>
        <v>RZR,NLH</v>
      </c>
      <c r="I484" s="8" t="str">
        <f>IFERROR(__xludf.DUMMYFUNCTION("""COMPUTED_VALUE"""),"TUE")</f>
        <v>TUE</v>
      </c>
      <c r="J484" s="8" t="str">
        <f>IFERROR(__xludf.DUMMYFUNCTION("""COMPUTED_VALUE"""),"11:00 AM")</f>
        <v>11:00 AM</v>
      </c>
      <c r="K484" s="8" t="str">
        <f>IFERROR(__xludf.DUMMYFUNCTION("""COMPUTED_VALUE"""),"09F-27L")</f>
        <v>09F-27L</v>
      </c>
      <c r="L484" s="8"/>
      <c r="M484" s="10" t="str">
        <f>IFERROR(VLOOKUP(D484,FacultyList!B:G,6,FALSE),"")</f>
        <v>fabian.dofadar@bracu.ac.bd</v>
      </c>
    </row>
    <row r="485">
      <c r="A485" s="5" t="str">
        <f>IFERROR(__xludf.DUMMYFUNCTION("""COMPUTED_VALUE"""),"CSE427-04")</f>
        <v>CSE427-04</v>
      </c>
      <c r="B485" s="8"/>
      <c r="C485" s="8"/>
      <c r="D485" s="8" t="str">
        <f>IFERROR(__xludf.DUMMYFUNCTION("""COMPUTED_VALUE"""),"DFD")</f>
        <v>DFD</v>
      </c>
      <c r="E485" s="8" t="str">
        <f>IFERROR(__xludf.DUMMYFUNCTION("""COMPUTED_VALUE"""),"SAT+THU")</f>
        <v>SAT+THU</v>
      </c>
      <c r="F485" s="8" t="str">
        <f>IFERROR(__xludf.DUMMYFUNCTION("""COMPUTED_VALUE"""),"12:30 PM")</f>
        <v>12:30 PM</v>
      </c>
      <c r="G485" s="9" t="str">
        <f>IFERROR(__xludf.DUMMYFUNCTION("""COMPUTED_VALUE"""),"09C-16T")</f>
        <v>09C-16T</v>
      </c>
      <c r="H485" s="8" t="str">
        <f>IFERROR(__xludf.DUMMYFUNCTION("""COMPUTED_VALUE"""),"CSYR,IRZ")</f>
        <v>CSYR,IRZ</v>
      </c>
      <c r="I485" s="8" t="str">
        <f>IFERROR(__xludf.DUMMYFUNCTION("""COMPUTED_VALUE"""),"MON")</f>
        <v>MON</v>
      </c>
      <c r="J485" s="8" t="str">
        <f>IFERROR(__xludf.DUMMYFUNCTION("""COMPUTED_VALUE"""),"11:00 AM")</f>
        <v>11:00 AM</v>
      </c>
      <c r="K485" s="8" t="str">
        <f>IFERROR(__xludf.DUMMYFUNCTION("""COMPUTED_VALUE"""),"09F-26L")</f>
        <v>09F-26L</v>
      </c>
      <c r="L485" s="8"/>
      <c r="M485" s="10" t="str">
        <f>IFERROR(VLOOKUP(D485,FacultyList!B:G,6,FALSE),"")</f>
        <v>fabian.dofadar@bracu.ac.bd</v>
      </c>
    </row>
    <row r="486">
      <c r="A486" s="5" t="str">
        <f>IFERROR(__xludf.DUMMYFUNCTION("""COMPUTED_VALUE"""),"CSE427-05")</f>
        <v>CSE427-05</v>
      </c>
      <c r="B486" s="8"/>
      <c r="C486" s="8"/>
      <c r="D486" s="8" t="str">
        <f>IFERROR(__xludf.DUMMYFUNCTION("""COMPUTED_VALUE"""),"NWT")</f>
        <v>NWT</v>
      </c>
      <c r="E486" s="8" t="str">
        <f>IFERROR(__xludf.DUMMYFUNCTION("""COMPUTED_VALUE"""),"SUN+TUE")</f>
        <v>SUN+TUE</v>
      </c>
      <c r="F486" s="8" t="str">
        <f>IFERROR(__xludf.DUMMYFUNCTION("""COMPUTED_VALUE"""),"2:00 PM")</f>
        <v>2:00 PM</v>
      </c>
      <c r="G486" s="9" t="str">
        <f>IFERROR(__xludf.DUMMYFUNCTION("""COMPUTED_VALUE"""),"09A-07C")</f>
        <v>09A-07C</v>
      </c>
      <c r="H486" s="8" t="str">
        <f>IFERROR(__xludf.DUMMYFUNCTION("""COMPUTED_VALUE"""),"RZR,ADU")</f>
        <v>RZR,ADU</v>
      </c>
      <c r="I486" s="8" t="str">
        <f>IFERROR(__xludf.DUMMYFUNCTION("""COMPUTED_VALUE"""),"MON")</f>
        <v>MON</v>
      </c>
      <c r="J486" s="8" t="str">
        <f>IFERROR(__xludf.DUMMYFUNCTION("""COMPUTED_VALUE"""),"11:00 AM")</f>
        <v>11:00 AM</v>
      </c>
      <c r="K486" s="8" t="str">
        <f>IFERROR(__xludf.DUMMYFUNCTION("""COMPUTED_VALUE"""),"09F-27L")</f>
        <v>09F-27L</v>
      </c>
      <c r="L486" s="8"/>
      <c r="M486" s="10" t="str">
        <f>IFERROR(VLOOKUP(D486,FacultyList!B:G,6,FALSE),"")</f>
        <v>ext.nowshin.tabassum@bracu.ac.bd</v>
      </c>
    </row>
    <row r="487">
      <c r="A487" s="5" t="str">
        <f>IFERROR(__xludf.DUMMYFUNCTION("""COMPUTED_VALUE"""),"CSE427-06")</f>
        <v>CSE427-06</v>
      </c>
      <c r="B487" s="8"/>
      <c r="C487" s="8"/>
      <c r="D487" s="8" t="str">
        <f>IFERROR(__xludf.DUMMYFUNCTION("""COMPUTED_VALUE"""),"NAST")</f>
        <v>NAST</v>
      </c>
      <c r="E487" s="8" t="str">
        <f>IFERROR(__xludf.DUMMYFUNCTION("""COMPUTED_VALUE"""),"MON+WED")</f>
        <v>MON+WED</v>
      </c>
      <c r="F487" s="8" t="str">
        <f>IFERROR(__xludf.DUMMYFUNCTION("""COMPUTED_VALUE"""),"9:30 AM")</f>
        <v>9:30 AM</v>
      </c>
      <c r="G487" s="9" t="str">
        <f>IFERROR(__xludf.DUMMYFUNCTION("""COMPUTED_VALUE"""),"09A-05C")</f>
        <v>09A-05C</v>
      </c>
      <c r="H487" s="8" t="str">
        <f>IFERROR(__xludf.DUMMYFUNCTION("""COMPUTED_VALUE"""),"DFD,TWK")</f>
        <v>DFD,TWK</v>
      </c>
      <c r="I487" s="8" t="str">
        <f>IFERROR(__xludf.DUMMYFUNCTION("""COMPUTED_VALUE"""),"TUE")</f>
        <v>TUE</v>
      </c>
      <c r="J487" s="8" t="str">
        <f>IFERROR(__xludf.DUMMYFUNCTION("""COMPUTED_VALUE"""),"2:00 PM")</f>
        <v>2:00 PM</v>
      </c>
      <c r="K487" s="8" t="str">
        <f>IFERROR(__xludf.DUMMYFUNCTION("""COMPUTED_VALUE"""),"09F-27L")</f>
        <v>09F-27L</v>
      </c>
      <c r="L487" s="8"/>
      <c r="M487" s="10" t="str">
        <f>IFERROR(VLOOKUP(D487,FacultyList!B:G,6,FALSE),"")</f>
        <v>nazmus.touhid@bracu.ac.bd</v>
      </c>
    </row>
    <row r="488">
      <c r="A488" s="5" t="str">
        <f>IFERROR(__xludf.DUMMYFUNCTION("""COMPUTED_VALUE"""),"CSE427-07")</f>
        <v>CSE427-07</v>
      </c>
      <c r="B488" s="8"/>
      <c r="C488" s="8"/>
      <c r="D488" s="8" t="str">
        <f>IFERROR(__xludf.DUMMYFUNCTION("""COMPUTED_VALUE"""),"FARS")</f>
        <v>FARS</v>
      </c>
      <c r="E488" s="8" t="str">
        <f>IFERROR(__xludf.DUMMYFUNCTION("""COMPUTED_VALUE"""),"SUN+TUE")</f>
        <v>SUN+TUE</v>
      </c>
      <c r="F488" s="8" t="str">
        <f>IFERROR(__xludf.DUMMYFUNCTION("""COMPUTED_VALUE"""),"8:00 AM")</f>
        <v>8:00 AM</v>
      </c>
      <c r="G488" s="9" t="str">
        <f>IFERROR(__xludf.DUMMYFUNCTION("""COMPUTED_VALUE"""),"09A-04C")</f>
        <v>09A-04C</v>
      </c>
      <c r="H488" s="8" t="str">
        <f>IFERROR(__xludf.DUMMYFUNCTION("""COMPUTED_VALUE"""),"CQAE,CSAB")</f>
        <v>CQAE,CSAB</v>
      </c>
      <c r="I488" s="8" t="str">
        <f>IFERROR(__xludf.DUMMYFUNCTION("""COMPUTED_VALUE"""),"MON")</f>
        <v>MON</v>
      </c>
      <c r="J488" s="8" t="str">
        <f>IFERROR(__xludf.DUMMYFUNCTION("""COMPUTED_VALUE"""),"2:00 PM")</f>
        <v>2:00 PM</v>
      </c>
      <c r="K488" s="8" t="str">
        <f>IFERROR(__xludf.DUMMYFUNCTION("""COMPUTED_VALUE"""),"09F-26L")</f>
        <v>09F-26L</v>
      </c>
      <c r="L488" s="8"/>
      <c r="M488" s="10" t="str">
        <f>IFERROR(VLOOKUP(D488,FacultyList!B:G,6,FALSE),"")</f>
        <v>farhan.shahriar@bracu.ac.bd</v>
      </c>
    </row>
    <row r="489">
      <c r="A489" s="5" t="str">
        <f>IFERROR(__xludf.DUMMYFUNCTION("""COMPUTED_VALUE"""),"CSE427-08")</f>
        <v>CSE427-08</v>
      </c>
      <c r="B489" s="8"/>
      <c r="C489" s="8"/>
      <c r="D489" s="8" t="str">
        <f>IFERROR(__xludf.DUMMYFUNCTION("""COMPUTED_VALUE"""),"QUZA")</f>
        <v>QUZA</v>
      </c>
      <c r="E489" s="8" t="str">
        <f>IFERROR(__xludf.DUMMYFUNCTION("""COMPUTED_VALUE"""),"SUN+TUE")</f>
        <v>SUN+TUE</v>
      </c>
      <c r="F489" s="8" t="str">
        <f>IFERROR(__xludf.DUMMYFUNCTION("""COMPUTED_VALUE"""),"3:30 PM")</f>
        <v>3:30 PM</v>
      </c>
      <c r="G489" s="9" t="str">
        <f>IFERROR(__xludf.DUMMYFUNCTION("""COMPUTED_VALUE"""),"07H-27C")</f>
        <v>07H-27C</v>
      </c>
      <c r="H489" s="8" t="str">
        <f>IFERROR(__xludf.DUMMYFUNCTION("""COMPUTED_VALUE"""),"DFD,QUZA")</f>
        <v>DFD,QUZA</v>
      </c>
      <c r="I489" s="8" t="str">
        <f>IFERROR(__xludf.DUMMYFUNCTION("""COMPUTED_VALUE"""),"MON")</f>
        <v>MON</v>
      </c>
      <c r="J489" s="8" t="str">
        <f>IFERROR(__xludf.DUMMYFUNCTION("""COMPUTED_VALUE"""),"2:00 PM")</f>
        <v>2:00 PM</v>
      </c>
      <c r="K489" s="8" t="str">
        <f>IFERROR(__xludf.DUMMYFUNCTION("""COMPUTED_VALUE"""),"09F-27L")</f>
        <v>09F-27L</v>
      </c>
      <c r="L489" s="8"/>
      <c r="M489" s="10" t="str">
        <f>IFERROR(VLOOKUP(D489,FacultyList!B:G,6,FALSE),"")</f>
        <v>quazi.ashikur@bracu.ac.bd</v>
      </c>
    </row>
    <row r="490">
      <c r="A490" s="5" t="str">
        <f>IFERROR(__xludf.DUMMYFUNCTION("""COMPUTED_VALUE"""),"CSE427-09")</f>
        <v>CSE427-09</v>
      </c>
      <c r="B490" s="8"/>
      <c r="C490" s="8"/>
      <c r="D490" s="8" t="str">
        <f>IFERROR(__xludf.DUMMYFUNCTION("""COMPUTED_VALUE"""),"RKBM")</f>
        <v>RKBM</v>
      </c>
      <c r="E490" s="8" t="str">
        <f>IFERROR(__xludf.DUMMYFUNCTION("""COMPUTED_VALUE"""),"MON+WED")</f>
        <v>MON+WED</v>
      </c>
      <c r="F490" s="8" t="str">
        <f>IFERROR(__xludf.DUMMYFUNCTION("""COMPUTED_VALUE"""),"2:00 PM")</f>
        <v>2:00 PM</v>
      </c>
      <c r="G490" s="9" t="str">
        <f>IFERROR(__xludf.DUMMYFUNCTION("""COMPUTED_VALUE"""),"07F-22C")</f>
        <v>07F-22C</v>
      </c>
      <c r="H490" s="8" t="str">
        <f>IFERROR(__xludf.DUMMYFUNCTION("""COMPUTED_VALUE"""),"RRH,CQAE")</f>
        <v>RRH,CQAE</v>
      </c>
      <c r="I490" s="8" t="str">
        <f>IFERROR(__xludf.DUMMYFUNCTION("""COMPUTED_VALUE"""),"TUE")</f>
        <v>TUE</v>
      </c>
      <c r="J490" s="8" t="str">
        <f>IFERROR(__xludf.DUMMYFUNCTION("""COMPUTED_VALUE"""),"8:00 AM")</f>
        <v>8:00 AM</v>
      </c>
      <c r="K490" s="8" t="str">
        <f>IFERROR(__xludf.DUMMYFUNCTION("""COMPUTED_VALUE"""),"09B-11L")</f>
        <v>09B-11L</v>
      </c>
      <c r="L490" s="8"/>
      <c r="M490" s="10" t="str">
        <f>IFERROR(VLOOKUP(D490,FacultyList!B:G,6,FALSE),"")</f>
        <v>mohammad.rakibul@bracu.ac.bd</v>
      </c>
    </row>
    <row r="491">
      <c r="A491" s="5" t="str">
        <f>IFERROR(__xludf.DUMMYFUNCTION("""COMPUTED_VALUE"""),"CSE427-10")</f>
        <v>CSE427-10</v>
      </c>
      <c r="B491" s="8"/>
      <c r="C491" s="8"/>
      <c r="D491" s="8" t="str">
        <f>IFERROR(__xludf.DUMMYFUNCTION("""COMPUTED_VALUE"""),"RKBM")</f>
        <v>RKBM</v>
      </c>
      <c r="E491" s="8" t="str">
        <f>IFERROR(__xludf.DUMMYFUNCTION("""COMPUTED_VALUE"""),"MON+WED")</f>
        <v>MON+WED</v>
      </c>
      <c r="F491" s="8" t="str">
        <f>IFERROR(__xludf.DUMMYFUNCTION("""COMPUTED_VALUE"""),"3:30 PM")</f>
        <v>3:30 PM</v>
      </c>
      <c r="G491" s="9" t="str">
        <f>IFERROR(__xludf.DUMMYFUNCTION("""COMPUTED_VALUE"""),"07F-22C")</f>
        <v>07F-22C</v>
      </c>
      <c r="H491" s="8" t="str">
        <f>IFERROR(__xludf.DUMMYFUNCTION("""COMPUTED_VALUE"""),"CMHH,CQAE")</f>
        <v>CMHH,CQAE</v>
      </c>
      <c r="I491" s="8" t="str">
        <f>IFERROR(__xludf.DUMMYFUNCTION("""COMPUTED_VALUE"""),"TUE")</f>
        <v>TUE</v>
      </c>
      <c r="J491" s="8" t="str">
        <f>IFERROR(__xludf.DUMMYFUNCTION("""COMPUTED_VALUE"""),"11:00 AM")</f>
        <v>11:00 AM</v>
      </c>
      <c r="K491" s="8" t="str">
        <f>IFERROR(__xludf.DUMMYFUNCTION("""COMPUTED_VALUE"""),"09B-11L")</f>
        <v>09B-11L</v>
      </c>
      <c r="L491" s="8"/>
      <c r="M491" s="10" t="str">
        <f>IFERROR(VLOOKUP(D491,FacultyList!B:G,6,FALSE),"")</f>
        <v>mohammad.rakibul@bracu.ac.bd</v>
      </c>
    </row>
    <row r="492">
      <c r="A492" s="5" t="str">
        <f>IFERROR(__xludf.DUMMYFUNCTION("""COMPUTED_VALUE"""),"CSE428-01")</f>
        <v>CSE428-01</v>
      </c>
      <c r="B492" s="8" t="str">
        <f>IFERROR(__xludf.DUMMYFUNCTION("""COMPUTED_VALUE"""),"EEE476")</f>
        <v>EEE476</v>
      </c>
      <c r="C492" s="8"/>
      <c r="D492" s="8" t="str">
        <f>IFERROR(__xludf.DUMMYFUNCTION("""COMPUTED_VALUE"""),"MUNR")</f>
        <v>MUNR</v>
      </c>
      <c r="E492" s="8" t="str">
        <f>IFERROR(__xludf.DUMMYFUNCTION("""COMPUTED_VALUE"""),"MON+WED")</f>
        <v>MON+WED</v>
      </c>
      <c r="F492" s="8" t="str">
        <f>IFERROR(__xludf.DUMMYFUNCTION("""COMPUTED_VALUE"""),"12:30 PM")</f>
        <v>12:30 PM</v>
      </c>
      <c r="G492" s="9" t="str">
        <f>IFERROR(__xludf.DUMMYFUNCTION("""COMPUTED_VALUE"""),"09H-33C")</f>
        <v>09H-33C</v>
      </c>
      <c r="H492" s="8" t="str">
        <f>IFERROR(__xludf.DUMMYFUNCTION("""COMPUTED_VALUE"""),"TAV,SHJR")</f>
        <v>TAV,SHJR</v>
      </c>
      <c r="I492" s="8" t="str">
        <f>IFERROR(__xludf.DUMMYFUNCTION("""COMPUTED_VALUE"""),"TUE")</f>
        <v>TUE</v>
      </c>
      <c r="J492" s="8" t="str">
        <f>IFERROR(__xludf.DUMMYFUNCTION("""COMPUTED_VALUE"""),"11:00 AM")</f>
        <v>11:00 AM</v>
      </c>
      <c r="K492" s="8" t="str">
        <f>IFERROR(__xludf.DUMMYFUNCTION("""COMPUTED_VALUE"""),"09F-26L")</f>
        <v>09F-26L</v>
      </c>
      <c r="L492" s="8"/>
      <c r="M492" s="10" t="str">
        <f>IFERROR(VLOOKUP(D492,FacultyList!B:G,6,FALSE),"")</f>
        <v>abm.muntasir@bracu.ac.bd</v>
      </c>
    </row>
    <row r="493">
      <c r="A493" s="5" t="str">
        <f>IFERROR(__xludf.DUMMYFUNCTION("""COMPUTED_VALUE"""),"CSE428-02")</f>
        <v>CSE428-02</v>
      </c>
      <c r="B493" s="8" t="str">
        <f>IFERROR(__xludf.DUMMYFUNCTION("""COMPUTED_VALUE"""),"EEE476")</f>
        <v>EEE476</v>
      </c>
      <c r="C493" s="8"/>
      <c r="D493" s="8" t="str">
        <f>IFERROR(__xludf.DUMMYFUNCTION("""COMPUTED_VALUE"""),"MOM")</f>
        <v>MOM</v>
      </c>
      <c r="E493" s="8" t="str">
        <f>IFERROR(__xludf.DUMMYFUNCTION("""COMPUTED_VALUE"""),"SAT+THU")</f>
        <v>SAT+THU</v>
      </c>
      <c r="F493" s="8" t="str">
        <f>IFERROR(__xludf.DUMMYFUNCTION("""COMPUTED_VALUE"""),"9:30 AM")</f>
        <v>9:30 AM</v>
      </c>
      <c r="G493" s="9" t="str">
        <f>IFERROR(__xludf.DUMMYFUNCTION("""COMPUTED_VALUE"""),"09C-13C")</f>
        <v>09C-13C</v>
      </c>
      <c r="H493" s="8" t="str">
        <f>IFERROR(__xludf.DUMMYFUNCTION("""COMPUTED_VALUE"""),"EHQ,UTS")</f>
        <v>EHQ,UTS</v>
      </c>
      <c r="I493" s="8" t="str">
        <f>IFERROR(__xludf.DUMMYFUNCTION("""COMPUTED_VALUE"""),"MON")</f>
        <v>MON</v>
      </c>
      <c r="J493" s="8" t="str">
        <f>IFERROR(__xludf.DUMMYFUNCTION("""COMPUTED_VALUE"""),"11:00 AM")</f>
        <v>11:00 AM</v>
      </c>
      <c r="K493" s="8" t="str">
        <f>IFERROR(__xludf.DUMMYFUNCTION("""COMPUTED_VALUE"""),"10G-32L")</f>
        <v>10G-32L</v>
      </c>
      <c r="L493" s="8"/>
      <c r="M493" s="10" t="str">
        <f>IFERROR(VLOOKUP(D493,FacultyList!B:G,6,FALSE),"")</f>
        <v>moynul.moni@bracu.ac.bd</v>
      </c>
    </row>
    <row r="494">
      <c r="A494" s="5" t="str">
        <f>IFERROR(__xludf.DUMMYFUNCTION("""COMPUTED_VALUE"""),"CSE428-03")</f>
        <v>CSE428-03</v>
      </c>
      <c r="B494" s="8" t="str">
        <f>IFERROR(__xludf.DUMMYFUNCTION("""COMPUTED_VALUE"""),"EEE476")</f>
        <v>EEE476</v>
      </c>
      <c r="C494" s="8"/>
      <c r="D494" s="8" t="str">
        <f>IFERROR(__xludf.DUMMYFUNCTION("""COMPUTED_VALUE"""),"SDQ")</f>
        <v>SDQ</v>
      </c>
      <c r="E494" s="8" t="str">
        <f>IFERROR(__xludf.DUMMYFUNCTION("""COMPUTED_VALUE"""),"MON+WED")</f>
        <v>MON+WED</v>
      </c>
      <c r="F494" s="8" t="str">
        <f>IFERROR(__xludf.DUMMYFUNCTION("""COMPUTED_VALUE"""),"3:30 PM")</f>
        <v>3:30 PM</v>
      </c>
      <c r="G494" s="9" t="str">
        <f>IFERROR(__xludf.DUMMYFUNCTION("""COMPUTED_VALUE"""),"10B-16C")</f>
        <v>10B-16C</v>
      </c>
      <c r="H494" s="8" t="str">
        <f>IFERROR(__xludf.DUMMYFUNCTION("""COMPUTED_VALUE"""),"SDQ,MOM")</f>
        <v>SDQ,MOM</v>
      </c>
      <c r="I494" s="8" t="str">
        <f>IFERROR(__xludf.DUMMYFUNCTION("""COMPUTED_VALUE"""),"TUE")</f>
        <v>TUE</v>
      </c>
      <c r="J494" s="8" t="str">
        <f>IFERROR(__xludf.DUMMYFUNCTION("""COMPUTED_VALUE"""),"2:00 PM")</f>
        <v>2:00 PM</v>
      </c>
      <c r="K494" s="8" t="str">
        <f>IFERROR(__xludf.DUMMYFUNCTION("""COMPUTED_VALUE"""),"09B-10L")</f>
        <v>09B-10L</v>
      </c>
      <c r="L494" s="8"/>
      <c r="M494" s="10" t="str">
        <f>IFERROR(VLOOKUP(D494,FacultyList!B:G,6,FALSE),"")</f>
        <v>saiful.bari@bracu.ac.bd</v>
      </c>
    </row>
    <row r="495">
      <c r="A495" s="5" t="str">
        <f>IFERROR(__xludf.DUMMYFUNCTION("""COMPUTED_VALUE"""),"CSE428-04")</f>
        <v>CSE428-04</v>
      </c>
      <c r="B495" s="8" t="str">
        <f>IFERROR(__xludf.DUMMYFUNCTION("""COMPUTED_VALUE"""),"EEE476")</f>
        <v>EEE476</v>
      </c>
      <c r="C495" s="8"/>
      <c r="D495" s="8" t="str">
        <f>IFERROR(__xludf.DUMMYFUNCTION("""COMPUTED_VALUE"""),"EHQ")</f>
        <v>EHQ</v>
      </c>
      <c r="E495" s="8" t="str">
        <f>IFERROR(__xludf.DUMMYFUNCTION("""COMPUTED_VALUE"""),"SUN+TUE")</f>
        <v>SUN+TUE</v>
      </c>
      <c r="F495" s="8" t="str">
        <f>IFERROR(__xludf.DUMMYFUNCTION("""COMPUTED_VALUE"""),"12:30 PM")</f>
        <v>12:30 PM</v>
      </c>
      <c r="G495" s="9" t="str">
        <f>IFERROR(__xludf.DUMMYFUNCTION("""COMPUTED_VALUE"""),"09A-04C")</f>
        <v>09A-04C</v>
      </c>
      <c r="H495" s="8" t="str">
        <f>IFERROR(__xludf.DUMMYFUNCTION("""COMPUTED_VALUE"""),"AHA,CSSA")</f>
        <v>AHA,CSSA</v>
      </c>
      <c r="I495" s="8" t="str">
        <f>IFERROR(__xludf.DUMMYFUNCTION("""COMPUTED_VALUE"""),"MON")</f>
        <v>MON</v>
      </c>
      <c r="J495" s="8" t="str">
        <f>IFERROR(__xludf.DUMMYFUNCTION("""COMPUTED_VALUE"""),"8:00 AM")</f>
        <v>8:00 AM</v>
      </c>
      <c r="K495" s="8" t="str">
        <f>IFERROR(__xludf.DUMMYFUNCTION("""COMPUTED_VALUE"""),"09F-26L")</f>
        <v>09F-26L</v>
      </c>
      <c r="L495" s="8"/>
      <c r="M495" s="10" t="str">
        <f>IFERROR(VLOOKUP(D495,FacultyList!B:G,6,FALSE),"")</f>
        <v>ehtashamul.haque@bracu.ac.bd</v>
      </c>
    </row>
    <row r="496">
      <c r="A496" s="5" t="str">
        <f>IFERROR(__xludf.DUMMYFUNCTION("""COMPUTED_VALUE"""),"CSE430-01")</f>
        <v>CSE430-01</v>
      </c>
      <c r="B496" s="8"/>
      <c r="C496" s="8"/>
      <c r="D496" s="8" t="str">
        <f>IFERROR(__xludf.DUMMYFUNCTION("""COMPUTED_VALUE"""),"EHQ")</f>
        <v>EHQ</v>
      </c>
      <c r="E496" s="8" t="str">
        <f>IFERROR(__xludf.DUMMYFUNCTION("""COMPUTED_VALUE"""),"SUN+TUE")</f>
        <v>SUN+TUE</v>
      </c>
      <c r="F496" s="8" t="str">
        <f>IFERROR(__xludf.DUMMYFUNCTION("""COMPUTED_VALUE"""),"3:30 PM")</f>
        <v>3:30 PM</v>
      </c>
      <c r="G496" s="9" t="str">
        <f>IFERROR(__xludf.DUMMYFUNCTION("""COMPUTED_VALUE"""),"10B-16C")</f>
        <v>10B-16C</v>
      </c>
      <c r="H496" s="8" t="str">
        <f>IFERROR(__xludf.DUMMYFUNCTION("""COMPUTED_VALUE"""),"EHQ,TAV")</f>
        <v>EHQ,TAV</v>
      </c>
      <c r="I496" s="8" t="str">
        <f>IFERROR(__xludf.DUMMYFUNCTION("""COMPUTED_VALUE"""),"MON")</f>
        <v>MON</v>
      </c>
      <c r="J496" s="8" t="str">
        <f>IFERROR(__xludf.DUMMYFUNCTION("""COMPUTED_VALUE"""),"2:00 PM")</f>
        <v>2:00 PM</v>
      </c>
      <c r="K496" s="8" t="str">
        <f>IFERROR(__xludf.DUMMYFUNCTION("""COMPUTED_VALUE"""),"12D-26L")</f>
        <v>12D-26L</v>
      </c>
      <c r="L496" s="8"/>
      <c r="M496" s="10" t="str">
        <f>IFERROR(VLOOKUP(D496,FacultyList!B:G,6,FALSE),"")</f>
        <v>ehtashamul.haque@bracu.ac.bd</v>
      </c>
    </row>
    <row r="497">
      <c r="A497" s="5" t="str">
        <f>IFERROR(__xludf.DUMMYFUNCTION("""COMPUTED_VALUE"""),"CSE437-01")</f>
        <v>CSE437-01</v>
      </c>
      <c r="B497" s="8"/>
      <c r="C497" s="8"/>
      <c r="D497" s="8" t="str">
        <f>IFERROR(__xludf.DUMMYFUNCTION("""COMPUTED_VALUE"""),"GRA")</f>
        <v>GRA</v>
      </c>
      <c r="E497" s="8" t="str">
        <f>IFERROR(__xludf.DUMMYFUNCTION("""COMPUTED_VALUE"""),"SAT+THU")</f>
        <v>SAT+THU</v>
      </c>
      <c r="F497" s="8" t="str">
        <f>IFERROR(__xludf.DUMMYFUNCTION("""COMPUTED_VALUE"""),"2:00 PM")</f>
        <v>2:00 PM</v>
      </c>
      <c r="G497" s="9" t="str">
        <f>IFERROR(__xludf.DUMMYFUNCTION("""COMPUTED_VALUE"""),"09C-16T")</f>
        <v>09C-16T</v>
      </c>
      <c r="H497" s="8"/>
      <c r="I497" s="8"/>
      <c r="J497" s="8"/>
      <c r="K497" s="8"/>
      <c r="L497" s="8"/>
      <c r="M497" s="10" t="str">
        <f>IFERROR(VLOOKUP(D497,FacultyList!B:G,6,FALSE),"")</f>
        <v>rabiul.alam@bracu.ac.bd</v>
      </c>
    </row>
    <row r="498">
      <c r="A498" s="5" t="str">
        <f>IFERROR(__xludf.DUMMYFUNCTION("""COMPUTED_VALUE"""),"CSE437-02")</f>
        <v>CSE437-02</v>
      </c>
      <c r="B498" s="8"/>
      <c r="C498" s="8"/>
      <c r="D498" s="8" t="str">
        <f>IFERROR(__xludf.DUMMYFUNCTION("""COMPUTED_VALUE"""),"GRA")</f>
        <v>GRA</v>
      </c>
      <c r="E498" s="8" t="str">
        <f>IFERROR(__xludf.DUMMYFUNCTION("""COMPUTED_VALUE"""),"SAT+THU")</f>
        <v>SAT+THU</v>
      </c>
      <c r="F498" s="8" t="str">
        <f>IFERROR(__xludf.DUMMYFUNCTION("""COMPUTED_VALUE"""),"2:00 PM")</f>
        <v>2:00 PM</v>
      </c>
      <c r="G498" s="9" t="str">
        <f>IFERROR(__xludf.DUMMYFUNCTION("""COMPUTED_VALUE"""),"09C-16T")</f>
        <v>09C-16T</v>
      </c>
      <c r="H498" s="8"/>
      <c r="I498" s="8"/>
      <c r="J498" s="8"/>
      <c r="K498" s="8"/>
      <c r="L498" s="8"/>
      <c r="M498" s="10" t="str">
        <f>IFERROR(VLOOKUP(D498,FacultyList!B:G,6,FALSE),"")</f>
        <v>rabiul.alam@bracu.ac.bd</v>
      </c>
    </row>
    <row r="499">
      <c r="A499" s="5" t="str">
        <f>IFERROR(__xludf.DUMMYFUNCTION("""COMPUTED_VALUE"""),"CSE437-03")</f>
        <v>CSE437-03</v>
      </c>
      <c r="B499" s="8"/>
      <c r="C499" s="8"/>
      <c r="D499" s="8" t="str">
        <f>IFERROR(__xludf.DUMMYFUNCTION("""COMPUTED_VALUE"""),"NFF")</f>
        <v>NFF</v>
      </c>
      <c r="E499" s="8" t="str">
        <f>IFERROR(__xludf.DUMMYFUNCTION("""COMPUTED_VALUE"""),"SAT+THU")</f>
        <v>SAT+THU</v>
      </c>
      <c r="F499" s="8" t="str">
        <f>IFERROR(__xludf.DUMMYFUNCTION("""COMPUTED_VALUE"""),"2:00 PM")</f>
        <v>2:00 PM</v>
      </c>
      <c r="G499" s="9" t="str">
        <f>IFERROR(__xludf.DUMMYFUNCTION("""COMPUTED_VALUE"""),"09C-16T")</f>
        <v>09C-16T</v>
      </c>
      <c r="H499" s="8"/>
      <c r="I499" s="8"/>
      <c r="J499" s="8"/>
      <c r="K499" s="8"/>
      <c r="L499" s="8"/>
      <c r="M499" s="10" t="str">
        <f>IFERROR(VLOOKUP(D499,FacultyList!B:G,6,FALSE),"")</f>
        <v>ext.nafiz.rafin@bracu.ac.bd</v>
      </c>
    </row>
    <row r="500">
      <c r="A500" s="5" t="str">
        <f>IFERROR(__xludf.DUMMYFUNCTION("""COMPUTED_VALUE"""),"CSE437-04")</f>
        <v>CSE437-04</v>
      </c>
      <c r="B500" s="8"/>
      <c r="C500" s="8"/>
      <c r="D500" s="8" t="str">
        <f>IFERROR(__xludf.DUMMYFUNCTION("""COMPUTED_VALUE"""),"NFF")</f>
        <v>NFF</v>
      </c>
      <c r="E500" s="8" t="str">
        <f>IFERROR(__xludf.DUMMYFUNCTION("""COMPUTED_VALUE"""),"SAT+THU")</f>
        <v>SAT+THU</v>
      </c>
      <c r="F500" s="8" t="str">
        <f>IFERROR(__xludf.DUMMYFUNCTION("""COMPUTED_VALUE"""),"2:00 PM")</f>
        <v>2:00 PM</v>
      </c>
      <c r="G500" s="9" t="str">
        <f>IFERROR(__xludf.DUMMYFUNCTION("""COMPUTED_VALUE"""),"09C-16T")</f>
        <v>09C-16T</v>
      </c>
      <c r="H500" s="8"/>
      <c r="I500" s="8"/>
      <c r="J500" s="8"/>
      <c r="K500" s="8"/>
      <c r="L500" s="8"/>
      <c r="M500" s="10" t="str">
        <f>IFERROR(VLOOKUP(D500,FacultyList!B:G,6,FALSE),"")</f>
        <v>ext.nafiz.rafin@bracu.ac.bd</v>
      </c>
    </row>
    <row r="501">
      <c r="A501" s="5" t="str">
        <f>IFERROR(__xludf.DUMMYFUNCTION("""COMPUTED_VALUE"""),"CSE440-01")</f>
        <v>CSE440-01</v>
      </c>
      <c r="B501" s="8"/>
      <c r="C501" s="8"/>
      <c r="D501" s="8" t="str">
        <f>IFERROR(__xludf.DUMMYFUNCTION("""COMPUTED_VALUE"""),"FYS")</f>
        <v>FYS</v>
      </c>
      <c r="E501" s="8" t="str">
        <f>IFERROR(__xludf.DUMMYFUNCTION("""COMPUTED_VALUE"""),"MON+WED")</f>
        <v>MON+WED</v>
      </c>
      <c r="F501" s="8" t="str">
        <f>IFERROR(__xludf.DUMMYFUNCTION("""COMPUTED_VALUE"""),"12:30 PM")</f>
        <v>12:30 PM</v>
      </c>
      <c r="G501" s="9" t="str">
        <f>IFERROR(__xludf.DUMMYFUNCTION("""COMPUTED_VALUE"""),"09C-16T")</f>
        <v>09C-16T</v>
      </c>
      <c r="H501" s="8" t="str">
        <f>IFERROR(__xludf.DUMMYFUNCTION("""COMPUTED_VALUE"""),"MCW,NLH")</f>
        <v>MCW,NLH</v>
      </c>
      <c r="I501" s="8" t="str">
        <f>IFERROR(__xludf.DUMMYFUNCTION("""COMPUTED_VALUE"""),"SUN")</f>
        <v>SUN</v>
      </c>
      <c r="J501" s="8" t="str">
        <f>IFERROR(__xludf.DUMMYFUNCTION("""COMPUTED_VALUE"""),"11:00 AM")</f>
        <v>11:00 AM</v>
      </c>
      <c r="K501" s="8" t="str">
        <f>IFERROR(__xludf.DUMMYFUNCTION("""COMPUTED_VALUE"""),"12F-30L")</f>
        <v>12F-30L</v>
      </c>
      <c r="L501" s="8"/>
      <c r="M501" s="10" t="str">
        <f>IFERROR(VLOOKUP(D501,FacultyList!B:G,6,FALSE),"")</f>
        <v>farig.sadeque@bracu.ac.bd</v>
      </c>
    </row>
    <row r="502">
      <c r="A502" s="5" t="str">
        <f>IFERROR(__xludf.DUMMYFUNCTION("""COMPUTED_VALUE"""),"CSE440-02")</f>
        <v>CSE440-02</v>
      </c>
      <c r="B502" s="8"/>
      <c r="C502" s="8"/>
      <c r="D502" s="8" t="str">
        <f>IFERROR(__xludf.DUMMYFUNCTION("""COMPUTED_VALUE"""),"NLH")</f>
        <v>NLH</v>
      </c>
      <c r="E502" s="8" t="str">
        <f>IFERROR(__xludf.DUMMYFUNCTION("""COMPUTED_VALUE"""),"MON+WED")</f>
        <v>MON+WED</v>
      </c>
      <c r="F502" s="8" t="str">
        <f>IFERROR(__xludf.DUMMYFUNCTION("""COMPUTED_VALUE"""),"12:30 PM")</f>
        <v>12:30 PM</v>
      </c>
      <c r="G502" s="9" t="str">
        <f>IFERROR(__xludf.DUMMYFUNCTION("""COMPUTED_VALUE"""),"09C-16T")</f>
        <v>09C-16T</v>
      </c>
      <c r="H502" s="8" t="str">
        <f>IFERROR(__xludf.DUMMYFUNCTION("""COMPUTED_VALUE"""),"MCW,NLH")</f>
        <v>MCW,NLH</v>
      </c>
      <c r="I502" s="8" t="str">
        <f>IFERROR(__xludf.DUMMYFUNCTION("""COMPUTED_VALUE"""),"SUN")</f>
        <v>SUN</v>
      </c>
      <c r="J502" s="8" t="str">
        <f>IFERROR(__xludf.DUMMYFUNCTION("""COMPUTED_VALUE"""),"11:00 AM")</f>
        <v>11:00 AM</v>
      </c>
      <c r="K502" s="8" t="str">
        <f>IFERROR(__xludf.DUMMYFUNCTION("""COMPUTED_VALUE"""),"12F-30L")</f>
        <v>12F-30L</v>
      </c>
      <c r="L502" s="8"/>
      <c r="M502" s="10" t="str">
        <f>IFERROR(VLOOKUP(D502,FacultyList!B:G,6,FALSE),"")</f>
        <v>niloy.farhan@bracu.ac.bd</v>
      </c>
    </row>
    <row r="503">
      <c r="A503" s="5" t="str">
        <f>IFERROR(__xludf.DUMMYFUNCTION("""COMPUTED_VALUE"""),"CSE440-03")</f>
        <v>CSE440-03</v>
      </c>
      <c r="B503" s="8"/>
      <c r="C503" s="8"/>
      <c r="D503" s="8" t="str">
        <f>IFERROR(__xludf.DUMMYFUNCTION("""COMPUTED_VALUE"""),"NLH")</f>
        <v>NLH</v>
      </c>
      <c r="E503" s="8" t="str">
        <f>IFERROR(__xludf.DUMMYFUNCTION("""COMPUTED_VALUE"""),"MON+WED")</f>
        <v>MON+WED</v>
      </c>
      <c r="F503" s="8" t="str">
        <f>IFERROR(__xludf.DUMMYFUNCTION("""COMPUTED_VALUE"""),"12:30 PM")</f>
        <v>12:30 PM</v>
      </c>
      <c r="G503" s="9" t="str">
        <f>IFERROR(__xludf.DUMMYFUNCTION("""COMPUTED_VALUE"""),"09C-16T")</f>
        <v>09C-16T</v>
      </c>
      <c r="H503" s="8" t="str">
        <f>IFERROR(__xludf.DUMMYFUNCTION("""COMPUTED_VALUE"""),"AYO,LBBH")</f>
        <v>AYO,LBBH</v>
      </c>
      <c r="I503" s="8" t="str">
        <f>IFERROR(__xludf.DUMMYFUNCTION("""COMPUTED_VALUE"""),"TUE")</f>
        <v>TUE</v>
      </c>
      <c r="J503" s="8" t="str">
        <f>IFERROR(__xludf.DUMMYFUNCTION("""COMPUTED_VALUE"""),"11:00 AM")</f>
        <v>11:00 AM</v>
      </c>
      <c r="K503" s="8" t="str">
        <f>IFERROR(__xludf.DUMMYFUNCTION("""COMPUTED_VALUE"""),"12F-32L")</f>
        <v>12F-32L</v>
      </c>
      <c r="L503" s="8"/>
      <c r="M503" s="10" t="str">
        <f>IFERROR(VLOOKUP(D503,FacultyList!B:G,6,FALSE),"")</f>
        <v>niloy.farhan@bracu.ac.bd</v>
      </c>
    </row>
    <row r="504">
      <c r="A504" s="5" t="str">
        <f>IFERROR(__xludf.DUMMYFUNCTION("""COMPUTED_VALUE"""),"CSE440-04")</f>
        <v>CSE440-04</v>
      </c>
      <c r="B504" s="8"/>
      <c r="C504" s="8"/>
      <c r="D504" s="8" t="str">
        <f>IFERROR(__xludf.DUMMYFUNCTION("""COMPUTED_VALUE"""),"NLH")</f>
        <v>NLH</v>
      </c>
      <c r="E504" s="8" t="str">
        <f>IFERROR(__xludf.DUMMYFUNCTION("""COMPUTED_VALUE"""),"MON+WED")</f>
        <v>MON+WED</v>
      </c>
      <c r="F504" s="8" t="str">
        <f>IFERROR(__xludf.DUMMYFUNCTION("""COMPUTED_VALUE"""),"12:30 PM")</f>
        <v>12:30 PM</v>
      </c>
      <c r="G504" s="9" t="str">
        <f>IFERROR(__xludf.DUMMYFUNCTION("""COMPUTED_VALUE"""),"09C-16T")</f>
        <v>09C-16T</v>
      </c>
      <c r="H504" s="8" t="str">
        <f>IFERROR(__xludf.DUMMYFUNCTION("""COMPUTED_VALUE"""),"AYO,LBBH")</f>
        <v>AYO,LBBH</v>
      </c>
      <c r="I504" s="8" t="str">
        <f>IFERROR(__xludf.DUMMYFUNCTION("""COMPUTED_VALUE"""),"TUE")</f>
        <v>TUE</v>
      </c>
      <c r="J504" s="8" t="str">
        <f>IFERROR(__xludf.DUMMYFUNCTION("""COMPUTED_VALUE"""),"11:00 AM")</f>
        <v>11:00 AM</v>
      </c>
      <c r="K504" s="8" t="str">
        <f>IFERROR(__xludf.DUMMYFUNCTION("""COMPUTED_VALUE"""),"12F-32L")</f>
        <v>12F-32L</v>
      </c>
      <c r="L504" s="8"/>
      <c r="M504" s="10" t="str">
        <f>IFERROR(VLOOKUP(D504,FacultyList!B:G,6,FALSE),"")</f>
        <v>niloy.farhan@bracu.ac.bd</v>
      </c>
    </row>
    <row r="505">
      <c r="A505" s="5" t="str">
        <f>IFERROR(__xludf.DUMMYFUNCTION("""COMPUTED_VALUE"""),"CSE443-01")</f>
        <v>CSE443-01</v>
      </c>
      <c r="B505" s="8"/>
      <c r="C505" s="8"/>
      <c r="D505" s="8" t="str">
        <f>IFERROR(__xludf.DUMMYFUNCTION("""COMPUTED_VALUE"""),"SWK")</f>
        <v>SWK</v>
      </c>
      <c r="E505" s="8" t="str">
        <f>IFERROR(__xludf.DUMMYFUNCTION("""COMPUTED_VALUE"""),"MON+WED")</f>
        <v>MON+WED</v>
      </c>
      <c r="F505" s="8" t="str">
        <f>IFERROR(__xludf.DUMMYFUNCTION("""COMPUTED_VALUE"""),"8:00 AM")</f>
        <v>8:00 AM</v>
      </c>
      <c r="G505" s="9" t="str">
        <f>IFERROR(__xludf.DUMMYFUNCTION("""COMPUTED_VALUE"""),"10B-15C")</f>
        <v>10B-15C</v>
      </c>
      <c r="H505" s="8"/>
      <c r="I505" s="8"/>
      <c r="J505" s="8"/>
      <c r="K505" s="8"/>
      <c r="L505" s="8"/>
      <c r="M505" s="10" t="str">
        <f>IFERROR(VLOOKUP(D505,FacultyList!B:G,6,FALSE),"")</f>
        <v>swakkhar.shatabda@bracu.ac.bd</v>
      </c>
    </row>
    <row r="506">
      <c r="A506" s="5" t="str">
        <f>IFERROR(__xludf.DUMMYFUNCTION("""COMPUTED_VALUE"""),"CSE446-01")</f>
        <v>CSE446-01</v>
      </c>
      <c r="B506" s="8"/>
      <c r="C506" s="8"/>
      <c r="D506" s="8" t="str">
        <f>IFERROR(__xludf.DUMMYFUNCTION("""COMPUTED_VALUE"""),"SDF")</f>
        <v>SDF</v>
      </c>
      <c r="E506" s="8" t="str">
        <f>IFERROR(__xludf.DUMMYFUNCTION("""COMPUTED_VALUE"""),"MON+WED")</f>
        <v>MON+WED</v>
      </c>
      <c r="F506" s="8" t="str">
        <f>IFERROR(__xludf.DUMMYFUNCTION("""COMPUTED_VALUE"""),"11:00 AM")</f>
        <v>11:00 AM</v>
      </c>
      <c r="G506" s="9" t="str">
        <f>IFERROR(__xludf.DUMMYFUNCTION("""COMPUTED_VALUE"""),"10A-04C")</f>
        <v>10A-04C</v>
      </c>
      <c r="H506" s="8" t="str">
        <f>IFERROR(__xludf.DUMMYFUNCTION("""COMPUTED_VALUE"""),"MLH,SJM")</f>
        <v>MLH,SJM</v>
      </c>
      <c r="I506" s="8" t="str">
        <f>IFERROR(__xludf.DUMMYFUNCTION("""COMPUTED_VALUE"""),"TUE")</f>
        <v>TUE</v>
      </c>
      <c r="J506" s="8" t="str">
        <f>IFERROR(__xludf.DUMMYFUNCTION("""COMPUTED_VALUE"""),"11:00 AM")</f>
        <v>11:00 AM</v>
      </c>
      <c r="K506" s="8" t="str">
        <f>IFERROR(__xludf.DUMMYFUNCTION("""COMPUTED_VALUE"""),"10E-27L")</f>
        <v>10E-27L</v>
      </c>
      <c r="L506" s="8"/>
      <c r="M506" s="10" t="str">
        <f>IFERROR(VLOOKUP(D506,FacultyList!B:G,6,FALSE),"")</f>
        <v>sadek.ferdous@bracu.ac.bd</v>
      </c>
    </row>
    <row r="507">
      <c r="A507" s="5" t="str">
        <f>IFERROR(__xludf.DUMMYFUNCTION("""COMPUTED_VALUE"""),"CSE447-01")</f>
        <v>CSE447-01</v>
      </c>
      <c r="B507" s="8"/>
      <c r="C507" s="8"/>
      <c r="D507" s="8" t="str">
        <f>IFERROR(__xludf.DUMMYFUNCTION("""COMPUTED_VALUE"""),"MIH")</f>
        <v>MIH</v>
      </c>
      <c r="E507" s="8" t="str">
        <f>IFERROR(__xludf.DUMMYFUNCTION("""COMPUTED_VALUE"""),"MON+WED")</f>
        <v>MON+WED</v>
      </c>
      <c r="F507" s="8" t="str">
        <f>IFERROR(__xludf.DUMMYFUNCTION("""COMPUTED_VALUE"""),"11:00 AM")</f>
        <v>11:00 AM</v>
      </c>
      <c r="G507" s="9" t="str">
        <f>IFERROR(__xludf.DUMMYFUNCTION("""COMPUTED_VALUE"""),"09C-16T")</f>
        <v>09C-16T</v>
      </c>
      <c r="H507" s="8" t="str">
        <f>IFERROR(__xludf.DUMMYFUNCTION("""COMPUTED_VALUE"""),"AKHD,SJM")</f>
        <v>AKHD,SJM</v>
      </c>
      <c r="I507" s="8" t="str">
        <f>IFERROR(__xludf.DUMMYFUNCTION("""COMPUTED_VALUE"""),"SAT")</f>
        <v>SAT</v>
      </c>
      <c r="J507" s="8" t="str">
        <f>IFERROR(__xludf.DUMMYFUNCTION("""COMPUTED_VALUE"""),"8:00 AM")</f>
        <v>8:00 AM</v>
      </c>
      <c r="K507" s="8" t="str">
        <f>IFERROR(__xludf.DUMMYFUNCTION("""COMPUTED_VALUE"""),"09F-24L")</f>
        <v>09F-24L</v>
      </c>
      <c r="L507" s="8"/>
      <c r="M507" s="10" t="str">
        <f>IFERROR(VLOOKUP(D507,FacultyList!B:G,6,FALSE),"")</f>
        <v>iqbal.hossain@bracu.ac.bd</v>
      </c>
    </row>
    <row r="508">
      <c r="A508" s="5" t="str">
        <f>IFERROR(__xludf.DUMMYFUNCTION("""COMPUTED_VALUE"""),"CSE447-02")</f>
        <v>CSE447-02</v>
      </c>
      <c r="B508" s="8"/>
      <c r="C508" s="8"/>
      <c r="D508" s="8" t="str">
        <f>IFERROR(__xludf.DUMMYFUNCTION("""COMPUTED_VALUE"""),"MIH")</f>
        <v>MIH</v>
      </c>
      <c r="E508" s="8" t="str">
        <f>IFERROR(__xludf.DUMMYFUNCTION("""COMPUTED_VALUE"""),"MON+WED")</f>
        <v>MON+WED</v>
      </c>
      <c r="F508" s="8" t="str">
        <f>IFERROR(__xludf.DUMMYFUNCTION("""COMPUTED_VALUE"""),"11:00 AM")</f>
        <v>11:00 AM</v>
      </c>
      <c r="G508" s="9" t="str">
        <f>IFERROR(__xludf.DUMMYFUNCTION("""COMPUTED_VALUE"""),"09C-16T")</f>
        <v>09C-16T</v>
      </c>
      <c r="H508" s="8" t="str">
        <f>IFERROR(__xludf.DUMMYFUNCTION("""COMPUTED_VALUE"""),"FFU,FDZ")</f>
        <v>FFU,FDZ</v>
      </c>
      <c r="I508" s="8" t="str">
        <f>IFERROR(__xludf.DUMMYFUNCTION("""COMPUTED_VALUE"""),"SAT")</f>
        <v>SAT</v>
      </c>
      <c r="J508" s="8" t="str">
        <f>IFERROR(__xludf.DUMMYFUNCTION("""COMPUTED_VALUE"""),"11:00 AM")</f>
        <v>11:00 AM</v>
      </c>
      <c r="K508" s="8" t="str">
        <f>IFERROR(__xludf.DUMMYFUNCTION("""COMPUTED_VALUE"""),"09F-24L")</f>
        <v>09F-24L</v>
      </c>
      <c r="L508" s="8"/>
      <c r="M508" s="10" t="str">
        <f>IFERROR(VLOOKUP(D508,FacultyList!B:G,6,FALSE),"")</f>
        <v>iqbal.hossain@bracu.ac.bd</v>
      </c>
    </row>
    <row r="509">
      <c r="A509" s="5" t="str">
        <f>IFERROR(__xludf.DUMMYFUNCTION("""COMPUTED_VALUE"""),"CSE447-03")</f>
        <v>CSE447-03</v>
      </c>
      <c r="B509" s="8"/>
      <c r="C509" s="8"/>
      <c r="D509" s="8" t="str">
        <f>IFERROR(__xludf.DUMMYFUNCTION("""COMPUTED_VALUE"""),"MIH")</f>
        <v>MIH</v>
      </c>
      <c r="E509" s="8" t="str">
        <f>IFERROR(__xludf.DUMMYFUNCTION("""COMPUTED_VALUE"""),"MON+WED")</f>
        <v>MON+WED</v>
      </c>
      <c r="F509" s="8" t="str">
        <f>IFERROR(__xludf.DUMMYFUNCTION("""COMPUTED_VALUE"""),"11:00 AM")</f>
        <v>11:00 AM</v>
      </c>
      <c r="G509" s="9" t="str">
        <f>IFERROR(__xludf.DUMMYFUNCTION("""COMPUTED_VALUE"""),"09C-16T")</f>
        <v>09C-16T</v>
      </c>
      <c r="H509" s="8" t="str">
        <f>IFERROR(__xludf.DUMMYFUNCTION("""COMPUTED_VALUE"""),"FFU,CKMH")</f>
        <v>FFU,CKMH</v>
      </c>
      <c r="I509" s="8" t="str">
        <f>IFERROR(__xludf.DUMMYFUNCTION("""COMPUTED_VALUE"""),"SAT")</f>
        <v>SAT</v>
      </c>
      <c r="J509" s="8" t="str">
        <f>IFERROR(__xludf.DUMMYFUNCTION("""COMPUTED_VALUE"""),"2:00 PM")</f>
        <v>2:00 PM</v>
      </c>
      <c r="K509" s="8" t="str">
        <f>IFERROR(__xludf.DUMMYFUNCTION("""COMPUTED_VALUE"""),"09F-24L")</f>
        <v>09F-24L</v>
      </c>
      <c r="L509" s="8"/>
      <c r="M509" s="10" t="str">
        <f>IFERROR(VLOOKUP(D509,FacultyList!B:G,6,FALSE),"")</f>
        <v>iqbal.hossain@bracu.ac.bd</v>
      </c>
    </row>
    <row r="510">
      <c r="A510" s="5" t="str">
        <f>IFERROR(__xludf.DUMMYFUNCTION("""COMPUTED_VALUE"""),"CSE449-01")</f>
        <v>CSE449-01</v>
      </c>
      <c r="B510" s="8"/>
      <c r="C510" s="8"/>
      <c r="D510" s="8" t="str">
        <f>IFERROR(__xludf.DUMMYFUNCTION("""COMPUTED_VALUE"""),"AAR")</f>
        <v>AAR</v>
      </c>
      <c r="E510" s="8" t="str">
        <f>IFERROR(__xludf.DUMMYFUNCTION("""COMPUTED_VALUE"""),"SUN+SUN")</f>
        <v>SUN+SUN</v>
      </c>
      <c r="F510" s="8" t="str">
        <f>IFERROR(__xludf.DUMMYFUNCTION("""COMPUTED_VALUE"""),"2:00 PM+3:30 PM")</f>
        <v>2:00 PM+3:30 PM</v>
      </c>
      <c r="G510" s="9" t="str">
        <f>IFERROR(__xludf.DUMMYFUNCTION("""COMPUTED_VALUE"""),"08D-14C")</f>
        <v>08D-14C</v>
      </c>
      <c r="H510" s="8"/>
      <c r="I510" s="8"/>
      <c r="J510" s="8"/>
      <c r="K510" s="8"/>
      <c r="L510" s="8"/>
      <c r="M510" s="10" t="str">
        <f>IFERROR(VLOOKUP(D510,FacultyList!B:G,6,FALSE),"")</f>
        <v>annajiat@bracu.ac.bd</v>
      </c>
    </row>
    <row r="511">
      <c r="A511" s="5" t="str">
        <f>IFERROR(__xludf.DUMMYFUNCTION("""COMPUTED_VALUE"""),"CSE460-01")</f>
        <v>CSE460-01</v>
      </c>
      <c r="B511" s="8"/>
      <c r="C511" s="8"/>
      <c r="D511" s="8" t="str">
        <f>IFERROR(__xludf.DUMMYFUNCTION("""COMPUTED_VALUE"""),"UPM")</f>
        <v>UPM</v>
      </c>
      <c r="E511" s="8" t="str">
        <f>IFERROR(__xludf.DUMMYFUNCTION("""COMPUTED_VALUE"""),"SUN+TUE")</f>
        <v>SUN+TUE</v>
      </c>
      <c r="F511" s="8" t="str">
        <f>IFERROR(__xludf.DUMMYFUNCTION("""COMPUTED_VALUE"""),"8:00 AM")</f>
        <v>8:00 AM</v>
      </c>
      <c r="G511" s="9" t="str">
        <f>IFERROR(__xludf.DUMMYFUNCTION("""COMPUTED_VALUE"""),"10B-17C")</f>
        <v>10B-17C</v>
      </c>
      <c r="H511" s="8" t="str">
        <f>IFERROR(__xludf.DUMMYFUNCTION("""COMPUTED_VALUE"""),"SDL,UPM")</f>
        <v>SDL,UPM</v>
      </c>
      <c r="I511" s="8" t="str">
        <f>IFERROR(__xludf.DUMMYFUNCTION("""COMPUTED_VALUE"""),"WED")</f>
        <v>WED</v>
      </c>
      <c r="J511" s="8" t="str">
        <f>IFERROR(__xludf.DUMMYFUNCTION("""COMPUTED_VALUE"""),"11:00 AM")</f>
        <v>11:00 AM</v>
      </c>
      <c r="K511" s="8" t="str">
        <f>IFERROR(__xludf.DUMMYFUNCTION("""COMPUTED_VALUE"""),"09E-22L")</f>
        <v>09E-22L</v>
      </c>
      <c r="L511" s="8"/>
      <c r="M511" s="10" t="str">
        <f>IFERROR(VLOOKUP(D511,FacultyList!B:G,6,FALSE),"")</f>
        <v>tasnim.upoma@bracu.ac.bd</v>
      </c>
    </row>
    <row r="512">
      <c r="A512" s="5" t="str">
        <f>IFERROR(__xludf.DUMMYFUNCTION("""COMPUTED_VALUE"""),"CSE460-02")</f>
        <v>CSE460-02</v>
      </c>
      <c r="B512" s="8"/>
      <c r="C512" s="8"/>
      <c r="D512" s="8" t="str">
        <f>IFERROR(__xludf.DUMMYFUNCTION("""COMPUTED_VALUE"""),"UPM")</f>
        <v>UPM</v>
      </c>
      <c r="E512" s="8" t="str">
        <f>IFERROR(__xludf.DUMMYFUNCTION("""COMPUTED_VALUE"""),"SUN+TUE")</f>
        <v>SUN+TUE</v>
      </c>
      <c r="F512" s="8" t="str">
        <f>IFERROR(__xludf.DUMMYFUNCTION("""COMPUTED_VALUE"""),"9:30 AM")</f>
        <v>9:30 AM</v>
      </c>
      <c r="G512" s="9" t="str">
        <f>IFERROR(__xludf.DUMMYFUNCTION("""COMPUTED_VALUE"""),"07H-26C")</f>
        <v>07H-26C</v>
      </c>
      <c r="H512" s="8" t="str">
        <f>IFERROR(__xludf.DUMMYFUNCTION("""COMPUTED_VALUE"""),"AKJ,ZIZE")</f>
        <v>AKJ,ZIZE</v>
      </c>
      <c r="I512" s="8" t="str">
        <f>IFERROR(__xludf.DUMMYFUNCTION("""COMPUTED_VALUE"""),"SAT")</f>
        <v>SAT</v>
      </c>
      <c r="J512" s="8" t="str">
        <f>IFERROR(__xludf.DUMMYFUNCTION("""COMPUTED_VALUE"""),"2:00 PM")</f>
        <v>2:00 PM</v>
      </c>
      <c r="K512" s="8" t="str">
        <f>IFERROR(__xludf.DUMMYFUNCTION("""COMPUTED_VALUE"""),"09E-21L")</f>
        <v>09E-21L</v>
      </c>
      <c r="L512" s="8"/>
      <c r="M512" s="10" t="str">
        <f>IFERROR(VLOOKUP(D512,FacultyList!B:G,6,FALSE),"")</f>
        <v>tasnim.upoma@bracu.ac.bd</v>
      </c>
    </row>
    <row r="513">
      <c r="A513" s="5" t="str">
        <f>IFERROR(__xludf.DUMMYFUNCTION("""COMPUTED_VALUE"""),"CSE460-03")</f>
        <v>CSE460-03</v>
      </c>
      <c r="B513" s="8"/>
      <c r="C513" s="8"/>
      <c r="D513" s="8" t="str">
        <f>IFERROR(__xludf.DUMMYFUNCTION("""COMPUTED_VALUE"""),"SDU")</f>
        <v>SDU</v>
      </c>
      <c r="E513" s="8" t="str">
        <f>IFERROR(__xludf.DUMMYFUNCTION("""COMPUTED_VALUE"""),"SUN+TUE")</f>
        <v>SUN+TUE</v>
      </c>
      <c r="F513" s="8" t="str">
        <f>IFERROR(__xludf.DUMMYFUNCTION("""COMPUTED_VALUE"""),"11:00 AM")</f>
        <v>11:00 AM</v>
      </c>
      <c r="G513" s="9" t="str">
        <f>IFERROR(__xludf.DUMMYFUNCTION("""COMPUTED_VALUE"""),"10B-17C")</f>
        <v>10B-17C</v>
      </c>
      <c r="H513" s="8" t="str">
        <f>IFERROR(__xludf.DUMMYFUNCTION("""COMPUTED_VALUE"""),"SDU,ARPD")</f>
        <v>SDU,ARPD</v>
      </c>
      <c r="I513" s="8" t="str">
        <f>IFERROR(__xludf.DUMMYFUNCTION("""COMPUTED_VALUE"""),"THU")</f>
        <v>THU</v>
      </c>
      <c r="J513" s="8" t="str">
        <f>IFERROR(__xludf.DUMMYFUNCTION("""COMPUTED_VALUE"""),"2:00 PM")</f>
        <v>2:00 PM</v>
      </c>
      <c r="K513" s="8" t="str">
        <f>IFERROR(__xludf.DUMMYFUNCTION("""COMPUTED_VALUE"""),"09E-21L")</f>
        <v>09E-21L</v>
      </c>
      <c r="L513" s="8"/>
      <c r="M513" s="10" t="str">
        <f>IFERROR(VLOOKUP(D513,FacultyList!B:G,6,FALSE),"")</f>
        <v>shomen.kundu@bracu.ac.bd</v>
      </c>
    </row>
    <row r="514">
      <c r="A514" s="5" t="str">
        <f>IFERROR(__xludf.DUMMYFUNCTION("""COMPUTED_VALUE"""),"CSE460-04")</f>
        <v>CSE460-04</v>
      </c>
      <c r="B514" s="8"/>
      <c r="C514" s="8"/>
      <c r="D514" s="8" t="str">
        <f>IFERROR(__xludf.DUMMYFUNCTION("""COMPUTED_VALUE"""),"ARPD")</f>
        <v>ARPD</v>
      </c>
      <c r="E514" s="8" t="str">
        <f>IFERROR(__xludf.DUMMYFUNCTION("""COMPUTED_VALUE"""),"SUN+TUE")</f>
        <v>SUN+TUE</v>
      </c>
      <c r="F514" s="8" t="str">
        <f>IFERROR(__xludf.DUMMYFUNCTION("""COMPUTED_VALUE"""),"3:30 PM")</f>
        <v>3:30 PM</v>
      </c>
      <c r="G514" s="9" t="str">
        <f>IFERROR(__xludf.DUMMYFUNCTION("""COMPUTED_VALUE"""),"07H-26C")</f>
        <v>07H-26C</v>
      </c>
      <c r="H514" s="8" t="str">
        <f>IFERROR(__xludf.DUMMYFUNCTION("""COMPUTED_VALUE"""),"SDU,UPM")</f>
        <v>SDU,UPM</v>
      </c>
      <c r="I514" s="8" t="str">
        <f>IFERROR(__xludf.DUMMYFUNCTION("""COMPUTED_VALUE"""),"MON")</f>
        <v>MON</v>
      </c>
      <c r="J514" s="8" t="str">
        <f>IFERROR(__xludf.DUMMYFUNCTION("""COMPUTED_VALUE"""),"11:00 AM")</f>
        <v>11:00 AM</v>
      </c>
      <c r="K514" s="8" t="str">
        <f>IFERROR(__xludf.DUMMYFUNCTION("""COMPUTED_VALUE"""),"09E-21L")</f>
        <v>09E-21L</v>
      </c>
      <c r="L514" s="8"/>
      <c r="M514" s="10" t="str">
        <f>IFERROR(VLOOKUP(D514,FacultyList!B:G,6,FALSE),"")</f>
        <v>ext.arpa.roy@bracu.ac.bd</v>
      </c>
    </row>
    <row r="515">
      <c r="A515" s="5" t="str">
        <f>IFERROR(__xludf.DUMMYFUNCTION("""COMPUTED_VALUE"""),"CSE460-05")</f>
        <v>CSE460-05</v>
      </c>
      <c r="B515" s="8"/>
      <c r="C515" s="8"/>
      <c r="D515" s="8" t="str">
        <f>IFERROR(__xludf.DUMMYFUNCTION("""COMPUTED_VALUE"""),"THL")</f>
        <v>THL</v>
      </c>
      <c r="E515" s="8" t="str">
        <f>IFERROR(__xludf.DUMMYFUNCTION("""COMPUTED_VALUE"""),"MON+WED")</f>
        <v>MON+WED</v>
      </c>
      <c r="F515" s="8" t="str">
        <f>IFERROR(__xludf.DUMMYFUNCTION("""COMPUTED_VALUE"""),"8:00 AM")</f>
        <v>8:00 AM</v>
      </c>
      <c r="G515" s="9" t="str">
        <f>IFERROR(__xludf.DUMMYFUNCTION("""COMPUTED_VALUE"""),"09A-01C")</f>
        <v>09A-01C</v>
      </c>
      <c r="H515" s="8" t="str">
        <f>IFERROR(__xludf.DUMMYFUNCTION("""COMPUTED_VALUE"""),"THL,MTOT")</f>
        <v>THL,MTOT</v>
      </c>
      <c r="I515" s="8" t="str">
        <f>IFERROR(__xludf.DUMMYFUNCTION("""COMPUTED_VALUE"""),"SUN")</f>
        <v>SUN</v>
      </c>
      <c r="J515" s="8" t="str">
        <f>IFERROR(__xludf.DUMMYFUNCTION("""COMPUTED_VALUE"""),"2:00 PM")</f>
        <v>2:00 PM</v>
      </c>
      <c r="K515" s="8" t="str">
        <f>IFERROR(__xludf.DUMMYFUNCTION("""COMPUTED_VALUE"""),"10G-32L")</f>
        <v>10G-32L</v>
      </c>
      <c r="L515" s="8"/>
      <c r="M515" s="10" t="str">
        <f>IFERROR(VLOOKUP(D515,FacultyList!B:G,6,FALSE),"")</f>
        <v>tahsin.alam@bracu.ac.bd</v>
      </c>
    </row>
    <row r="516">
      <c r="A516" s="5" t="str">
        <f>IFERROR(__xludf.DUMMYFUNCTION("""COMPUTED_VALUE"""),"CSE460-06")</f>
        <v>CSE460-06</v>
      </c>
      <c r="B516" s="8"/>
      <c r="C516" s="8"/>
      <c r="D516" s="8" t="str">
        <f>IFERROR(__xludf.DUMMYFUNCTION("""COMPUTED_VALUE"""),"THL")</f>
        <v>THL</v>
      </c>
      <c r="E516" s="8" t="str">
        <f>IFERROR(__xludf.DUMMYFUNCTION("""COMPUTED_VALUE"""),"MON+WED")</f>
        <v>MON+WED</v>
      </c>
      <c r="F516" s="8" t="str">
        <f>IFERROR(__xludf.DUMMYFUNCTION("""COMPUTED_VALUE"""),"9:30 AM")</f>
        <v>9:30 AM</v>
      </c>
      <c r="G516" s="9" t="str">
        <f>IFERROR(__xludf.DUMMYFUNCTION("""COMPUTED_VALUE"""),"10B-17C")</f>
        <v>10B-17C</v>
      </c>
      <c r="H516" s="8" t="str">
        <f>IFERROR(__xludf.DUMMYFUNCTION("""COMPUTED_VALUE"""),"RAS,MTOT")</f>
        <v>RAS,MTOT</v>
      </c>
      <c r="I516" s="8" t="str">
        <f>IFERROR(__xludf.DUMMYFUNCTION("""COMPUTED_VALUE"""),"TUE")</f>
        <v>TUE</v>
      </c>
      <c r="J516" s="8" t="str">
        <f>IFERROR(__xludf.DUMMYFUNCTION("""COMPUTED_VALUE"""),"11:00 AM")</f>
        <v>11:00 AM</v>
      </c>
      <c r="K516" s="8" t="str">
        <f>IFERROR(__xludf.DUMMYFUNCTION("""COMPUTED_VALUE"""),"09E-21L")</f>
        <v>09E-21L</v>
      </c>
      <c r="L516" s="8"/>
      <c r="M516" s="10" t="str">
        <f>IFERROR(VLOOKUP(D516,FacultyList!B:G,6,FALSE),"")</f>
        <v>tahsin.alam@bracu.ac.bd</v>
      </c>
    </row>
    <row r="517">
      <c r="A517" s="5" t="str">
        <f>IFERROR(__xludf.DUMMYFUNCTION("""COMPUTED_VALUE"""),"CSE460-07")</f>
        <v>CSE460-07</v>
      </c>
      <c r="B517" s="8"/>
      <c r="C517" s="8"/>
      <c r="D517" s="8" t="str">
        <f>IFERROR(__xludf.DUMMYFUNCTION("""COMPUTED_VALUE"""),"RAS")</f>
        <v>RAS</v>
      </c>
      <c r="E517" s="8" t="str">
        <f>IFERROR(__xludf.DUMMYFUNCTION("""COMPUTED_VALUE"""),"MON+WED")</f>
        <v>MON+WED</v>
      </c>
      <c r="F517" s="8" t="str">
        <f>IFERROR(__xludf.DUMMYFUNCTION("""COMPUTED_VALUE"""),"12:30 PM")</f>
        <v>12:30 PM</v>
      </c>
      <c r="G517" s="9" t="str">
        <f>IFERROR(__xludf.DUMMYFUNCTION("""COMPUTED_VALUE"""),"10B-17C")</f>
        <v>10B-17C</v>
      </c>
      <c r="H517" s="8" t="str">
        <f>IFERROR(__xludf.DUMMYFUNCTION("""COMPUTED_VALUE"""),"RAS,ARPD")</f>
        <v>RAS,ARPD</v>
      </c>
      <c r="I517" s="8" t="str">
        <f>IFERROR(__xludf.DUMMYFUNCTION("""COMPUTED_VALUE"""),"THU")</f>
        <v>THU</v>
      </c>
      <c r="J517" s="8" t="str">
        <f>IFERROR(__xludf.DUMMYFUNCTION("""COMPUTED_VALUE"""),"11:00 AM")</f>
        <v>11:00 AM</v>
      </c>
      <c r="K517" s="8" t="str">
        <f>IFERROR(__xludf.DUMMYFUNCTION("""COMPUTED_VALUE"""),"09E-21L")</f>
        <v>09E-21L</v>
      </c>
      <c r="L517" s="8"/>
      <c r="M517" s="10" t="str">
        <f>IFERROR(VLOOKUP(D517,FacultyList!B:G,6,FALSE),"")</f>
        <v>rasel.mia@bracu.ac.bd</v>
      </c>
    </row>
    <row r="518">
      <c r="A518" s="5" t="str">
        <f>IFERROR(__xludf.DUMMYFUNCTION("""COMPUTED_VALUE"""),"CSE460-08")</f>
        <v>CSE460-08</v>
      </c>
      <c r="B518" s="8"/>
      <c r="C518" s="8"/>
      <c r="D518" s="8" t="str">
        <f>IFERROR(__xludf.DUMMYFUNCTION("""COMPUTED_VALUE"""),"RAS")</f>
        <v>RAS</v>
      </c>
      <c r="E518" s="8" t="str">
        <f>IFERROR(__xludf.DUMMYFUNCTION("""COMPUTED_VALUE"""),"MON+WED")</f>
        <v>MON+WED</v>
      </c>
      <c r="F518" s="8" t="str">
        <f>IFERROR(__xludf.DUMMYFUNCTION("""COMPUTED_VALUE"""),"2:00 PM")</f>
        <v>2:00 PM</v>
      </c>
      <c r="G518" s="9" t="str">
        <f>IFERROR(__xludf.DUMMYFUNCTION("""COMPUTED_VALUE"""),"09A-01C")</f>
        <v>09A-01C</v>
      </c>
      <c r="H518" s="8" t="str">
        <f>IFERROR(__xludf.DUMMYFUNCTION("""COMPUTED_VALUE"""),"AKJ,DPRN")</f>
        <v>AKJ,DPRN</v>
      </c>
      <c r="I518" s="8" t="str">
        <f>IFERROR(__xludf.DUMMYFUNCTION("""COMPUTED_VALUE"""),"SAT")</f>
        <v>SAT</v>
      </c>
      <c r="J518" s="8" t="str">
        <f>IFERROR(__xludf.DUMMYFUNCTION("""COMPUTED_VALUE"""),"11:00 AM")</f>
        <v>11:00 AM</v>
      </c>
      <c r="K518" s="8" t="str">
        <f>IFERROR(__xludf.DUMMYFUNCTION("""COMPUTED_VALUE"""),"09E-21L")</f>
        <v>09E-21L</v>
      </c>
      <c r="L518" s="8"/>
      <c r="M518" s="10" t="str">
        <f>IFERROR(VLOOKUP(D518,FacultyList!B:G,6,FALSE),"")</f>
        <v>rasel.mia@bracu.ac.bd</v>
      </c>
    </row>
    <row r="519">
      <c r="A519" s="5" t="str">
        <f>IFERROR(__xludf.DUMMYFUNCTION("""COMPUTED_VALUE"""),"CSE460-09")</f>
        <v>CSE460-09</v>
      </c>
      <c r="B519" s="8"/>
      <c r="C519" s="8"/>
      <c r="D519" s="8" t="str">
        <f>IFERROR(__xludf.DUMMYFUNCTION("""COMPUTED_VALUE"""),"ZIZE")</f>
        <v>ZIZE</v>
      </c>
      <c r="E519" s="8" t="str">
        <f>IFERROR(__xludf.DUMMYFUNCTION("""COMPUTED_VALUE"""),"SAT+THU")</f>
        <v>SAT+THU</v>
      </c>
      <c r="F519" s="8" t="str">
        <f>IFERROR(__xludf.DUMMYFUNCTION("""COMPUTED_VALUE"""),"11:00 AM")</f>
        <v>11:00 AM</v>
      </c>
      <c r="G519" s="9" t="str">
        <f>IFERROR(__xludf.DUMMYFUNCTION("""COMPUTED_VALUE"""),"07H-26C")</f>
        <v>07H-26C</v>
      </c>
      <c r="H519" s="8" t="str">
        <f>IFERROR(__xludf.DUMMYFUNCTION("""COMPUTED_VALUE"""),"SDL,MTOT")</f>
        <v>SDL,MTOT</v>
      </c>
      <c r="I519" s="8" t="str">
        <f>IFERROR(__xludf.DUMMYFUNCTION("""COMPUTED_VALUE"""),"SUN")</f>
        <v>SUN</v>
      </c>
      <c r="J519" s="8" t="str">
        <f>IFERROR(__xludf.DUMMYFUNCTION("""COMPUTED_VALUE"""),"8:00 AM")</f>
        <v>8:00 AM</v>
      </c>
      <c r="K519" s="8" t="str">
        <f>IFERROR(__xludf.DUMMYFUNCTION("""COMPUTED_VALUE"""),"10G-32L")</f>
        <v>10G-32L</v>
      </c>
      <c r="L519" s="8"/>
      <c r="M519" s="8"/>
    </row>
    <row r="520">
      <c r="A520" s="5" t="str">
        <f>IFERROR(__xludf.DUMMYFUNCTION("""COMPUTED_VALUE"""),"CSE460-10")</f>
        <v>CSE460-10</v>
      </c>
      <c r="B520" s="8"/>
      <c r="C520" s="8"/>
      <c r="D520" s="8" t="str">
        <f>IFERROR(__xludf.DUMMYFUNCTION("""COMPUTED_VALUE"""),"ZIZE")</f>
        <v>ZIZE</v>
      </c>
      <c r="E520" s="8" t="str">
        <f>IFERROR(__xludf.DUMMYFUNCTION("""COMPUTED_VALUE"""),"SAT+THU")</f>
        <v>SAT+THU</v>
      </c>
      <c r="F520" s="8" t="str">
        <f>IFERROR(__xludf.DUMMYFUNCTION("""COMPUTED_VALUE"""),"12:30 PM")</f>
        <v>12:30 PM</v>
      </c>
      <c r="G520" s="9" t="str">
        <f>IFERROR(__xludf.DUMMYFUNCTION("""COMPUTED_VALUE"""),"09A-01C")</f>
        <v>09A-01C</v>
      </c>
      <c r="H520" s="8" t="str">
        <f>IFERROR(__xludf.DUMMYFUNCTION("""COMPUTED_VALUE"""),"SDU,RAS")</f>
        <v>SDU,RAS</v>
      </c>
      <c r="I520" s="8" t="str">
        <f>IFERROR(__xludf.DUMMYFUNCTION("""COMPUTED_VALUE"""),"WED")</f>
        <v>WED</v>
      </c>
      <c r="J520" s="8" t="str">
        <f>IFERROR(__xludf.DUMMYFUNCTION("""COMPUTED_VALUE"""),"8:00 AM")</f>
        <v>8:00 AM</v>
      </c>
      <c r="K520" s="8" t="str">
        <f>IFERROR(__xludf.DUMMYFUNCTION("""COMPUTED_VALUE"""),"09E-22L")</f>
        <v>09E-22L</v>
      </c>
      <c r="L520" s="8"/>
      <c r="M520" s="8"/>
    </row>
    <row r="521">
      <c r="A521" s="5" t="str">
        <f>IFERROR(__xludf.DUMMYFUNCTION("""COMPUTED_VALUE"""),"CSE460-11")</f>
        <v>CSE460-11</v>
      </c>
      <c r="B521" s="8"/>
      <c r="C521" s="8"/>
      <c r="D521" s="8" t="str">
        <f>IFERROR(__xludf.DUMMYFUNCTION("""COMPUTED_VALUE"""),"DPRN")</f>
        <v>DPRN</v>
      </c>
      <c r="E521" s="8" t="str">
        <f>IFERROR(__xludf.DUMMYFUNCTION("""COMPUTED_VALUE"""),"SAT+THU")</f>
        <v>SAT+THU</v>
      </c>
      <c r="F521" s="8" t="str">
        <f>IFERROR(__xludf.DUMMYFUNCTION("""COMPUTED_VALUE"""),"2:00 PM")</f>
        <v>2:00 PM</v>
      </c>
      <c r="G521" s="9" t="str">
        <f>IFERROR(__xludf.DUMMYFUNCTION("""COMPUTED_VALUE"""),"09A-01C")</f>
        <v>09A-01C</v>
      </c>
      <c r="H521" s="8" t="str">
        <f>IFERROR(__xludf.DUMMYFUNCTION("""COMPUTED_VALUE"""),"THL,RAS")</f>
        <v>THL,RAS</v>
      </c>
      <c r="I521" s="8" t="str">
        <f>IFERROR(__xludf.DUMMYFUNCTION("""COMPUTED_VALUE"""),"TUE")</f>
        <v>TUE</v>
      </c>
      <c r="J521" s="8" t="str">
        <f>IFERROR(__xludf.DUMMYFUNCTION("""COMPUTED_VALUE"""),"2:00 PM")</f>
        <v>2:00 PM</v>
      </c>
      <c r="K521" s="8" t="str">
        <f>IFERROR(__xludf.DUMMYFUNCTION("""COMPUTED_VALUE"""),"09E-21L")</f>
        <v>09E-21L</v>
      </c>
      <c r="L521" s="8"/>
      <c r="M521" s="8"/>
    </row>
    <row r="522">
      <c r="A522" s="5" t="str">
        <f>IFERROR(__xludf.DUMMYFUNCTION("""COMPUTED_VALUE"""),"CSE460-12")</f>
        <v>CSE460-12</v>
      </c>
      <c r="B522" s="8"/>
      <c r="C522" s="8"/>
      <c r="D522" s="8" t="str">
        <f>IFERROR(__xludf.DUMMYFUNCTION("""COMPUTED_VALUE"""),"DPRN")</f>
        <v>DPRN</v>
      </c>
      <c r="E522" s="8" t="str">
        <f>IFERROR(__xludf.DUMMYFUNCTION("""COMPUTED_VALUE"""),"SAT+THU")</f>
        <v>SAT+THU</v>
      </c>
      <c r="F522" s="8" t="str">
        <f>IFERROR(__xludf.DUMMYFUNCTION("""COMPUTED_VALUE"""),"9:30 AM")</f>
        <v>9:30 AM</v>
      </c>
      <c r="G522" s="9" t="str">
        <f>IFERROR(__xludf.DUMMYFUNCTION("""COMPUTED_VALUE"""),"10B-17C")</f>
        <v>10B-17C</v>
      </c>
      <c r="H522" s="8" t="str">
        <f>IFERROR(__xludf.DUMMYFUNCTION("""COMPUTED_VALUE"""),"DPRN,SDL")</f>
        <v>DPRN,SDL</v>
      </c>
      <c r="I522" s="8" t="str">
        <f>IFERROR(__xludf.DUMMYFUNCTION("""COMPUTED_VALUE"""),"MON")</f>
        <v>MON</v>
      </c>
      <c r="J522" s="8" t="str">
        <f>IFERROR(__xludf.DUMMYFUNCTION("""COMPUTED_VALUE"""),"2:00 PM")</f>
        <v>2:00 PM</v>
      </c>
      <c r="K522" s="8" t="str">
        <f>IFERROR(__xludf.DUMMYFUNCTION("""COMPUTED_VALUE"""),"09E-21L")</f>
        <v>09E-21L</v>
      </c>
      <c r="L522" s="8"/>
      <c r="M522" s="8"/>
    </row>
    <row r="523">
      <c r="A523" s="5" t="str">
        <f>IFERROR(__xludf.DUMMYFUNCTION("""COMPUTED_VALUE"""),"CSE461-01")</f>
        <v>CSE461-01</v>
      </c>
      <c r="B523" s="8"/>
      <c r="C523" s="8"/>
      <c r="D523" s="8" t="str">
        <f>IFERROR(__xludf.DUMMYFUNCTION("""COMPUTED_VALUE"""),"UTKR")</f>
        <v>UTKR</v>
      </c>
      <c r="E523" s="8" t="str">
        <f>IFERROR(__xludf.DUMMYFUNCTION("""COMPUTED_VALUE"""),"SAT+THU")</f>
        <v>SAT+THU</v>
      </c>
      <c r="F523" s="8" t="str">
        <f>IFERROR(__xludf.DUMMYFUNCTION("""COMPUTED_VALUE"""),"9:30 AM")</f>
        <v>9:30 AM</v>
      </c>
      <c r="G523" s="9" t="str">
        <f>IFERROR(__xludf.DUMMYFUNCTION("""COMPUTED_VALUE"""),"07D-19C")</f>
        <v>07D-19C</v>
      </c>
      <c r="H523" s="8" t="str">
        <f>IFERROR(__xludf.DUMMYFUNCTION("""COMPUTED_VALUE"""),"PRC,RFF")</f>
        <v>PRC,RFF</v>
      </c>
      <c r="I523" s="8" t="str">
        <f>IFERROR(__xludf.DUMMYFUNCTION("""COMPUTED_VALUE"""),"WED")</f>
        <v>WED</v>
      </c>
      <c r="J523" s="8" t="str">
        <f>IFERROR(__xludf.DUMMYFUNCTION("""COMPUTED_VALUE"""),"2:00 PM")</f>
        <v>2:00 PM</v>
      </c>
      <c r="K523" s="8" t="str">
        <f>IFERROR(__xludf.DUMMYFUNCTION("""COMPUTED_VALUE"""),"10G-32L")</f>
        <v>10G-32L</v>
      </c>
      <c r="L523" s="8"/>
      <c r="M523" s="8"/>
    </row>
    <row r="524">
      <c r="A524" s="5" t="str">
        <f>IFERROR(__xludf.DUMMYFUNCTION("""COMPUTED_VALUE"""),"CSE461-02")</f>
        <v>CSE461-02</v>
      </c>
      <c r="B524" s="8"/>
      <c r="C524" s="8"/>
      <c r="D524" s="8" t="str">
        <f>IFERROR(__xludf.DUMMYFUNCTION("""COMPUTED_VALUE"""),"UTKR")</f>
        <v>UTKR</v>
      </c>
      <c r="E524" s="8" t="str">
        <f>IFERROR(__xludf.DUMMYFUNCTION("""COMPUTED_VALUE"""),"MON+WED")</f>
        <v>MON+WED</v>
      </c>
      <c r="F524" s="8" t="str">
        <f>IFERROR(__xludf.DUMMYFUNCTION("""COMPUTED_VALUE"""),"11:00 AM")</f>
        <v>11:00 AM</v>
      </c>
      <c r="G524" s="9" t="str">
        <f>IFERROR(__xludf.DUMMYFUNCTION("""COMPUTED_VALUE"""),"07D-20C")</f>
        <v>07D-20C</v>
      </c>
      <c r="H524" s="8" t="str">
        <f>IFERROR(__xludf.DUMMYFUNCTION("""COMPUTED_VALUE"""),"RFF,SMYA")</f>
        <v>RFF,SMYA</v>
      </c>
      <c r="I524" s="8" t="str">
        <f>IFERROR(__xludf.DUMMYFUNCTION("""COMPUTED_VALUE"""),"THU")</f>
        <v>THU</v>
      </c>
      <c r="J524" s="8" t="str">
        <f>IFERROR(__xludf.DUMMYFUNCTION("""COMPUTED_VALUE"""),"2:00 PM")</f>
        <v>2:00 PM</v>
      </c>
      <c r="K524" s="8" t="str">
        <f>IFERROR(__xludf.DUMMYFUNCTION("""COMPUTED_VALUE"""),"10G-32L")</f>
        <v>10G-32L</v>
      </c>
      <c r="L524" s="8"/>
      <c r="M524" s="8"/>
    </row>
    <row r="525">
      <c r="A525" s="5" t="str">
        <f>IFERROR(__xludf.DUMMYFUNCTION("""COMPUTED_VALUE"""),"CSE461-03")</f>
        <v>CSE461-03</v>
      </c>
      <c r="B525" s="8"/>
      <c r="C525" s="8"/>
      <c r="D525" s="8" t="str">
        <f>IFERROR(__xludf.DUMMYFUNCTION("""COMPUTED_VALUE"""),"UTKR")</f>
        <v>UTKR</v>
      </c>
      <c r="E525" s="8" t="str">
        <f>IFERROR(__xludf.DUMMYFUNCTION("""COMPUTED_VALUE"""),"MON+WED")</f>
        <v>MON+WED</v>
      </c>
      <c r="F525" s="8" t="str">
        <f>IFERROR(__xludf.DUMMYFUNCTION("""COMPUTED_VALUE"""),"12:30 PM")</f>
        <v>12:30 PM</v>
      </c>
      <c r="G525" s="9" t="str">
        <f>IFERROR(__xludf.DUMMYFUNCTION("""COMPUTED_VALUE"""),"07D-20C")</f>
        <v>07D-20C</v>
      </c>
      <c r="H525" s="8" t="str">
        <f>IFERROR(__xludf.DUMMYFUNCTION("""COMPUTED_VALUE"""),"RDW,SMYA")</f>
        <v>RDW,SMYA</v>
      </c>
      <c r="I525" s="8" t="str">
        <f>IFERROR(__xludf.DUMMYFUNCTION("""COMPUTED_VALUE"""),"TUE")</f>
        <v>TUE</v>
      </c>
      <c r="J525" s="8" t="str">
        <f>IFERROR(__xludf.DUMMYFUNCTION("""COMPUTED_VALUE"""),"11:00 AM")</f>
        <v>11:00 AM</v>
      </c>
      <c r="K525" s="8" t="str">
        <f>IFERROR(__xludf.DUMMYFUNCTION("""COMPUTED_VALUE"""),"10G-33L")</f>
        <v>10G-33L</v>
      </c>
      <c r="L525" s="8"/>
      <c r="M525" s="8"/>
    </row>
    <row r="526">
      <c r="A526" s="5" t="str">
        <f>IFERROR(__xludf.DUMMYFUNCTION("""COMPUTED_VALUE"""),"CSE461-04")</f>
        <v>CSE461-04</v>
      </c>
      <c r="B526" s="8"/>
      <c r="C526" s="8"/>
      <c r="D526" s="8" t="str">
        <f>IFERROR(__xludf.DUMMYFUNCTION("""COMPUTED_VALUE"""),"UTKR")</f>
        <v>UTKR</v>
      </c>
      <c r="E526" s="8" t="str">
        <f>IFERROR(__xludf.DUMMYFUNCTION("""COMPUTED_VALUE"""),"MON+WED")</f>
        <v>MON+WED</v>
      </c>
      <c r="F526" s="8" t="str">
        <f>IFERROR(__xludf.DUMMYFUNCTION("""COMPUTED_VALUE"""),"3:30 PM")</f>
        <v>3:30 PM</v>
      </c>
      <c r="G526" s="9" t="str">
        <f>IFERROR(__xludf.DUMMYFUNCTION("""COMPUTED_VALUE"""),"09A-06C")</f>
        <v>09A-06C</v>
      </c>
      <c r="H526" s="8" t="str">
        <f>IFERROR(__xludf.DUMMYFUNCTION("""COMPUTED_VALUE"""),"UTKR,CSAB")</f>
        <v>UTKR,CSAB</v>
      </c>
      <c r="I526" s="8" t="str">
        <f>IFERROR(__xludf.DUMMYFUNCTION("""COMPUTED_VALUE"""),"THU")</f>
        <v>THU</v>
      </c>
      <c r="J526" s="8" t="str">
        <f>IFERROR(__xludf.DUMMYFUNCTION("""COMPUTED_VALUE"""),"11:00 AM")</f>
        <v>11:00 AM</v>
      </c>
      <c r="K526" s="8" t="str">
        <f>IFERROR(__xludf.DUMMYFUNCTION("""COMPUTED_VALUE"""),"10G-32L")</f>
        <v>10G-32L</v>
      </c>
      <c r="L526" s="8"/>
      <c r="M526" s="8"/>
    </row>
    <row r="527">
      <c r="A527" s="5" t="str">
        <f>IFERROR(__xludf.DUMMYFUNCTION("""COMPUTED_VALUE"""),"CSE461-05")</f>
        <v>CSE461-05</v>
      </c>
      <c r="B527" s="8"/>
      <c r="C527" s="8"/>
      <c r="D527" s="8" t="str">
        <f>IFERROR(__xludf.DUMMYFUNCTION("""COMPUTED_VALUE"""),"RFF")</f>
        <v>RFF</v>
      </c>
      <c r="E527" s="8" t="str">
        <f>IFERROR(__xludf.DUMMYFUNCTION("""COMPUTED_VALUE"""),"SAT+THU")</f>
        <v>SAT+THU</v>
      </c>
      <c r="F527" s="8" t="str">
        <f>IFERROR(__xludf.DUMMYFUNCTION("""COMPUTED_VALUE"""),"11:00 AM")</f>
        <v>11:00 AM</v>
      </c>
      <c r="G527" s="9" t="str">
        <f>IFERROR(__xludf.DUMMYFUNCTION("""COMPUTED_VALUE"""),"09A-07C")</f>
        <v>09A-07C</v>
      </c>
      <c r="H527" s="8" t="str">
        <f>IFERROR(__xludf.DUMMYFUNCTION("""COMPUTED_VALUE"""),"KHR,PRC")</f>
        <v>KHR,PRC</v>
      </c>
      <c r="I527" s="8" t="str">
        <f>IFERROR(__xludf.DUMMYFUNCTION("""COMPUTED_VALUE"""),"MON")</f>
        <v>MON</v>
      </c>
      <c r="J527" s="8" t="str">
        <f>IFERROR(__xludf.DUMMYFUNCTION("""COMPUTED_VALUE"""),"11:00 AM")</f>
        <v>11:00 AM</v>
      </c>
      <c r="K527" s="8" t="str">
        <f>IFERROR(__xludf.DUMMYFUNCTION("""COMPUTED_VALUE"""),"10G-33L")</f>
        <v>10G-33L</v>
      </c>
      <c r="L527" s="8"/>
      <c r="M527" s="8"/>
    </row>
    <row r="528">
      <c r="A528" s="5" t="str">
        <f>IFERROR(__xludf.DUMMYFUNCTION("""COMPUTED_VALUE"""),"CSE461-06")</f>
        <v>CSE461-06</v>
      </c>
      <c r="B528" s="8"/>
      <c r="C528" s="8"/>
      <c r="D528" s="8" t="str">
        <f>IFERROR(__xludf.DUMMYFUNCTION("""COMPUTED_VALUE"""),"KHR")</f>
        <v>KHR</v>
      </c>
      <c r="E528" s="8" t="str">
        <f>IFERROR(__xludf.DUMMYFUNCTION("""COMPUTED_VALUE"""),"MON+WED")</f>
        <v>MON+WED</v>
      </c>
      <c r="F528" s="8" t="str">
        <f>IFERROR(__xludf.DUMMYFUNCTION("""COMPUTED_VALUE"""),"3:30 PM")</f>
        <v>3:30 PM</v>
      </c>
      <c r="G528" s="9" t="str">
        <f>IFERROR(__xludf.DUMMYFUNCTION("""COMPUTED_VALUE"""),"09C-16T")</f>
        <v>09C-16T</v>
      </c>
      <c r="H528" s="8" t="str">
        <f>IFERROR(__xludf.DUMMYFUNCTION("""COMPUTED_VALUE"""),"KHR,CPTH")</f>
        <v>KHR,CPTH</v>
      </c>
      <c r="I528" s="8" t="str">
        <f>IFERROR(__xludf.DUMMYFUNCTION("""COMPUTED_VALUE"""),"SUN")</f>
        <v>SUN</v>
      </c>
      <c r="J528" s="8" t="str">
        <f>IFERROR(__xludf.DUMMYFUNCTION("""COMPUTED_VALUE"""),"11:00 AM")</f>
        <v>11:00 AM</v>
      </c>
      <c r="K528" s="8" t="str">
        <f>IFERROR(__xludf.DUMMYFUNCTION("""COMPUTED_VALUE"""),"10G-33L")</f>
        <v>10G-33L</v>
      </c>
      <c r="L528" s="8"/>
      <c r="M528" s="8"/>
    </row>
    <row r="529">
      <c r="A529" s="5" t="str">
        <f>IFERROR(__xludf.DUMMYFUNCTION("""COMPUTED_VALUE"""),"CSE461-07")</f>
        <v>CSE461-07</v>
      </c>
      <c r="B529" s="8"/>
      <c r="C529" s="8"/>
      <c r="D529" s="8" t="str">
        <f>IFERROR(__xludf.DUMMYFUNCTION("""COMPUTED_VALUE"""),"KHR")</f>
        <v>KHR</v>
      </c>
      <c r="E529" s="8" t="str">
        <f>IFERROR(__xludf.DUMMYFUNCTION("""COMPUTED_VALUE"""),"MON+WED")</f>
        <v>MON+WED</v>
      </c>
      <c r="F529" s="8" t="str">
        <f>IFERROR(__xludf.DUMMYFUNCTION("""COMPUTED_VALUE"""),"3:30 PM")</f>
        <v>3:30 PM</v>
      </c>
      <c r="G529" s="9" t="str">
        <f>IFERROR(__xludf.DUMMYFUNCTION("""COMPUTED_VALUE"""),"09C-16T")</f>
        <v>09C-16T</v>
      </c>
      <c r="H529" s="8" t="str">
        <f>IFERROR(__xludf.DUMMYFUNCTION("""COMPUTED_VALUE"""),"CPTH,CSAB")</f>
        <v>CPTH,CSAB</v>
      </c>
      <c r="I529" s="8" t="str">
        <f>IFERROR(__xludf.DUMMYFUNCTION("""COMPUTED_VALUE"""),"SAT")</f>
        <v>SAT</v>
      </c>
      <c r="J529" s="8" t="str">
        <f>IFERROR(__xludf.DUMMYFUNCTION("""COMPUTED_VALUE"""),"8:00 AM")</f>
        <v>8:00 AM</v>
      </c>
      <c r="K529" s="8" t="str">
        <f>IFERROR(__xludf.DUMMYFUNCTION("""COMPUTED_VALUE"""),"10G-33L")</f>
        <v>10G-33L</v>
      </c>
      <c r="L529" s="8"/>
      <c r="M529" s="8"/>
    </row>
    <row r="530">
      <c r="A530" s="5" t="str">
        <f>IFERROR(__xludf.DUMMYFUNCTION("""COMPUTED_VALUE"""),"CSE461-08")</f>
        <v>CSE461-08</v>
      </c>
      <c r="B530" s="8"/>
      <c r="C530" s="8"/>
      <c r="D530" s="8" t="str">
        <f>IFERROR(__xludf.DUMMYFUNCTION("""COMPUTED_VALUE"""),"KHR")</f>
        <v>KHR</v>
      </c>
      <c r="E530" s="8" t="str">
        <f>IFERROR(__xludf.DUMMYFUNCTION("""COMPUTED_VALUE"""),"MON+WED")</f>
        <v>MON+WED</v>
      </c>
      <c r="F530" s="8" t="str">
        <f>IFERROR(__xludf.DUMMYFUNCTION("""COMPUTED_VALUE"""),"3:30 PM")</f>
        <v>3:30 PM</v>
      </c>
      <c r="G530" s="9" t="str">
        <f>IFERROR(__xludf.DUMMYFUNCTION("""COMPUTED_VALUE"""),"09C-16T")</f>
        <v>09C-16T</v>
      </c>
      <c r="H530" s="8" t="str">
        <f>IFERROR(__xludf.DUMMYFUNCTION("""COMPUTED_VALUE"""),"UTKR,PRC")</f>
        <v>UTKR,PRC</v>
      </c>
      <c r="I530" s="8" t="str">
        <f>IFERROR(__xludf.DUMMYFUNCTION("""COMPUTED_VALUE"""),"SAT")</f>
        <v>SAT</v>
      </c>
      <c r="J530" s="8" t="str">
        <f>IFERROR(__xludf.DUMMYFUNCTION("""COMPUTED_VALUE"""),"11:00 AM")</f>
        <v>11:00 AM</v>
      </c>
      <c r="K530" s="8" t="str">
        <f>IFERROR(__xludf.DUMMYFUNCTION("""COMPUTED_VALUE"""),"10G-33L")</f>
        <v>10G-33L</v>
      </c>
      <c r="L530" s="8"/>
      <c r="M530" s="8"/>
    </row>
    <row r="531">
      <c r="A531" s="5" t="str">
        <f>IFERROR(__xludf.DUMMYFUNCTION("""COMPUTED_VALUE"""),"CSE463-01")</f>
        <v>CSE463-01</v>
      </c>
      <c r="B531" s="8"/>
      <c r="C531" s="8"/>
      <c r="D531" s="8" t="str">
        <f>IFERROR(__xludf.DUMMYFUNCTION("""COMPUTED_VALUE"""),"ASA")</f>
        <v>ASA</v>
      </c>
      <c r="E531" s="8" t="str">
        <f>IFERROR(__xludf.DUMMYFUNCTION("""COMPUTED_VALUE"""),"SAT+THU")</f>
        <v>SAT+THU</v>
      </c>
      <c r="F531" s="8" t="str">
        <f>IFERROR(__xludf.DUMMYFUNCTION("""COMPUTED_VALUE"""),"3:30 PM")</f>
        <v>3:30 PM</v>
      </c>
      <c r="G531" s="9" t="str">
        <f>IFERROR(__xludf.DUMMYFUNCTION("""COMPUTED_VALUE"""),"10B-16C")</f>
        <v>10B-16C</v>
      </c>
      <c r="H531" s="8" t="str">
        <f>IFERROR(__xludf.DUMMYFUNCTION("""COMPUTED_VALUE"""),"STNM,CSAB")</f>
        <v>STNM,CSAB</v>
      </c>
      <c r="I531" s="8" t="str">
        <f>IFERROR(__xludf.DUMMYFUNCTION("""COMPUTED_VALUE"""),"TUE")</f>
        <v>TUE</v>
      </c>
      <c r="J531" s="8" t="str">
        <f>IFERROR(__xludf.DUMMYFUNCTION("""COMPUTED_VALUE"""),"2:00 PM")</f>
        <v>2:00 PM</v>
      </c>
      <c r="K531" s="8" t="str">
        <f>IFERROR(__xludf.DUMMYFUNCTION("""COMPUTED_VALUE"""),"12F-32L")</f>
        <v>12F-32L</v>
      </c>
      <c r="L531" s="8"/>
      <c r="M531" s="8"/>
    </row>
    <row r="532">
      <c r="A532" s="5" t="str">
        <f>IFERROR(__xludf.DUMMYFUNCTION("""COMPUTED_VALUE"""),"CSE470-01")</f>
        <v>CSE470-01</v>
      </c>
      <c r="B532" s="8"/>
      <c r="C532" s="8"/>
      <c r="D532" s="8" t="str">
        <f>IFERROR(__xludf.DUMMYFUNCTION("""COMPUTED_VALUE"""),"SHRR")</f>
        <v>SHRR</v>
      </c>
      <c r="E532" s="8" t="str">
        <f>IFERROR(__xludf.DUMMYFUNCTION("""COMPUTED_VALUE"""),"SUN+TUE")</f>
        <v>SUN+TUE</v>
      </c>
      <c r="F532" s="8" t="str">
        <f>IFERROR(__xludf.DUMMYFUNCTION("""COMPUTED_VALUE"""),"9:30 AM")</f>
        <v>9:30 AM</v>
      </c>
      <c r="G532" s="9" t="str">
        <f>IFERROR(__xludf.DUMMYFUNCTION("""COMPUTED_VALUE"""),"10B-16C")</f>
        <v>10B-16C</v>
      </c>
      <c r="H532" s="8"/>
      <c r="I532" s="8"/>
      <c r="J532" s="8"/>
      <c r="K532" s="8"/>
      <c r="L532" s="8"/>
      <c r="M532" s="8"/>
    </row>
    <row r="533">
      <c r="A533" s="5" t="str">
        <f>IFERROR(__xludf.DUMMYFUNCTION("""COMPUTED_VALUE"""),"CSE470-02")</f>
        <v>CSE470-02</v>
      </c>
      <c r="B533" s="8"/>
      <c r="C533" s="8"/>
      <c r="D533" s="8" t="str">
        <f>IFERROR(__xludf.DUMMYFUNCTION("""COMPUTED_VALUE"""),"SHRR")</f>
        <v>SHRR</v>
      </c>
      <c r="E533" s="8" t="str">
        <f>IFERROR(__xludf.DUMMYFUNCTION("""COMPUTED_VALUE"""),"SUN+TUE")</f>
        <v>SUN+TUE</v>
      </c>
      <c r="F533" s="8" t="str">
        <f>IFERROR(__xludf.DUMMYFUNCTION("""COMPUTED_VALUE"""),"11:00 AM")</f>
        <v>11:00 AM</v>
      </c>
      <c r="G533" s="9" t="str">
        <f>IFERROR(__xludf.DUMMYFUNCTION("""COMPUTED_VALUE"""),"10B-16C")</f>
        <v>10B-16C</v>
      </c>
      <c r="H533" s="8"/>
      <c r="I533" s="8"/>
      <c r="J533" s="8"/>
      <c r="K533" s="8"/>
      <c r="L533" s="8"/>
      <c r="M533" s="8"/>
    </row>
    <row r="534">
      <c r="A534" s="5" t="str">
        <f>IFERROR(__xludf.DUMMYFUNCTION("""COMPUTED_VALUE"""),"CSE470-03")</f>
        <v>CSE470-03</v>
      </c>
      <c r="B534" s="8"/>
      <c r="C534" s="8"/>
      <c r="D534" s="8" t="str">
        <f>IFERROR(__xludf.DUMMYFUNCTION("""COMPUTED_VALUE"""),"FZN")</f>
        <v>FZN</v>
      </c>
      <c r="E534" s="8" t="str">
        <f>IFERROR(__xludf.DUMMYFUNCTION("""COMPUTED_VALUE"""),"SUN+TUE")</f>
        <v>SUN+TUE</v>
      </c>
      <c r="F534" s="8" t="str">
        <f>IFERROR(__xludf.DUMMYFUNCTION("""COMPUTED_VALUE"""),"2:00 PM")</f>
        <v>2:00 PM</v>
      </c>
      <c r="G534" s="9" t="str">
        <f>IFERROR(__xludf.DUMMYFUNCTION("""COMPUTED_VALUE"""),"09H-32C")</f>
        <v>09H-32C</v>
      </c>
      <c r="H534" s="8"/>
      <c r="I534" s="8"/>
      <c r="J534" s="8"/>
      <c r="K534" s="8"/>
      <c r="L534" s="8"/>
      <c r="M534" s="8"/>
    </row>
    <row r="535">
      <c r="A535" s="5" t="str">
        <f>IFERROR(__xludf.DUMMYFUNCTION("""COMPUTED_VALUE"""),"CSE470-04")</f>
        <v>CSE470-04</v>
      </c>
      <c r="B535" s="8"/>
      <c r="C535" s="8"/>
      <c r="D535" s="8" t="str">
        <f>IFERROR(__xludf.DUMMYFUNCTION("""COMPUTED_VALUE"""),"FZN")</f>
        <v>FZN</v>
      </c>
      <c r="E535" s="8" t="str">
        <f>IFERROR(__xludf.DUMMYFUNCTION("""COMPUTED_VALUE"""),"SUN+TUE")</f>
        <v>SUN+TUE</v>
      </c>
      <c r="F535" s="8" t="str">
        <f>IFERROR(__xludf.DUMMYFUNCTION("""COMPUTED_VALUE"""),"3:30 PM")</f>
        <v>3:30 PM</v>
      </c>
      <c r="G535" s="9" t="str">
        <f>IFERROR(__xludf.DUMMYFUNCTION("""COMPUTED_VALUE"""),"09H-32C")</f>
        <v>09H-32C</v>
      </c>
      <c r="H535" s="8"/>
      <c r="I535" s="8"/>
      <c r="J535" s="8"/>
      <c r="K535" s="8"/>
      <c r="L535" s="8"/>
      <c r="M535" s="8"/>
    </row>
    <row r="536">
      <c r="A536" s="5" t="str">
        <f>IFERROR(__xludf.DUMMYFUNCTION("""COMPUTED_VALUE"""),"CSE470-05")</f>
        <v>CSE470-05</v>
      </c>
      <c r="B536" s="8"/>
      <c r="C536" s="8"/>
      <c r="D536" s="8" t="str">
        <f>IFERROR(__xludf.DUMMYFUNCTION("""COMPUTED_VALUE"""),"FZN")</f>
        <v>FZN</v>
      </c>
      <c r="E536" s="8" t="str">
        <f>IFERROR(__xludf.DUMMYFUNCTION("""COMPUTED_VALUE"""),"MON+WED")</f>
        <v>MON+WED</v>
      </c>
      <c r="F536" s="8" t="str">
        <f>IFERROR(__xludf.DUMMYFUNCTION("""COMPUTED_VALUE"""),"2:00 PM")</f>
        <v>2:00 PM</v>
      </c>
      <c r="G536" s="9" t="str">
        <f>IFERROR(__xludf.DUMMYFUNCTION("""COMPUTED_VALUE"""),"09C-13C")</f>
        <v>09C-13C</v>
      </c>
      <c r="H536" s="8"/>
      <c r="I536" s="8"/>
      <c r="J536" s="8"/>
      <c r="K536" s="8"/>
      <c r="L536" s="8"/>
      <c r="M536" s="8"/>
    </row>
    <row r="537">
      <c r="A537" s="5" t="str">
        <f>IFERROR(__xludf.DUMMYFUNCTION("""COMPUTED_VALUE"""),"CSE470-06")</f>
        <v>CSE470-06</v>
      </c>
      <c r="B537" s="8"/>
      <c r="C537" s="8"/>
      <c r="D537" s="8" t="str">
        <f>IFERROR(__xludf.DUMMYFUNCTION("""COMPUTED_VALUE"""),"FZN")</f>
        <v>FZN</v>
      </c>
      <c r="E537" s="8" t="str">
        <f>IFERROR(__xludf.DUMMYFUNCTION("""COMPUTED_VALUE"""),"MON+WED")</f>
        <v>MON+WED</v>
      </c>
      <c r="F537" s="8" t="str">
        <f>IFERROR(__xludf.DUMMYFUNCTION("""COMPUTED_VALUE"""),"3:30 PM")</f>
        <v>3:30 PM</v>
      </c>
      <c r="G537" s="9" t="str">
        <f>IFERROR(__xludf.DUMMYFUNCTION("""COMPUTED_VALUE"""),"09C-13C")</f>
        <v>09C-13C</v>
      </c>
      <c r="H537" s="8"/>
      <c r="I537" s="8"/>
      <c r="J537" s="8"/>
      <c r="K537" s="8"/>
      <c r="L537" s="8"/>
      <c r="M537" s="8"/>
    </row>
    <row r="538">
      <c r="A538" s="5" t="str">
        <f>IFERROR(__xludf.DUMMYFUNCTION("""COMPUTED_VALUE"""),"CSE470-07")</f>
        <v>CSE470-07</v>
      </c>
      <c r="B538" s="8"/>
      <c r="C538" s="8"/>
      <c r="D538" s="8" t="str">
        <f>IFERROR(__xludf.DUMMYFUNCTION("""COMPUTED_VALUE"""),"RHD")</f>
        <v>RHD</v>
      </c>
      <c r="E538" s="8" t="str">
        <f>IFERROR(__xludf.DUMMYFUNCTION("""COMPUTED_VALUE"""),"MON+WED")</f>
        <v>MON+WED</v>
      </c>
      <c r="F538" s="8" t="str">
        <f>IFERROR(__xludf.DUMMYFUNCTION("""COMPUTED_VALUE"""),"8:00 AM")</f>
        <v>8:00 AM</v>
      </c>
      <c r="G538" s="9" t="str">
        <f>IFERROR(__xludf.DUMMYFUNCTION("""COMPUTED_VALUE"""),"10B-16C")</f>
        <v>10B-16C</v>
      </c>
      <c r="H538" s="8"/>
      <c r="I538" s="8"/>
      <c r="J538" s="8"/>
      <c r="K538" s="8"/>
      <c r="L538" s="8"/>
      <c r="M538" s="8"/>
    </row>
    <row r="539">
      <c r="A539" s="5" t="str">
        <f>IFERROR(__xludf.DUMMYFUNCTION("""COMPUTED_VALUE"""),"CSE470-08")</f>
        <v>CSE470-08</v>
      </c>
      <c r="B539" s="8"/>
      <c r="C539" s="8"/>
      <c r="D539" s="8" t="str">
        <f>IFERROR(__xludf.DUMMYFUNCTION("""COMPUTED_VALUE"""),"RHD")</f>
        <v>RHD</v>
      </c>
      <c r="E539" s="8" t="str">
        <f>IFERROR(__xludf.DUMMYFUNCTION("""COMPUTED_VALUE"""),"MON+WED")</f>
        <v>MON+WED</v>
      </c>
      <c r="F539" s="8" t="str">
        <f>IFERROR(__xludf.DUMMYFUNCTION("""COMPUTED_VALUE"""),"9:30 AM")</f>
        <v>9:30 AM</v>
      </c>
      <c r="G539" s="9" t="str">
        <f>IFERROR(__xludf.DUMMYFUNCTION("""COMPUTED_VALUE"""),"10B-16C")</f>
        <v>10B-16C</v>
      </c>
      <c r="H539" s="8"/>
      <c r="I539" s="8"/>
      <c r="J539" s="8"/>
      <c r="K539" s="8"/>
      <c r="L539" s="8"/>
      <c r="M539" s="8"/>
    </row>
    <row r="540">
      <c r="A540" s="5" t="str">
        <f>IFERROR(__xludf.DUMMYFUNCTION("""COMPUTED_VALUE"""),"CSE470-09")</f>
        <v>CSE470-09</v>
      </c>
      <c r="B540" s="8"/>
      <c r="C540" s="8"/>
      <c r="D540" s="8" t="str">
        <f>IFERROR(__xludf.DUMMYFUNCTION("""COMPUTED_VALUE"""),"NAFR")</f>
        <v>NAFR</v>
      </c>
      <c r="E540" s="8" t="str">
        <f>IFERROR(__xludf.DUMMYFUNCTION("""COMPUTED_VALUE"""),"MON+WED")</f>
        <v>MON+WED</v>
      </c>
      <c r="F540" s="8" t="str">
        <f>IFERROR(__xludf.DUMMYFUNCTION("""COMPUTED_VALUE"""),"8:00 AM")</f>
        <v>8:00 AM</v>
      </c>
      <c r="G540" s="9" t="str">
        <f>IFERROR(__xludf.DUMMYFUNCTION("""COMPUTED_VALUE"""),"09C-13C")</f>
        <v>09C-13C</v>
      </c>
      <c r="H540" s="8"/>
      <c r="I540" s="8"/>
      <c r="J540" s="8"/>
      <c r="K540" s="8"/>
      <c r="L540" s="8"/>
      <c r="M540" s="8"/>
    </row>
    <row r="541">
      <c r="A541" s="5" t="str">
        <f>IFERROR(__xludf.DUMMYFUNCTION("""COMPUTED_VALUE"""),"CSE470-10")</f>
        <v>CSE470-10</v>
      </c>
      <c r="B541" s="8"/>
      <c r="C541" s="8"/>
      <c r="D541" s="8" t="str">
        <f>IFERROR(__xludf.DUMMYFUNCTION("""COMPUTED_VALUE"""),"NAFR")</f>
        <v>NAFR</v>
      </c>
      <c r="E541" s="8" t="str">
        <f>IFERROR(__xludf.DUMMYFUNCTION("""COMPUTED_VALUE"""),"MON+WED")</f>
        <v>MON+WED</v>
      </c>
      <c r="F541" s="8" t="str">
        <f>IFERROR(__xludf.DUMMYFUNCTION("""COMPUTED_VALUE"""),"9:30 AM")</f>
        <v>9:30 AM</v>
      </c>
      <c r="G541" s="9" t="str">
        <f>IFERROR(__xludf.DUMMYFUNCTION("""COMPUTED_VALUE"""),"09C-13C")</f>
        <v>09C-13C</v>
      </c>
      <c r="H541" s="8"/>
      <c r="I541" s="8"/>
      <c r="J541" s="8"/>
      <c r="K541" s="8"/>
      <c r="L541" s="8"/>
      <c r="M541" s="8"/>
    </row>
    <row r="542">
      <c r="A542" s="5" t="str">
        <f>IFERROR(__xludf.DUMMYFUNCTION("""COMPUTED_VALUE"""),"CSE470-11")</f>
        <v>CSE470-11</v>
      </c>
      <c r="B542" s="8"/>
      <c r="C542" s="8"/>
      <c r="D542" s="8" t="str">
        <f>IFERROR(__xludf.DUMMYFUNCTION("""COMPUTED_VALUE"""),"SADA")</f>
        <v>SADA</v>
      </c>
      <c r="E542" s="8" t="str">
        <f>IFERROR(__xludf.DUMMYFUNCTION("""COMPUTED_VALUE"""),"MON+WED")</f>
        <v>MON+WED</v>
      </c>
      <c r="F542" s="8" t="str">
        <f>IFERROR(__xludf.DUMMYFUNCTION("""COMPUTED_VALUE"""),"8:00 AM")</f>
        <v>8:00 AM</v>
      </c>
      <c r="G542" s="9" t="str">
        <f>IFERROR(__xludf.DUMMYFUNCTION("""COMPUTED_VALUE"""),"09A-02C")</f>
        <v>09A-02C</v>
      </c>
      <c r="H542" s="8"/>
      <c r="I542" s="8"/>
      <c r="J542" s="8"/>
      <c r="K542" s="8"/>
      <c r="L542" s="8"/>
      <c r="M542" s="8"/>
    </row>
    <row r="543">
      <c r="A543" s="5" t="str">
        <f>IFERROR(__xludf.DUMMYFUNCTION("""COMPUTED_VALUE"""),"CSE470-12")</f>
        <v>CSE470-12</v>
      </c>
      <c r="B543" s="8"/>
      <c r="C543" s="8"/>
      <c r="D543" s="8" t="str">
        <f>IFERROR(__xludf.DUMMYFUNCTION("""COMPUTED_VALUE"""),"SADA")</f>
        <v>SADA</v>
      </c>
      <c r="E543" s="8" t="str">
        <f>IFERROR(__xludf.DUMMYFUNCTION("""COMPUTED_VALUE"""),"MON+WED")</f>
        <v>MON+WED</v>
      </c>
      <c r="F543" s="8" t="str">
        <f>IFERROR(__xludf.DUMMYFUNCTION("""COMPUTED_VALUE"""),"9:30 AM")</f>
        <v>9:30 AM</v>
      </c>
      <c r="G543" s="9" t="str">
        <f>IFERROR(__xludf.DUMMYFUNCTION("""COMPUTED_VALUE"""),"09A-02C")</f>
        <v>09A-02C</v>
      </c>
      <c r="H543" s="8"/>
      <c r="I543" s="8"/>
      <c r="J543" s="8"/>
      <c r="K543" s="8"/>
      <c r="L543" s="8"/>
      <c r="M543" s="8"/>
    </row>
    <row r="544">
      <c r="A544" s="5" t="str">
        <f>IFERROR(__xludf.DUMMYFUNCTION("""COMPUTED_VALUE"""),"CSE470-13")</f>
        <v>CSE470-13</v>
      </c>
      <c r="B544" s="8"/>
      <c r="C544" s="8"/>
      <c r="D544" s="8" t="str">
        <f>IFERROR(__xludf.DUMMYFUNCTION("""COMPUTED_VALUE"""),"SOSB")</f>
        <v>SOSB</v>
      </c>
      <c r="E544" s="8" t="str">
        <f>IFERROR(__xludf.DUMMYFUNCTION("""COMPUTED_VALUE"""),"MON+WED")</f>
        <v>MON+WED</v>
      </c>
      <c r="F544" s="8" t="str">
        <f>IFERROR(__xludf.DUMMYFUNCTION("""COMPUTED_VALUE"""),"8:00 AM")</f>
        <v>8:00 AM</v>
      </c>
      <c r="G544" s="9" t="str">
        <f>IFERROR(__xludf.DUMMYFUNCTION("""COMPUTED_VALUE"""),"07D-19C")</f>
        <v>07D-19C</v>
      </c>
      <c r="H544" s="8"/>
      <c r="I544" s="8"/>
      <c r="J544" s="8"/>
      <c r="K544" s="8"/>
      <c r="L544" s="8"/>
      <c r="M544" s="8"/>
    </row>
    <row r="545">
      <c r="A545" s="5" t="str">
        <f>IFERROR(__xludf.DUMMYFUNCTION("""COMPUTED_VALUE"""),"CSE470-14")</f>
        <v>CSE470-14</v>
      </c>
      <c r="B545" s="8"/>
      <c r="C545" s="8"/>
      <c r="D545" s="8" t="str">
        <f>IFERROR(__xludf.DUMMYFUNCTION("""COMPUTED_VALUE"""),"SOSB")</f>
        <v>SOSB</v>
      </c>
      <c r="E545" s="8" t="str">
        <f>IFERROR(__xludf.DUMMYFUNCTION("""COMPUTED_VALUE"""),"MON+WED")</f>
        <v>MON+WED</v>
      </c>
      <c r="F545" s="8" t="str">
        <f>IFERROR(__xludf.DUMMYFUNCTION("""COMPUTED_VALUE"""),"9:30 AM")</f>
        <v>9:30 AM</v>
      </c>
      <c r="G545" s="9" t="str">
        <f>IFERROR(__xludf.DUMMYFUNCTION("""COMPUTED_VALUE"""),"07D-19C")</f>
        <v>07D-19C</v>
      </c>
      <c r="H545" s="8"/>
      <c r="I545" s="8"/>
      <c r="J545" s="8"/>
      <c r="K545" s="8"/>
      <c r="L545" s="8"/>
      <c r="M545" s="8"/>
    </row>
    <row r="546">
      <c r="A546" s="5" t="str">
        <f>IFERROR(__xludf.DUMMYFUNCTION("""COMPUTED_VALUE"""),"CSE470-15")</f>
        <v>CSE470-15</v>
      </c>
      <c r="B546" s="8"/>
      <c r="C546" s="8"/>
      <c r="D546" s="8" t="str">
        <f>IFERROR(__xludf.DUMMYFUNCTION("""COMPUTED_VALUE"""),"ART")</f>
        <v>ART</v>
      </c>
      <c r="E546" s="8" t="str">
        <f>IFERROR(__xludf.DUMMYFUNCTION("""COMPUTED_VALUE"""),"SAT+THU")</f>
        <v>SAT+THU</v>
      </c>
      <c r="F546" s="8" t="str">
        <f>IFERROR(__xludf.DUMMYFUNCTION("""COMPUTED_VALUE"""),"12:30 PM")</f>
        <v>12:30 PM</v>
      </c>
      <c r="G546" s="9" t="str">
        <f>IFERROR(__xludf.DUMMYFUNCTION("""COMPUTED_VALUE"""),"09C-13C")</f>
        <v>09C-13C</v>
      </c>
      <c r="H546" s="8"/>
      <c r="I546" s="8"/>
      <c r="J546" s="8"/>
      <c r="K546" s="8"/>
      <c r="L546" s="8"/>
      <c r="M546" s="8"/>
    </row>
    <row r="547">
      <c r="A547" s="5" t="str">
        <f>IFERROR(__xludf.DUMMYFUNCTION("""COMPUTED_VALUE"""),"CSE470-16")</f>
        <v>CSE470-16</v>
      </c>
      <c r="B547" s="8"/>
      <c r="C547" s="8"/>
      <c r="D547" s="8" t="str">
        <f>IFERROR(__xludf.DUMMYFUNCTION("""COMPUTED_VALUE"""),"ART")</f>
        <v>ART</v>
      </c>
      <c r="E547" s="8" t="str">
        <f>IFERROR(__xludf.DUMMYFUNCTION("""COMPUTED_VALUE"""),"MON+WED")</f>
        <v>MON+WED</v>
      </c>
      <c r="F547" s="8" t="str">
        <f>IFERROR(__xludf.DUMMYFUNCTION("""COMPUTED_VALUE"""),"12:30 PM")</f>
        <v>12:30 PM</v>
      </c>
      <c r="G547" s="9" t="str">
        <f>IFERROR(__xludf.DUMMYFUNCTION("""COMPUTED_VALUE"""),"09A-03C")</f>
        <v>09A-03C</v>
      </c>
      <c r="H547" s="8"/>
      <c r="I547" s="8"/>
      <c r="J547" s="8"/>
      <c r="K547" s="8"/>
      <c r="L547" s="8"/>
      <c r="M547" s="8"/>
    </row>
    <row r="548">
      <c r="A548" s="5" t="str">
        <f>IFERROR(__xludf.DUMMYFUNCTION("""COMPUTED_VALUE"""),"CSE470-17")</f>
        <v>CSE470-17</v>
      </c>
      <c r="B548" s="8"/>
      <c r="C548" s="8"/>
      <c r="D548" s="8" t="str">
        <f>IFERROR(__xludf.DUMMYFUNCTION("""COMPUTED_VALUE"""),"ART")</f>
        <v>ART</v>
      </c>
      <c r="E548" s="8" t="str">
        <f>IFERROR(__xludf.DUMMYFUNCTION("""COMPUTED_VALUE"""),"SAT+THU")</f>
        <v>SAT+THU</v>
      </c>
      <c r="F548" s="8" t="str">
        <f>IFERROR(__xludf.DUMMYFUNCTION("""COMPUTED_VALUE"""),"11:00 AM")</f>
        <v>11:00 AM</v>
      </c>
      <c r="G548" s="9" t="str">
        <f>IFERROR(__xludf.DUMMYFUNCTION("""COMPUTED_VALUE"""),"09C-13C")</f>
        <v>09C-13C</v>
      </c>
      <c r="H548" s="8"/>
      <c r="I548" s="8"/>
      <c r="J548" s="8"/>
      <c r="K548" s="8"/>
      <c r="L548" s="8"/>
      <c r="M548" s="8"/>
    </row>
    <row r="549">
      <c r="A549" s="5" t="str">
        <f>IFERROR(__xludf.DUMMYFUNCTION("""COMPUTED_VALUE"""),"CSE470-18")</f>
        <v>CSE470-18</v>
      </c>
      <c r="B549" s="8"/>
      <c r="C549" s="8"/>
      <c r="D549" s="8" t="str">
        <f>IFERROR(__xludf.DUMMYFUNCTION("""COMPUTED_VALUE"""),"SKIB")</f>
        <v>SKIB</v>
      </c>
      <c r="E549" s="8" t="str">
        <f>IFERROR(__xludf.DUMMYFUNCTION("""COMPUTED_VALUE"""),"SAT+THU")</f>
        <v>SAT+THU</v>
      </c>
      <c r="F549" s="8" t="str">
        <f>IFERROR(__xludf.DUMMYFUNCTION("""COMPUTED_VALUE"""),"3:30 PM")</f>
        <v>3:30 PM</v>
      </c>
      <c r="G549" s="9" t="str">
        <f>IFERROR(__xludf.DUMMYFUNCTION("""COMPUTED_VALUE"""),"09A-02C")</f>
        <v>09A-02C</v>
      </c>
      <c r="H549" s="8"/>
      <c r="I549" s="8"/>
      <c r="J549" s="8"/>
      <c r="K549" s="8"/>
      <c r="L549" s="8"/>
      <c r="M549" s="8"/>
    </row>
    <row r="550">
      <c r="A550" s="5" t="str">
        <f>IFERROR(__xludf.DUMMYFUNCTION("""COMPUTED_VALUE"""),"CSE470-19")</f>
        <v>CSE470-19</v>
      </c>
      <c r="B550" s="8"/>
      <c r="C550" s="8"/>
      <c r="D550" s="8" t="str">
        <f>IFERROR(__xludf.DUMMYFUNCTION("""COMPUTED_VALUE"""),"ALB")</f>
        <v>ALB</v>
      </c>
      <c r="E550" s="8" t="str">
        <f>IFERROR(__xludf.DUMMYFUNCTION("""COMPUTED_VALUE"""),"SAT+THU")</f>
        <v>SAT+THU</v>
      </c>
      <c r="F550" s="8" t="str">
        <f>IFERROR(__xludf.DUMMYFUNCTION("""COMPUTED_VALUE"""),"8:00 AM")</f>
        <v>8:00 AM</v>
      </c>
      <c r="G550" s="9" t="str">
        <f>IFERROR(__xludf.DUMMYFUNCTION("""COMPUTED_VALUE"""),"09A-03C")</f>
        <v>09A-03C</v>
      </c>
      <c r="H550" s="8"/>
      <c r="I550" s="8"/>
      <c r="J550" s="8"/>
      <c r="K550" s="8"/>
      <c r="L550" s="8"/>
      <c r="M550" s="8"/>
    </row>
    <row r="551">
      <c r="A551" s="5" t="str">
        <f>IFERROR(__xludf.DUMMYFUNCTION("""COMPUTED_VALUE"""),"CSE470-20")</f>
        <v>CSE470-20</v>
      </c>
      <c r="B551" s="8"/>
      <c r="C551" s="8"/>
      <c r="D551" s="8" t="str">
        <f>IFERROR(__xludf.DUMMYFUNCTION("""COMPUTED_VALUE"""),"PLN")</f>
        <v>PLN</v>
      </c>
      <c r="E551" s="8" t="str">
        <f>IFERROR(__xludf.DUMMYFUNCTION("""COMPUTED_VALUE"""),"SAT+THU")</f>
        <v>SAT+THU</v>
      </c>
      <c r="F551" s="8" t="str">
        <f>IFERROR(__xludf.DUMMYFUNCTION("""COMPUTED_VALUE"""),"2:00 PM")</f>
        <v>2:00 PM</v>
      </c>
      <c r="G551" s="9" t="str">
        <f>IFERROR(__xludf.DUMMYFUNCTION("""COMPUTED_VALUE"""),"09D-17C")</f>
        <v>09D-17C</v>
      </c>
      <c r="H551" s="8"/>
      <c r="I551" s="8"/>
      <c r="J551" s="8"/>
      <c r="K551" s="8"/>
      <c r="L551" s="8"/>
      <c r="M551" s="8"/>
    </row>
    <row r="552">
      <c r="A552" s="5" t="str">
        <f>IFERROR(__xludf.DUMMYFUNCTION("""COMPUTED_VALUE"""),"CSE470-21")</f>
        <v>CSE470-21</v>
      </c>
      <c r="B552" s="8"/>
      <c r="C552" s="8"/>
      <c r="D552" s="8" t="str">
        <f>IFERROR(__xludf.DUMMYFUNCTION("""COMPUTED_VALUE"""),"MAHS")</f>
        <v>MAHS</v>
      </c>
      <c r="E552" s="8" t="str">
        <f>IFERROR(__xludf.DUMMYFUNCTION("""COMPUTED_VALUE"""),"SAT+THU")</f>
        <v>SAT+THU</v>
      </c>
      <c r="F552" s="8" t="str">
        <f>IFERROR(__xludf.DUMMYFUNCTION("""COMPUTED_VALUE"""),"2:00 PM")</f>
        <v>2:00 PM</v>
      </c>
      <c r="G552" s="9" t="str">
        <f>IFERROR(__xludf.DUMMYFUNCTION("""COMPUTED_VALUE"""),"09A-07C")</f>
        <v>09A-07C</v>
      </c>
      <c r="H552" s="8"/>
      <c r="I552" s="8"/>
      <c r="J552" s="8"/>
      <c r="K552" s="8"/>
      <c r="L552" s="8"/>
      <c r="M552" s="8"/>
    </row>
    <row r="553">
      <c r="A553" s="5" t="str">
        <f>IFERROR(__xludf.DUMMYFUNCTION("""COMPUTED_VALUE"""),"CSE471-01")</f>
        <v>CSE471-01</v>
      </c>
      <c r="B553" s="8"/>
      <c r="C553" s="8"/>
      <c r="D553" s="8" t="str">
        <f>IFERROR(__xludf.DUMMYFUNCTION("""COMPUTED_VALUE"""),"MIH")</f>
        <v>MIH</v>
      </c>
      <c r="E553" s="8" t="str">
        <f>IFERROR(__xludf.DUMMYFUNCTION("""COMPUTED_VALUE"""),"SUN+TUE")</f>
        <v>SUN+TUE</v>
      </c>
      <c r="F553" s="8" t="str">
        <f>IFERROR(__xludf.DUMMYFUNCTION("""COMPUTED_VALUE"""),"3:30 PM")</f>
        <v>3:30 PM</v>
      </c>
      <c r="G553" s="9" t="str">
        <f>IFERROR(__xludf.DUMMYFUNCTION("""COMPUTED_VALUE"""),"10A-05C")</f>
        <v>10A-05C</v>
      </c>
      <c r="H553" s="8" t="str">
        <f>IFERROR(__xludf.DUMMYFUNCTION("""COMPUTED_VALUE"""),"AQU,KZMN")</f>
        <v>AQU,KZMN</v>
      </c>
      <c r="I553" s="8" t="str">
        <f>IFERROR(__xludf.DUMMYFUNCTION("""COMPUTED_VALUE"""),"THU")</f>
        <v>THU</v>
      </c>
      <c r="J553" s="8" t="str">
        <f>IFERROR(__xludf.DUMMYFUNCTION("""COMPUTED_VALUE"""),"11:00 AM")</f>
        <v>11:00 AM</v>
      </c>
      <c r="K553" s="8" t="str">
        <f>IFERROR(__xludf.DUMMYFUNCTION("""COMPUTED_VALUE"""),"09E-22L")</f>
        <v>09E-22L</v>
      </c>
      <c r="L553" s="8"/>
      <c r="M553" s="8"/>
    </row>
    <row r="554">
      <c r="A554" s="5" t="str">
        <f>IFERROR(__xludf.DUMMYFUNCTION("""COMPUTED_VALUE"""),"CSE471-02")</f>
        <v>CSE471-02</v>
      </c>
      <c r="B554" s="8"/>
      <c r="C554" s="8"/>
      <c r="D554" s="8" t="str">
        <f>IFERROR(__xludf.DUMMYFUNCTION("""COMPUTED_VALUE"""),"MHDE")</f>
        <v>MHDE</v>
      </c>
      <c r="E554" s="8" t="str">
        <f>IFERROR(__xludf.DUMMYFUNCTION("""COMPUTED_VALUE"""),"MON+WED")</f>
        <v>MON+WED</v>
      </c>
      <c r="F554" s="8" t="str">
        <f>IFERROR(__xludf.DUMMYFUNCTION("""COMPUTED_VALUE"""),"11:00 AM")</f>
        <v>11:00 AM</v>
      </c>
      <c r="G554" s="9" t="str">
        <f>IFERROR(__xludf.DUMMYFUNCTION("""COMPUTED_VALUE"""),"09A-06C")</f>
        <v>09A-06C</v>
      </c>
      <c r="H554" s="8" t="str">
        <f>IFERROR(__xludf.DUMMYFUNCTION("""COMPUTED_VALUE"""),"AWK,AJK")</f>
        <v>AWK,AJK</v>
      </c>
      <c r="I554" s="8" t="str">
        <f>IFERROR(__xludf.DUMMYFUNCTION("""COMPUTED_VALUE"""),"SUN")</f>
        <v>SUN</v>
      </c>
      <c r="J554" s="8" t="str">
        <f>IFERROR(__xludf.DUMMYFUNCTION("""COMPUTED_VALUE"""),"11:00 AM")</f>
        <v>11:00 AM</v>
      </c>
      <c r="K554" s="8" t="str">
        <f>IFERROR(__xludf.DUMMYFUNCTION("""COMPUTED_VALUE"""),"12D-26L")</f>
        <v>12D-26L</v>
      </c>
      <c r="L554" s="8"/>
      <c r="M554" s="8"/>
    </row>
    <row r="555">
      <c r="A555" s="5" t="str">
        <f>IFERROR(__xludf.DUMMYFUNCTION("""COMPUTED_VALUE"""),"CSE471-03")</f>
        <v>CSE471-03</v>
      </c>
      <c r="B555" s="8"/>
      <c r="C555" s="8"/>
      <c r="D555" s="8" t="str">
        <f>IFERROR(__xludf.DUMMYFUNCTION("""COMPUTED_VALUE"""),"KZMN")</f>
        <v>KZMN</v>
      </c>
      <c r="E555" s="8" t="str">
        <f>IFERROR(__xludf.DUMMYFUNCTION("""COMPUTED_VALUE"""),"SAT+THU")</f>
        <v>SAT+THU</v>
      </c>
      <c r="F555" s="8" t="str">
        <f>IFERROR(__xludf.DUMMYFUNCTION("""COMPUTED_VALUE"""),"9:30 AM")</f>
        <v>9:30 AM</v>
      </c>
      <c r="G555" s="9" t="str">
        <f>IFERROR(__xludf.DUMMYFUNCTION("""COMPUTED_VALUE"""),"10A-10C")</f>
        <v>10A-10C</v>
      </c>
      <c r="H555" s="8" t="str">
        <f>IFERROR(__xludf.DUMMYFUNCTION("""COMPUTED_VALUE"""),"WHMJ,CSYR")</f>
        <v>WHMJ,CSYR</v>
      </c>
      <c r="I555" s="8" t="str">
        <f>IFERROR(__xludf.DUMMYFUNCTION("""COMPUTED_VALUE"""),"WED")</f>
        <v>WED</v>
      </c>
      <c r="J555" s="8" t="str">
        <f>IFERROR(__xludf.DUMMYFUNCTION("""COMPUTED_VALUE"""),"11:00 AM")</f>
        <v>11:00 AM</v>
      </c>
      <c r="K555" s="8" t="str">
        <f>IFERROR(__xludf.DUMMYFUNCTION("""COMPUTED_VALUE"""),"12F-32L")</f>
        <v>12F-32L</v>
      </c>
      <c r="L555" s="8"/>
      <c r="M555" s="8"/>
    </row>
    <row r="556">
      <c r="A556" s="5" t="str">
        <f>IFERROR(__xludf.DUMMYFUNCTION("""COMPUTED_VALUE"""),"CSE471-04")</f>
        <v>CSE471-04</v>
      </c>
      <c r="B556" s="8"/>
      <c r="C556" s="8"/>
      <c r="D556" s="8" t="str">
        <f>IFERROR(__xludf.DUMMYFUNCTION("""COMPUTED_VALUE"""),"AQU")</f>
        <v>AQU</v>
      </c>
      <c r="E556" s="8" t="str">
        <f>IFERROR(__xludf.DUMMYFUNCTION("""COMPUTED_VALUE"""),"MON+WED")</f>
        <v>MON+WED</v>
      </c>
      <c r="F556" s="8" t="str">
        <f>IFERROR(__xludf.DUMMYFUNCTION("""COMPUTED_VALUE"""),"2:00 PM")</f>
        <v>2:00 PM</v>
      </c>
      <c r="G556" s="9" t="str">
        <f>IFERROR(__xludf.DUMMYFUNCTION("""COMPUTED_VALUE"""),"09H-35C")</f>
        <v>09H-35C</v>
      </c>
      <c r="H556" s="8" t="str">
        <f>IFERROR(__xludf.DUMMYFUNCTION("""COMPUTED_VALUE"""),"SADA,AJK")</f>
        <v>SADA,AJK</v>
      </c>
      <c r="I556" s="8" t="str">
        <f>IFERROR(__xludf.DUMMYFUNCTION("""COMPUTED_VALUE"""),"SAT")</f>
        <v>SAT</v>
      </c>
      <c r="J556" s="8" t="str">
        <f>IFERROR(__xludf.DUMMYFUNCTION("""COMPUTED_VALUE"""),"8:00 AM")</f>
        <v>8:00 AM</v>
      </c>
      <c r="K556" s="8" t="str">
        <f>IFERROR(__xludf.DUMMYFUNCTION("""COMPUTED_VALUE"""),"09E-22L")</f>
        <v>09E-22L</v>
      </c>
      <c r="L556" s="8"/>
      <c r="M556" s="8"/>
    </row>
    <row r="557">
      <c r="A557" s="5" t="str">
        <f>IFERROR(__xludf.DUMMYFUNCTION("""COMPUTED_VALUE"""),"CSE471-05")</f>
        <v>CSE471-05</v>
      </c>
      <c r="B557" s="8"/>
      <c r="C557" s="8"/>
      <c r="D557" s="8" t="str">
        <f>IFERROR(__xludf.DUMMYFUNCTION("""COMPUTED_VALUE"""),"AQU")</f>
        <v>AQU</v>
      </c>
      <c r="E557" s="8" t="str">
        <f>IFERROR(__xludf.DUMMYFUNCTION("""COMPUTED_VALUE"""),"MON+WED")</f>
        <v>MON+WED</v>
      </c>
      <c r="F557" s="8" t="str">
        <f>IFERROR(__xludf.DUMMYFUNCTION("""COMPUTED_VALUE"""),"3:30 PM")</f>
        <v>3:30 PM</v>
      </c>
      <c r="G557" s="9" t="str">
        <f>IFERROR(__xludf.DUMMYFUNCTION("""COMPUTED_VALUE"""),"09H-35C")</f>
        <v>09H-35C</v>
      </c>
      <c r="H557" s="8" t="str">
        <f>IFERROR(__xludf.DUMMYFUNCTION("""COMPUTED_VALUE"""),"CSSN,AJK")</f>
        <v>CSSN,AJK</v>
      </c>
      <c r="I557" s="8" t="str">
        <f>IFERROR(__xludf.DUMMYFUNCTION("""COMPUTED_VALUE"""),"SAT")</f>
        <v>SAT</v>
      </c>
      <c r="J557" s="8" t="str">
        <f>IFERROR(__xludf.DUMMYFUNCTION("""COMPUTED_VALUE"""),"11:00 AM")</f>
        <v>11:00 AM</v>
      </c>
      <c r="K557" s="8" t="str">
        <f>IFERROR(__xludf.DUMMYFUNCTION("""COMPUTED_VALUE"""),"09E-22L")</f>
        <v>09E-22L</v>
      </c>
      <c r="L557" s="8"/>
      <c r="M557" s="8"/>
    </row>
    <row r="558">
      <c r="A558" s="5" t="str">
        <f>IFERROR(__xludf.DUMMYFUNCTION("""COMPUTED_VALUE"""),"CSE471-06")</f>
        <v>CSE471-06</v>
      </c>
      <c r="B558" s="8"/>
      <c r="C558" s="8"/>
      <c r="D558" s="8" t="str">
        <f>IFERROR(__xludf.DUMMYFUNCTION("""COMPUTED_VALUE"""),"KZMN")</f>
        <v>KZMN</v>
      </c>
      <c r="E558" s="8" t="str">
        <f>IFERROR(__xludf.DUMMYFUNCTION("""COMPUTED_VALUE"""),"SUN+TUE")</f>
        <v>SUN+TUE</v>
      </c>
      <c r="F558" s="8" t="str">
        <f>IFERROR(__xludf.DUMMYFUNCTION("""COMPUTED_VALUE"""),"8:00 AM")</f>
        <v>8:00 AM</v>
      </c>
      <c r="G558" s="9" t="str">
        <f>IFERROR(__xludf.DUMMYFUNCTION("""COMPUTED_VALUE"""),"09H-32C")</f>
        <v>09H-32C</v>
      </c>
      <c r="H558" s="8" t="str">
        <f>IFERROR(__xludf.DUMMYFUNCTION("""COMPUTED_VALUE"""),"ART,CKMH")</f>
        <v>ART,CKMH</v>
      </c>
      <c r="I558" s="8" t="str">
        <f>IFERROR(__xludf.DUMMYFUNCTION("""COMPUTED_VALUE"""),"THU")</f>
        <v>THU</v>
      </c>
      <c r="J558" s="8" t="str">
        <f>IFERROR(__xludf.DUMMYFUNCTION("""COMPUTED_VALUE"""),"2:00 PM")</f>
        <v>2:00 PM</v>
      </c>
      <c r="K558" s="8" t="str">
        <f>IFERROR(__xludf.DUMMYFUNCTION("""COMPUTED_VALUE"""),"09E-22L")</f>
        <v>09E-22L</v>
      </c>
      <c r="L558" s="8"/>
      <c r="M558" s="8"/>
    </row>
    <row r="559">
      <c r="A559" s="5" t="str">
        <f>IFERROR(__xludf.DUMMYFUNCTION("""COMPUTED_VALUE"""),"CSE471-07")</f>
        <v>CSE471-07</v>
      </c>
      <c r="B559" s="8"/>
      <c r="C559" s="8"/>
      <c r="D559" s="8" t="str">
        <f>IFERROR(__xludf.DUMMYFUNCTION("""COMPUTED_VALUE"""),"KZMN")</f>
        <v>KZMN</v>
      </c>
      <c r="E559" s="8" t="str">
        <f>IFERROR(__xludf.DUMMYFUNCTION("""COMPUTED_VALUE"""),"SUN+TUE")</f>
        <v>SUN+TUE</v>
      </c>
      <c r="F559" s="8" t="str">
        <f>IFERROR(__xludf.DUMMYFUNCTION("""COMPUTED_VALUE"""),"9:30 AM")</f>
        <v>9:30 AM</v>
      </c>
      <c r="G559" s="9" t="str">
        <f>IFERROR(__xludf.DUMMYFUNCTION("""COMPUTED_VALUE"""),"09H-32C")</f>
        <v>09H-32C</v>
      </c>
      <c r="H559" s="8" t="str">
        <f>IFERROR(__xludf.DUMMYFUNCTION("""COMPUTED_VALUE"""),"SADA,AJK")</f>
        <v>SADA,AJK</v>
      </c>
      <c r="I559" s="8" t="str">
        <f>IFERROR(__xludf.DUMMYFUNCTION("""COMPUTED_VALUE"""),"THU")</f>
        <v>THU</v>
      </c>
      <c r="J559" s="8" t="str">
        <f>IFERROR(__xludf.DUMMYFUNCTION("""COMPUTED_VALUE"""),"8:00 AM")</f>
        <v>8:00 AM</v>
      </c>
      <c r="K559" s="8" t="str">
        <f>IFERROR(__xludf.DUMMYFUNCTION("""COMPUTED_VALUE"""),"09E-22L")</f>
        <v>09E-22L</v>
      </c>
      <c r="L559" s="8"/>
      <c r="M559" s="8"/>
    </row>
    <row r="560">
      <c r="A560" s="5" t="str">
        <f>IFERROR(__xludf.DUMMYFUNCTION("""COMPUTED_VALUE"""),"CSE471-08")</f>
        <v>CSE471-08</v>
      </c>
      <c r="B560" s="8"/>
      <c r="C560" s="8"/>
      <c r="D560" s="8" t="str">
        <f>IFERROR(__xludf.DUMMYFUNCTION("""COMPUTED_VALUE"""),"MHDE")</f>
        <v>MHDE</v>
      </c>
      <c r="E560" s="8" t="str">
        <f>IFERROR(__xludf.DUMMYFUNCTION("""COMPUTED_VALUE"""),"SAT+THU")</f>
        <v>SAT+THU</v>
      </c>
      <c r="F560" s="8" t="str">
        <f>IFERROR(__xludf.DUMMYFUNCTION("""COMPUTED_VALUE"""),"9:30 AM")</f>
        <v>9:30 AM</v>
      </c>
      <c r="G560" s="9" t="str">
        <f>IFERROR(__xludf.DUMMYFUNCTION("""COMPUTED_VALUE"""),"10B-16C")</f>
        <v>10B-16C</v>
      </c>
      <c r="H560" s="8" t="str">
        <f>IFERROR(__xludf.DUMMYFUNCTION("""COMPUTED_VALUE"""),"WHMJ,CSYR")</f>
        <v>WHMJ,CSYR</v>
      </c>
      <c r="I560" s="8" t="str">
        <f>IFERROR(__xludf.DUMMYFUNCTION("""COMPUTED_VALUE"""),"WED")</f>
        <v>WED</v>
      </c>
      <c r="J560" s="8" t="str">
        <f>IFERROR(__xludf.DUMMYFUNCTION("""COMPUTED_VALUE"""),"8:00 AM")</f>
        <v>8:00 AM</v>
      </c>
      <c r="K560" s="8" t="str">
        <f>IFERROR(__xludf.DUMMYFUNCTION("""COMPUTED_VALUE"""),"12F-32L")</f>
        <v>12F-32L</v>
      </c>
      <c r="L560" s="8"/>
      <c r="M560" s="8"/>
    </row>
    <row r="561">
      <c r="A561" s="5" t="str">
        <f>IFERROR(__xludf.DUMMYFUNCTION("""COMPUTED_VALUE"""),"CSE471-09")</f>
        <v>CSE471-09</v>
      </c>
      <c r="B561" s="8"/>
      <c r="C561" s="8"/>
      <c r="D561" s="8" t="str">
        <f>IFERROR(__xludf.DUMMYFUNCTION("""COMPUTED_VALUE"""),"MHDE")</f>
        <v>MHDE</v>
      </c>
      <c r="E561" s="8" t="str">
        <f>IFERROR(__xludf.DUMMYFUNCTION("""COMPUTED_VALUE"""),"SAT+THU")</f>
        <v>SAT+THU</v>
      </c>
      <c r="F561" s="8" t="str">
        <f>IFERROR(__xludf.DUMMYFUNCTION("""COMPUTED_VALUE"""),"11:00 AM")</f>
        <v>11:00 AM</v>
      </c>
      <c r="G561" s="9" t="str">
        <f>IFERROR(__xludf.DUMMYFUNCTION("""COMPUTED_VALUE"""),"10B-16C")</f>
        <v>10B-16C</v>
      </c>
      <c r="H561" s="8" t="str">
        <f>IFERROR(__xludf.DUMMYFUNCTION("""COMPUTED_VALUE"""),"PLN,IRZ")</f>
        <v>PLN,IRZ</v>
      </c>
      <c r="I561" s="8" t="str">
        <f>IFERROR(__xludf.DUMMYFUNCTION("""COMPUTED_VALUE"""),"SUN")</f>
        <v>SUN</v>
      </c>
      <c r="J561" s="8" t="str">
        <f>IFERROR(__xludf.DUMMYFUNCTION("""COMPUTED_VALUE"""),"2:00 PM")</f>
        <v>2:00 PM</v>
      </c>
      <c r="K561" s="8" t="str">
        <f>IFERROR(__xludf.DUMMYFUNCTION("""COMPUTED_VALUE"""),"12D-26L")</f>
        <v>12D-26L</v>
      </c>
      <c r="L561" s="8"/>
      <c r="M561" s="8"/>
    </row>
    <row r="562">
      <c r="A562" s="5" t="str">
        <f>IFERROR(__xludf.DUMMYFUNCTION("""COMPUTED_VALUE"""),"CSE471-10")</f>
        <v>CSE471-10</v>
      </c>
      <c r="B562" s="8"/>
      <c r="C562" s="8"/>
      <c r="D562" s="8" t="str">
        <f>IFERROR(__xludf.DUMMYFUNCTION("""COMPUTED_VALUE"""),"MHDE")</f>
        <v>MHDE</v>
      </c>
      <c r="E562" s="8" t="str">
        <f>IFERROR(__xludf.DUMMYFUNCTION("""COMPUTED_VALUE"""),"MON+WED")</f>
        <v>MON+WED</v>
      </c>
      <c r="F562" s="8" t="str">
        <f>IFERROR(__xludf.DUMMYFUNCTION("""COMPUTED_VALUE"""),"9:30 AM")</f>
        <v>9:30 AM</v>
      </c>
      <c r="G562" s="9" t="str">
        <f>IFERROR(__xludf.DUMMYFUNCTION("""COMPUTED_VALUE"""),"09A-06C")</f>
        <v>09A-06C</v>
      </c>
      <c r="H562" s="8" t="str">
        <f>IFERROR(__xludf.DUMMYFUNCTION("""COMPUTED_VALUE"""),"ART,CSSN")</f>
        <v>ART,CSSN</v>
      </c>
      <c r="I562" s="8" t="str">
        <f>IFERROR(__xludf.DUMMYFUNCTION("""COMPUTED_VALUE"""),"SAT")</f>
        <v>SAT</v>
      </c>
      <c r="J562" s="8" t="str">
        <f>IFERROR(__xludf.DUMMYFUNCTION("""COMPUTED_VALUE"""),"2:00 PM")</f>
        <v>2:00 PM</v>
      </c>
      <c r="K562" s="8" t="str">
        <f>IFERROR(__xludf.DUMMYFUNCTION("""COMPUTED_VALUE"""),"09E-22L")</f>
        <v>09E-22L</v>
      </c>
      <c r="L562" s="8"/>
      <c r="M562" s="8"/>
    </row>
    <row r="563">
      <c r="A563" s="5" t="str">
        <f>IFERROR(__xludf.DUMMYFUNCTION("""COMPUTED_VALUE"""),"CSE471-11")</f>
        <v>CSE471-11</v>
      </c>
      <c r="B563" s="8"/>
      <c r="C563" s="8"/>
      <c r="D563" s="8" t="str">
        <f>IFERROR(__xludf.DUMMYFUNCTION("""COMPUTED_VALUE"""),"NAST")</f>
        <v>NAST</v>
      </c>
      <c r="E563" s="8" t="str">
        <f>IFERROR(__xludf.DUMMYFUNCTION("""COMPUTED_VALUE"""),"SAT+THU")</f>
        <v>SAT+THU</v>
      </c>
      <c r="F563" s="8" t="str">
        <f>IFERROR(__xludf.DUMMYFUNCTION("""COMPUTED_VALUE"""),"8:00 AM")</f>
        <v>8:00 AM</v>
      </c>
      <c r="G563" s="9" t="str">
        <f>IFERROR(__xludf.DUMMYFUNCTION("""COMPUTED_VALUE"""),"09A-07C")</f>
        <v>09A-07C</v>
      </c>
      <c r="H563" s="8" t="str">
        <f>IFERROR(__xludf.DUMMYFUNCTION("""COMPUTED_VALUE"""),"PLN,AWK")</f>
        <v>PLN,AWK</v>
      </c>
      <c r="I563" s="8" t="str">
        <f>IFERROR(__xludf.DUMMYFUNCTION("""COMPUTED_VALUE"""),"MON")</f>
        <v>MON</v>
      </c>
      <c r="J563" s="8" t="str">
        <f>IFERROR(__xludf.DUMMYFUNCTION("""COMPUTED_VALUE"""),"11:00 AM")</f>
        <v>11:00 AM</v>
      </c>
      <c r="K563" s="8" t="str">
        <f>IFERROR(__xludf.DUMMYFUNCTION("""COMPUTED_VALUE"""),"12F-30L")</f>
        <v>12F-30L</v>
      </c>
      <c r="L563" s="8"/>
      <c r="M563" s="8"/>
    </row>
    <row r="564">
      <c r="A564" s="5" t="str">
        <f>IFERROR(__xludf.DUMMYFUNCTION("""COMPUTED_VALUE"""),"CSE471-12")</f>
        <v>CSE471-12</v>
      </c>
      <c r="B564" s="8"/>
      <c r="C564" s="8"/>
      <c r="D564" s="8" t="str">
        <f>IFERROR(__xludf.DUMMYFUNCTION("""COMPUTED_VALUE"""),"NAST")</f>
        <v>NAST</v>
      </c>
      <c r="E564" s="8" t="str">
        <f>IFERROR(__xludf.DUMMYFUNCTION("""COMPUTED_VALUE"""),"SAT+THU")</f>
        <v>SAT+THU</v>
      </c>
      <c r="F564" s="8" t="str">
        <f>IFERROR(__xludf.DUMMYFUNCTION("""COMPUTED_VALUE"""),"9:30 AM")</f>
        <v>9:30 AM</v>
      </c>
      <c r="G564" s="9" t="str">
        <f>IFERROR(__xludf.DUMMYFUNCTION("""COMPUTED_VALUE"""),"09A-07C")</f>
        <v>09A-07C</v>
      </c>
      <c r="H564" s="8" t="str">
        <f>IFERROR(__xludf.DUMMYFUNCTION("""COMPUTED_VALUE"""),"CSSN,AWK")</f>
        <v>CSSN,AWK</v>
      </c>
      <c r="I564" s="8" t="str">
        <f>IFERROR(__xludf.DUMMYFUNCTION("""COMPUTED_VALUE"""),"MON")</f>
        <v>MON</v>
      </c>
      <c r="J564" s="8" t="str">
        <f>IFERROR(__xludf.DUMMYFUNCTION("""COMPUTED_VALUE"""),"2:00 PM")</f>
        <v>2:00 PM</v>
      </c>
      <c r="K564" s="8" t="str">
        <f>IFERROR(__xludf.DUMMYFUNCTION("""COMPUTED_VALUE"""),"12F-30L")</f>
        <v>12F-30L</v>
      </c>
      <c r="L564" s="8"/>
      <c r="M564" s="8"/>
    </row>
    <row r="565">
      <c r="A565" s="5" t="str">
        <f>IFERROR(__xludf.DUMMYFUNCTION("""COMPUTED_VALUE"""),"CSE471-13")</f>
        <v>CSE471-13</v>
      </c>
      <c r="B565" s="8"/>
      <c r="C565" s="8"/>
      <c r="D565" s="8" t="str">
        <f>IFERROR(__xludf.DUMMYFUNCTION("""COMPUTED_VALUE"""),"NAST")</f>
        <v>NAST</v>
      </c>
      <c r="E565" s="8" t="str">
        <f>IFERROR(__xludf.DUMMYFUNCTION("""COMPUTED_VALUE"""),"MON+WED")</f>
        <v>MON+WED</v>
      </c>
      <c r="F565" s="8" t="str">
        <f>IFERROR(__xludf.DUMMYFUNCTION("""COMPUTED_VALUE"""),"8:00 AM")</f>
        <v>8:00 AM</v>
      </c>
      <c r="G565" s="9" t="str">
        <f>IFERROR(__xludf.DUMMYFUNCTION("""COMPUTED_VALUE"""),"09A-05C")</f>
        <v>09A-05C</v>
      </c>
      <c r="H565" s="8" t="str">
        <f>IFERROR(__xludf.DUMMYFUNCTION("""COMPUTED_VALUE"""),"CABS,AWK")</f>
        <v>CABS,AWK</v>
      </c>
      <c r="I565" s="8" t="str">
        <f>IFERROR(__xludf.DUMMYFUNCTION("""COMPUTED_VALUE"""),"TUE")</f>
        <v>TUE</v>
      </c>
      <c r="J565" s="8" t="str">
        <f>IFERROR(__xludf.DUMMYFUNCTION("""COMPUTED_VALUE"""),"8:00 AM")</f>
        <v>8:00 AM</v>
      </c>
      <c r="K565" s="8" t="str">
        <f>IFERROR(__xludf.DUMMYFUNCTION("""COMPUTED_VALUE"""),"12F-30L")</f>
        <v>12F-30L</v>
      </c>
      <c r="L565" s="8"/>
      <c r="M565" s="8"/>
    </row>
    <row r="566">
      <c r="A566" s="5" t="str">
        <f>IFERROR(__xludf.DUMMYFUNCTION("""COMPUTED_VALUE"""),"CSE471-14")</f>
        <v>CSE471-14</v>
      </c>
      <c r="B566" s="8"/>
      <c r="C566" s="8"/>
      <c r="D566" s="8" t="str">
        <f>IFERROR(__xludf.DUMMYFUNCTION("""COMPUTED_VALUE"""),"WHMJ")</f>
        <v>WHMJ</v>
      </c>
      <c r="E566" s="8" t="str">
        <f>IFERROR(__xludf.DUMMYFUNCTION("""COMPUTED_VALUE"""),"SAT+THU")</f>
        <v>SAT+THU</v>
      </c>
      <c r="F566" s="8" t="str">
        <f>IFERROR(__xludf.DUMMYFUNCTION("""COMPUTED_VALUE"""),"3:30 PM")</f>
        <v>3:30 PM</v>
      </c>
      <c r="G566" s="9" t="str">
        <f>IFERROR(__xludf.DUMMYFUNCTION("""COMPUTED_VALUE"""),"09H-34C")</f>
        <v>09H-34C</v>
      </c>
      <c r="H566" s="8" t="str">
        <f>IFERROR(__xludf.DUMMYFUNCTION("""COMPUTED_VALUE"""),"CABS,AJK")</f>
        <v>CABS,AJK</v>
      </c>
      <c r="I566" s="8" t="str">
        <f>IFERROR(__xludf.DUMMYFUNCTION("""COMPUTED_VALUE"""),"TUE")</f>
        <v>TUE</v>
      </c>
      <c r="J566" s="8" t="str">
        <f>IFERROR(__xludf.DUMMYFUNCTION("""COMPUTED_VALUE"""),"11:00 AM")</f>
        <v>11:00 AM</v>
      </c>
      <c r="K566" s="8" t="str">
        <f>IFERROR(__xludf.DUMMYFUNCTION("""COMPUTED_VALUE"""),"12F-30L")</f>
        <v>12F-30L</v>
      </c>
      <c r="L566" s="8"/>
      <c r="M566" s="8"/>
    </row>
    <row r="567">
      <c r="A567" s="5" t="str">
        <f>IFERROR(__xludf.DUMMYFUNCTION("""COMPUTED_VALUE"""),"CSE472-01")</f>
        <v>CSE472-01</v>
      </c>
      <c r="B567" s="8"/>
      <c r="C567" s="8"/>
      <c r="D567" s="8" t="str">
        <f>IFERROR(__xludf.DUMMYFUNCTION("""COMPUTED_VALUE"""),"FDC")</f>
        <v>FDC</v>
      </c>
      <c r="E567" s="8" t="str">
        <f>IFERROR(__xludf.DUMMYFUNCTION("""COMPUTED_VALUE"""),"MON+WED")</f>
        <v>MON+WED</v>
      </c>
      <c r="F567" s="8" t="str">
        <f>IFERROR(__xludf.DUMMYFUNCTION("""COMPUTED_VALUE"""),"2:00 PM")</f>
        <v>2:00 PM</v>
      </c>
      <c r="G567" s="9" t="str">
        <f>IFERROR(__xludf.DUMMYFUNCTION("""COMPUTED_VALUE"""),"10B-16C")</f>
        <v>10B-16C</v>
      </c>
      <c r="H567" s="8" t="str">
        <f>IFERROR(__xludf.DUMMYFUNCTION("""COMPUTED_VALUE"""),"MAU,UJT")</f>
        <v>MAU,UJT</v>
      </c>
      <c r="I567" s="8" t="str">
        <f>IFERROR(__xludf.DUMMYFUNCTION("""COMPUTED_VALUE"""),"TUE")</f>
        <v>TUE</v>
      </c>
      <c r="J567" s="8" t="str">
        <f>IFERROR(__xludf.DUMMYFUNCTION("""COMPUTED_VALUE"""),"2:00 PM")</f>
        <v>2:00 PM</v>
      </c>
      <c r="K567" s="8" t="str">
        <f>IFERROR(__xludf.DUMMYFUNCTION("""COMPUTED_VALUE"""),"12F-30L")</f>
        <v>12F-30L</v>
      </c>
      <c r="L567" s="8"/>
      <c r="M567" s="8"/>
    </row>
    <row r="568">
      <c r="A568" s="5" t="str">
        <f>IFERROR(__xludf.DUMMYFUNCTION("""COMPUTED_VALUE"""),"CSE481-01")</f>
        <v>CSE481-01</v>
      </c>
      <c r="B568" s="8"/>
      <c r="C568" s="8"/>
      <c r="D568" s="8" t="str">
        <f>IFERROR(__xludf.DUMMYFUNCTION("""COMPUTED_VALUE"""),"SDS")</f>
        <v>SDS</v>
      </c>
      <c r="E568" s="8" t="str">
        <f>IFERROR(__xludf.DUMMYFUNCTION("""COMPUTED_VALUE"""),"MON+WED")</f>
        <v>MON+WED</v>
      </c>
      <c r="F568" s="8" t="str">
        <f>IFERROR(__xludf.DUMMYFUNCTION("""COMPUTED_VALUE"""),"8:00 AM")</f>
        <v>8:00 AM</v>
      </c>
      <c r="G568" s="9" t="str">
        <f>IFERROR(__xludf.DUMMYFUNCTION("""COMPUTED_VALUE"""),"10A-04C")</f>
        <v>10A-04C</v>
      </c>
      <c r="H568" s="8" t="str">
        <f>IFERROR(__xludf.DUMMYFUNCTION("""COMPUTED_VALUE"""),"SDS,NFS")</f>
        <v>SDS,NFS</v>
      </c>
      <c r="I568" s="8" t="str">
        <f>IFERROR(__xludf.DUMMYFUNCTION("""COMPUTED_VALUE"""),"THU")</f>
        <v>THU</v>
      </c>
      <c r="J568" s="8" t="str">
        <f>IFERROR(__xludf.DUMMYFUNCTION("""COMPUTED_VALUE"""),"8:00 AM")</f>
        <v>8:00 AM</v>
      </c>
      <c r="K568" s="8" t="str">
        <f>IFERROR(__xludf.DUMMYFUNCTION("""COMPUTED_VALUE"""),"09B-10L")</f>
        <v>09B-10L</v>
      </c>
      <c r="L568" s="8"/>
      <c r="M568" s="8"/>
    </row>
    <row r="569">
      <c r="A569" s="5" t="str">
        <f>IFERROR(__xludf.DUMMYFUNCTION("""COMPUTED_VALUE"""),"CSE489-01")</f>
        <v>CSE489-01</v>
      </c>
      <c r="B569" s="8"/>
      <c r="C569" s="8"/>
      <c r="D569" s="8" t="str">
        <f>IFERROR(__xludf.DUMMYFUNCTION("""COMPUTED_VALUE"""),"ADR")</f>
        <v>ADR</v>
      </c>
      <c r="E569" s="8" t="str">
        <f>IFERROR(__xludf.DUMMYFUNCTION("""COMPUTED_VALUE"""),"TUE+TUE")</f>
        <v>TUE+TUE</v>
      </c>
      <c r="F569" s="8" t="str">
        <f>IFERROR(__xludf.DUMMYFUNCTION("""COMPUTED_VALUE"""),"11:00 AM+12:30 PM")</f>
        <v>11:00 AM+12:30 PM</v>
      </c>
      <c r="G569" s="9" t="str">
        <f>IFERROR(__xludf.DUMMYFUNCTION("""COMPUTED_VALUE"""),"FT11-04L")</f>
        <v>FT11-04L</v>
      </c>
      <c r="H569" s="8" t="str">
        <f>IFERROR(__xludf.DUMMYFUNCTION("""COMPUTED_VALUE"""),"CPTH,ADR")</f>
        <v>CPTH,ADR</v>
      </c>
      <c r="I569" s="8" t="str">
        <f>IFERROR(__xludf.DUMMYFUNCTION("""COMPUTED_VALUE"""),"SUN")</f>
        <v>SUN</v>
      </c>
      <c r="J569" s="8" t="str">
        <f>IFERROR(__xludf.DUMMYFUNCTION("""COMPUTED_VALUE"""),"2:00 PM")</f>
        <v>2:00 PM</v>
      </c>
      <c r="K569" s="8" t="str">
        <f>IFERROR(__xludf.DUMMYFUNCTION("""COMPUTED_VALUE"""),"FT11-04L")</f>
        <v>FT11-04L</v>
      </c>
      <c r="L569" s="8"/>
      <c r="M569" s="8"/>
    </row>
    <row r="570">
      <c r="A570" s="5" t="str">
        <f>IFERROR(__xludf.DUMMYFUNCTION("""COMPUTED_VALUE"""),"CSE490A-01")</f>
        <v>CSE490A-01</v>
      </c>
      <c r="B570" s="8"/>
      <c r="C570" s="8"/>
      <c r="D570" s="8" t="str">
        <f>IFERROR(__xludf.DUMMYFUNCTION("""COMPUTED_VALUE"""),"MSA")</f>
        <v>MSA</v>
      </c>
      <c r="E570" s="8" t="str">
        <f>IFERROR(__xludf.DUMMYFUNCTION("""COMPUTED_VALUE"""),"SAT+THU")</f>
        <v>SAT+THU</v>
      </c>
      <c r="F570" s="8" t="str">
        <f>IFERROR(__xludf.DUMMYFUNCTION("""COMPUTED_VALUE"""),"2:00 PM")</f>
        <v>2:00 PM</v>
      </c>
      <c r="G570" s="9" t="str">
        <f>IFERROR(__xludf.DUMMYFUNCTION("""COMPUTED_VALUE"""),"09A-04C")</f>
        <v>09A-04C</v>
      </c>
      <c r="H570" s="8"/>
      <c r="I570" s="8"/>
      <c r="J570" s="8"/>
      <c r="K570" s="8"/>
      <c r="L570" s="8"/>
      <c r="M570" s="8"/>
    </row>
    <row r="571">
      <c r="A571" s="5" t="str">
        <f>IFERROR(__xludf.DUMMYFUNCTION("""COMPUTED_VALUE"""),"CSE490B-01")</f>
        <v>CSE490B-01</v>
      </c>
      <c r="B571" s="8"/>
      <c r="C571" s="8"/>
      <c r="D571" s="8" t="str">
        <f>IFERROR(__xludf.DUMMYFUNCTION("""COMPUTED_VALUE"""),"TLQ")</f>
        <v>TLQ</v>
      </c>
      <c r="E571" s="8" t="str">
        <f>IFERROR(__xludf.DUMMYFUNCTION("""COMPUTED_VALUE"""),"MON+WED")</f>
        <v>MON+WED</v>
      </c>
      <c r="F571" s="8" t="str">
        <f>IFERROR(__xludf.DUMMYFUNCTION("""COMPUTED_VALUE"""),"3:30 PM")</f>
        <v>3:30 PM</v>
      </c>
      <c r="G571" s="9" t="str">
        <f>IFERROR(__xludf.DUMMYFUNCTION("""COMPUTED_VALUE"""),"10A-05C")</f>
        <v>10A-05C</v>
      </c>
      <c r="H571" s="8" t="str">
        <f>IFERROR(__xludf.DUMMYFUNCTION("""COMPUTED_VALUE"""),"ZMD,SJM")</f>
        <v>ZMD,SJM</v>
      </c>
      <c r="I571" s="8" t="str">
        <f>IFERROR(__xludf.DUMMYFUNCTION("""COMPUTED_VALUE"""),"SUN")</f>
        <v>SUN</v>
      </c>
      <c r="J571" s="8" t="str">
        <f>IFERROR(__xludf.DUMMYFUNCTION("""COMPUTED_VALUE"""),"2:00 PM")</f>
        <v>2:00 PM</v>
      </c>
      <c r="K571" s="8" t="str">
        <f>IFERROR(__xludf.DUMMYFUNCTION("""COMPUTED_VALUE"""),"10G-34L")</f>
        <v>10G-34L</v>
      </c>
      <c r="L571" s="8"/>
      <c r="M571" s="8"/>
    </row>
    <row r="572">
      <c r="A572" s="5" t="str">
        <f>IFERROR(__xludf.DUMMYFUNCTION("""COMPUTED_VALUE"""),"CSE490C-01")</f>
        <v>CSE490C-01</v>
      </c>
      <c r="B572" s="8"/>
      <c r="C572" s="8"/>
      <c r="D572" s="8" t="str">
        <f>IFERROR(__xludf.DUMMYFUNCTION("""COMPUTED_VALUE"""),"SDAS")</f>
        <v>SDAS</v>
      </c>
      <c r="E572" s="8" t="str">
        <f>IFERROR(__xludf.DUMMYFUNCTION("""COMPUTED_VALUE"""),"SUN+TUE")</f>
        <v>SUN+TUE</v>
      </c>
      <c r="F572" s="8" t="str">
        <f>IFERROR(__xludf.DUMMYFUNCTION("""COMPUTED_VALUE"""),"2:00 PM")</f>
        <v>2:00 PM</v>
      </c>
      <c r="G572" s="9" t="str">
        <f>IFERROR(__xludf.DUMMYFUNCTION("""COMPUTED_VALUE"""),"07H-27C")</f>
        <v>07H-27C</v>
      </c>
      <c r="H572" s="8" t="str">
        <f>IFERROR(__xludf.DUMMYFUNCTION("""COMPUTED_VALUE"""),"SDAS,NFS")</f>
        <v>SDAS,NFS</v>
      </c>
      <c r="I572" s="8" t="str">
        <f>IFERROR(__xludf.DUMMYFUNCTION("""COMPUTED_VALUE"""),"THU")</f>
        <v>THU</v>
      </c>
      <c r="J572" s="8" t="str">
        <f>IFERROR(__xludf.DUMMYFUNCTION("""COMPUTED_VALUE"""),"2:00 PM")</f>
        <v>2:00 PM</v>
      </c>
      <c r="K572" s="8" t="str">
        <f>IFERROR(__xludf.DUMMYFUNCTION("""COMPUTED_VALUE"""),"12D-26L")</f>
        <v>12D-26L</v>
      </c>
      <c r="L572" s="8"/>
      <c r="M572" s="8"/>
    </row>
    <row r="573">
      <c r="A573" s="5" t="str">
        <f>IFERROR(__xludf.DUMMYFUNCTION("""COMPUTED_VALUE"""),"CSE490D-01")</f>
        <v>CSE490D-01</v>
      </c>
      <c r="B573" s="8"/>
      <c r="C573" s="8"/>
      <c r="D573" s="8" t="str">
        <f>IFERROR(__xludf.DUMMYFUNCTION("""COMPUTED_VALUE"""),"TAV")</f>
        <v>TAV</v>
      </c>
      <c r="E573" s="8" t="str">
        <f>IFERROR(__xludf.DUMMYFUNCTION("""COMPUTED_VALUE"""),"MON+WED")</f>
        <v>MON+WED</v>
      </c>
      <c r="F573" s="8" t="str">
        <f>IFERROR(__xludf.DUMMYFUNCTION("""COMPUTED_VALUE"""),"8:00 AM")</f>
        <v>8:00 AM</v>
      </c>
      <c r="G573" s="9" t="str">
        <f>IFERROR(__xludf.DUMMYFUNCTION("""COMPUTED_VALUE"""),"09A-06C")</f>
        <v>09A-06C</v>
      </c>
      <c r="H573" s="8"/>
      <c r="I573" s="8"/>
      <c r="J573" s="8"/>
      <c r="K573" s="8"/>
      <c r="L573" s="8"/>
      <c r="M573" s="8"/>
    </row>
    <row r="574">
      <c r="A574" s="5" t="str">
        <f>IFERROR(__xludf.DUMMYFUNCTION("""COMPUTED_VALUE"""),"CSE708-01")</f>
        <v>CSE708-01</v>
      </c>
      <c r="B574" s="8"/>
      <c r="C574" s="8"/>
      <c r="D574" s="8" t="str">
        <f>IFERROR(__xludf.DUMMYFUNCTION("""COMPUTED_VALUE"""),"KYK")</f>
        <v>KYK</v>
      </c>
      <c r="E574" s="8" t="str">
        <f>IFERROR(__xludf.DUMMYFUNCTION("""COMPUTED_VALUE"""),"MON+MON")</f>
        <v>MON+MON</v>
      </c>
      <c r="F574" s="8" t="str">
        <f>IFERROR(__xludf.DUMMYFUNCTION("""COMPUTED_VALUE"""),"6:00 PM+7:30 PM")</f>
        <v>6:00 PM+7:30 PM</v>
      </c>
      <c r="G574" s="9" t="str">
        <f>IFERROR(__xludf.DUMMYFUNCTION("""COMPUTED_VALUE"""),"08H-26C")</f>
        <v>08H-26C</v>
      </c>
      <c r="H574" s="8"/>
      <c r="I574" s="8"/>
      <c r="J574" s="8"/>
      <c r="K574" s="8"/>
      <c r="L574" s="8"/>
      <c r="M574" s="8"/>
    </row>
    <row r="575">
      <c r="A575" s="5" t="str">
        <f>IFERROR(__xludf.DUMMYFUNCTION("""COMPUTED_VALUE"""),"CSE710-01")</f>
        <v>CSE710-01</v>
      </c>
      <c r="B575" s="8"/>
      <c r="C575" s="8"/>
      <c r="D575" s="8" t="str">
        <f>IFERROR(__xludf.DUMMYFUNCTION("""COMPUTED_VALUE"""),"GRA")</f>
        <v>GRA</v>
      </c>
      <c r="E575" s="8" t="str">
        <f>IFERROR(__xludf.DUMMYFUNCTION("""COMPUTED_VALUE"""),"SAT+SAT")</f>
        <v>SAT+SAT</v>
      </c>
      <c r="F575" s="8" t="str">
        <f>IFERROR(__xludf.DUMMYFUNCTION("""COMPUTED_VALUE"""),"6:00 PM+7:30 PM")</f>
        <v>6:00 PM+7:30 PM</v>
      </c>
      <c r="G575" s="9" t="str">
        <f>IFERROR(__xludf.DUMMYFUNCTION("""COMPUTED_VALUE"""),"08B-10C")</f>
        <v>08B-10C</v>
      </c>
      <c r="H575" s="8"/>
      <c r="I575" s="8"/>
      <c r="J575" s="8"/>
      <c r="K575" s="8"/>
      <c r="L575" s="8"/>
      <c r="M575" s="8"/>
    </row>
    <row r="576">
      <c r="A576" s="5" t="str">
        <f>IFERROR(__xludf.DUMMYFUNCTION("""COMPUTED_VALUE"""),"CSE711-01")</f>
        <v>CSE711-01</v>
      </c>
      <c r="B576" s="8"/>
      <c r="C576" s="8"/>
      <c r="D576" s="8" t="str">
        <f>IFERROR(__xludf.DUMMYFUNCTION("""COMPUTED_VALUE"""),"GRA")</f>
        <v>GRA</v>
      </c>
      <c r="E576" s="8" t="str">
        <f>IFERROR(__xludf.DUMMYFUNCTION("""COMPUTED_VALUE"""),"MON+MON")</f>
        <v>MON+MON</v>
      </c>
      <c r="F576" s="8" t="str">
        <f>IFERROR(__xludf.DUMMYFUNCTION("""COMPUTED_VALUE"""),"6:00 PM+7:30 PM")</f>
        <v>6:00 PM+7:30 PM</v>
      </c>
      <c r="G576" s="9" t="str">
        <f>IFERROR(__xludf.DUMMYFUNCTION("""COMPUTED_VALUE"""),"08H-27C")</f>
        <v>08H-27C</v>
      </c>
      <c r="H576" s="8"/>
      <c r="I576" s="8"/>
      <c r="J576" s="8"/>
      <c r="K576" s="8"/>
      <c r="L576" s="8"/>
      <c r="M576" s="8"/>
    </row>
    <row r="577">
      <c r="A577" s="5" t="str">
        <f>IFERROR(__xludf.DUMMYFUNCTION("""COMPUTED_VALUE"""),"CSE713-01")</f>
        <v>CSE713-01</v>
      </c>
      <c r="B577" s="8"/>
      <c r="C577" s="8"/>
      <c r="D577" s="8" t="str">
        <f>IFERROR(__xludf.DUMMYFUNCTION("""COMPUTED_VALUE"""),"AAR")</f>
        <v>AAR</v>
      </c>
      <c r="E577" s="8" t="str">
        <f>IFERROR(__xludf.DUMMYFUNCTION("""COMPUTED_VALUE"""),"SUN+SUN")</f>
        <v>SUN+SUN</v>
      </c>
      <c r="F577" s="8" t="str">
        <f>IFERROR(__xludf.DUMMYFUNCTION("""COMPUTED_VALUE"""),"6:00 PM+7:30 PM")</f>
        <v>6:00 PM+7:30 PM</v>
      </c>
      <c r="G577" s="9" t="str">
        <f>IFERROR(__xludf.DUMMYFUNCTION("""COMPUTED_VALUE"""),"08F-22C")</f>
        <v>08F-22C</v>
      </c>
      <c r="H577" s="8"/>
      <c r="I577" s="8"/>
      <c r="J577" s="8"/>
      <c r="K577" s="8"/>
      <c r="L577" s="8"/>
      <c r="M577" s="8"/>
    </row>
    <row r="578">
      <c r="A578" s="5" t="str">
        <f>IFERROR(__xludf.DUMMYFUNCTION("""COMPUTED_VALUE"""),"CSE715-01")</f>
        <v>CSE715-01</v>
      </c>
      <c r="B578" s="8"/>
      <c r="C578" s="8"/>
      <c r="D578" s="8" t="str">
        <f>IFERROR(__xludf.DUMMYFUNCTION("""COMPUTED_VALUE"""),"MMM")</f>
        <v>MMM</v>
      </c>
      <c r="E578" s="8" t="str">
        <f>IFERROR(__xludf.DUMMYFUNCTION("""COMPUTED_VALUE"""),"SAT+SAT")</f>
        <v>SAT+SAT</v>
      </c>
      <c r="F578" s="8" t="str">
        <f>IFERROR(__xludf.DUMMYFUNCTION("""COMPUTED_VALUE"""),"6:00 PM+7:30 PM")</f>
        <v>6:00 PM+7:30 PM</v>
      </c>
      <c r="G578" s="9" t="str">
        <f>IFERROR(__xludf.DUMMYFUNCTION("""COMPUTED_VALUE"""),"08D-12C")</f>
        <v>08D-12C</v>
      </c>
      <c r="H578" s="8"/>
      <c r="I578" s="8"/>
      <c r="J578" s="8"/>
      <c r="K578" s="8"/>
      <c r="L578" s="8"/>
      <c r="M578" s="8"/>
    </row>
    <row r="579">
      <c r="A579" s="5" t="str">
        <f>IFERROR(__xludf.DUMMYFUNCTION("""COMPUTED_VALUE"""),"CSE717-01")</f>
        <v>CSE717-01</v>
      </c>
      <c r="B579" s="8"/>
      <c r="C579" s="8"/>
      <c r="D579" s="8" t="str">
        <f>IFERROR(__xludf.DUMMYFUNCTION("""COMPUTED_VALUE"""),"KYK")</f>
        <v>KYK</v>
      </c>
      <c r="E579" s="8" t="str">
        <f>IFERROR(__xludf.DUMMYFUNCTION("""COMPUTED_VALUE"""),"TUE+TUE")</f>
        <v>TUE+TUE</v>
      </c>
      <c r="F579" s="8" t="str">
        <f>IFERROR(__xludf.DUMMYFUNCTION("""COMPUTED_VALUE"""),"6:00 PM+7:30 PM")</f>
        <v>6:00 PM+7:30 PM</v>
      </c>
      <c r="G579" s="9" t="str">
        <f>IFERROR(__xludf.DUMMYFUNCTION("""COMPUTED_VALUE"""),"08H-22C")</f>
        <v>08H-22C</v>
      </c>
      <c r="H579" s="8"/>
      <c r="I579" s="8"/>
      <c r="J579" s="8"/>
      <c r="K579" s="8"/>
      <c r="L579" s="8"/>
      <c r="M579" s="8"/>
    </row>
    <row r="580">
      <c r="A580" s="5" t="str">
        <f>IFERROR(__xludf.DUMMYFUNCTION("""COMPUTED_VALUE"""),"CSE721-01")</f>
        <v>CSE721-01</v>
      </c>
      <c r="B580" s="8" t="str">
        <f>IFERROR(__xludf.DUMMYFUNCTION("""COMPUTED_VALUE"""),"#N/A")</f>
        <v>#N/A</v>
      </c>
      <c r="C580" s="8" t="str">
        <f>IFERROR(__xludf.DUMMYFUNCTION("""COMPUTED_VALUE"""),"#N/A")</f>
        <v>#N/A</v>
      </c>
      <c r="D580" s="8" t="str">
        <f>IFERROR(__xludf.DUMMYFUNCTION("""COMPUTED_VALUE"""),"MIH")</f>
        <v>MIH</v>
      </c>
      <c r="E580" s="8" t="str">
        <f>IFERROR(__xludf.DUMMYFUNCTION("""COMPUTED_VALUE"""),"TUE+TUE")</f>
        <v>TUE+TUE</v>
      </c>
      <c r="F580" s="8" t="str">
        <f>IFERROR(__xludf.DUMMYFUNCTION("""COMPUTED_VALUE"""),"6:00 PM+7:30 PM")</f>
        <v>6:00 PM+7:30 PM</v>
      </c>
      <c r="G580" s="9" t="str">
        <f>IFERROR(__xludf.DUMMYFUNCTION("""COMPUTED_VALUE"""),"09A-01C")</f>
        <v>09A-01C</v>
      </c>
      <c r="H580" s="8"/>
      <c r="I580" s="8"/>
      <c r="J580" s="8"/>
      <c r="K580" s="8"/>
      <c r="L580" s="8"/>
      <c r="M580" s="8"/>
    </row>
    <row r="581">
      <c r="A581" s="5" t="str">
        <f>IFERROR(__xludf.DUMMYFUNCTION("""COMPUTED_VALUE"""),"CSE722-01")</f>
        <v>CSE722-01</v>
      </c>
      <c r="B581" s="8" t="str">
        <f>IFERROR(__xludf.DUMMYFUNCTION("""COMPUTED_VALUE"""),"#N/A")</f>
        <v>#N/A</v>
      </c>
      <c r="C581" s="8" t="str">
        <f>IFERROR(__xludf.DUMMYFUNCTION("""COMPUTED_VALUE"""),"#N/A")</f>
        <v>#N/A</v>
      </c>
      <c r="D581" s="8" t="str">
        <f>IFERROR(__xludf.DUMMYFUNCTION("""COMPUTED_VALUE"""),"SDF")</f>
        <v>SDF</v>
      </c>
      <c r="E581" s="8" t="str">
        <f>IFERROR(__xludf.DUMMYFUNCTION("""COMPUTED_VALUE"""),"SUN+SUN")</f>
        <v>SUN+SUN</v>
      </c>
      <c r="F581" s="8" t="str">
        <f>IFERROR(__xludf.DUMMYFUNCTION("""COMPUTED_VALUE"""),"6:00 PM+7:30 PM")</f>
        <v>6:00 PM+7:30 PM</v>
      </c>
      <c r="G581" s="9" t="str">
        <f>IFERROR(__xludf.DUMMYFUNCTION("""COMPUTED_VALUE"""),"09A-01C")</f>
        <v>09A-01C</v>
      </c>
      <c r="H581" s="8"/>
      <c r="I581" s="8"/>
      <c r="J581" s="8"/>
      <c r="K581" s="8"/>
      <c r="L581" s="8"/>
      <c r="M581" s="8"/>
    </row>
    <row r="582">
      <c r="A582" s="5" t="str">
        <f>IFERROR(__xludf.DUMMYFUNCTION("""COMPUTED_VALUE"""),"CSE724-01")</f>
        <v>CSE724-01</v>
      </c>
      <c r="B582" s="8" t="str">
        <f>IFERROR(__xludf.DUMMYFUNCTION("""COMPUTED_VALUE"""),"#N/A")</f>
        <v>#N/A</v>
      </c>
      <c r="C582" s="8" t="str">
        <f>IFERROR(__xludf.DUMMYFUNCTION("""COMPUTED_VALUE"""),"#N/A")</f>
        <v>#N/A</v>
      </c>
      <c r="D582" s="8" t="str">
        <f>IFERROR(__xludf.DUMMYFUNCTION("""COMPUTED_VALUE"""),"MHZA")</f>
        <v>MHZA</v>
      </c>
      <c r="E582" s="8" t="str">
        <f>IFERROR(__xludf.DUMMYFUNCTION("""COMPUTED_VALUE"""),"THU+THU")</f>
        <v>THU+THU</v>
      </c>
      <c r="F582" s="8" t="str">
        <f>IFERROR(__xludf.DUMMYFUNCTION("""COMPUTED_VALUE"""),"6:00 PM+7:30 PM")</f>
        <v>6:00 PM+7:30 PM</v>
      </c>
      <c r="G582" s="9" t="str">
        <f>IFERROR(__xludf.DUMMYFUNCTION("""COMPUTED_VALUE"""),"08D-17C")</f>
        <v>08D-17C</v>
      </c>
      <c r="H582" s="8"/>
      <c r="I582" s="8"/>
      <c r="J582" s="8"/>
      <c r="K582" s="8"/>
      <c r="L582" s="8"/>
      <c r="M582" s="8"/>
    </row>
    <row r="583">
      <c r="A583" s="5" t="str">
        <f>IFERROR(__xludf.DUMMYFUNCTION("""COMPUTED_VALUE"""),"CSE726-01")</f>
        <v>CSE726-01</v>
      </c>
      <c r="B583" s="8" t="str">
        <f>IFERROR(__xludf.DUMMYFUNCTION("""COMPUTED_VALUE"""),"#N/A")</f>
        <v>#N/A</v>
      </c>
      <c r="C583" s="8" t="str">
        <f>IFERROR(__xludf.DUMMYFUNCTION("""COMPUTED_VALUE"""),"#N/A")</f>
        <v>#N/A</v>
      </c>
      <c r="D583" s="8" t="str">
        <f>IFERROR(__xludf.DUMMYFUNCTION("""COMPUTED_VALUE"""),"TLQ")</f>
        <v>TLQ</v>
      </c>
      <c r="E583" s="8" t="str">
        <f>IFERROR(__xludf.DUMMYFUNCTION("""COMPUTED_VALUE"""),"MON+MON")</f>
        <v>MON+MON</v>
      </c>
      <c r="F583" s="8" t="str">
        <f>IFERROR(__xludf.DUMMYFUNCTION("""COMPUTED_VALUE"""),"6:00 PM+7:30 PM")</f>
        <v>6:00 PM+7:30 PM</v>
      </c>
      <c r="G583" s="9" t="str">
        <f>IFERROR(__xludf.DUMMYFUNCTION("""COMPUTED_VALUE"""),"09A-02C")</f>
        <v>09A-02C</v>
      </c>
      <c r="H583" s="8"/>
      <c r="I583" s="8"/>
      <c r="J583" s="8"/>
      <c r="K583" s="8"/>
      <c r="L583" s="8"/>
      <c r="M583" s="8"/>
    </row>
    <row r="584">
      <c r="A584" s="5" t="str">
        <f>IFERROR(__xludf.DUMMYFUNCTION("""COMPUTED_VALUE"""),"CSE751-01")</f>
        <v>CSE751-01</v>
      </c>
      <c r="B584" s="8" t="str">
        <f>IFERROR(__xludf.DUMMYFUNCTION("""COMPUTED_VALUE"""),"#N/A")</f>
        <v>#N/A</v>
      </c>
      <c r="C584" s="8" t="str">
        <f>IFERROR(__xludf.DUMMYFUNCTION("""COMPUTED_VALUE"""),"#N/A")</f>
        <v>#N/A</v>
      </c>
      <c r="D584" s="8" t="str">
        <f>IFERROR(__xludf.DUMMYFUNCTION("""COMPUTED_VALUE"""),"FYS")</f>
        <v>FYS</v>
      </c>
      <c r="E584" s="8" t="str">
        <f>IFERROR(__xludf.DUMMYFUNCTION("""COMPUTED_VALUE"""),"TUE+TUE")</f>
        <v>TUE+TUE</v>
      </c>
      <c r="F584" s="8" t="str">
        <f>IFERROR(__xludf.DUMMYFUNCTION("""COMPUTED_VALUE"""),"6:00 PM+7:30 PM")</f>
        <v>6:00 PM+7:30 PM</v>
      </c>
      <c r="G584" s="9" t="str">
        <f>IFERROR(__xludf.DUMMYFUNCTION("""COMPUTED_VALUE"""),"08H-25C")</f>
        <v>08H-25C</v>
      </c>
      <c r="H584" s="8"/>
      <c r="I584" s="8"/>
      <c r="J584" s="8"/>
      <c r="K584" s="8"/>
      <c r="L584" s="8"/>
      <c r="M584" s="8"/>
    </row>
    <row r="585">
      <c r="A585" s="5" t="str">
        <f>IFERROR(__xludf.DUMMYFUNCTION("""COMPUTED_VALUE"""),"CSE754-01")</f>
        <v>CSE754-01</v>
      </c>
      <c r="B585" s="8" t="str">
        <f>IFERROR(__xludf.DUMMYFUNCTION("""COMPUTED_VALUE"""),"#N/A")</f>
        <v>#N/A</v>
      </c>
      <c r="C585" s="8" t="str">
        <f>IFERROR(__xludf.DUMMYFUNCTION("""COMPUTED_VALUE"""),"#N/A")</f>
        <v>#N/A</v>
      </c>
      <c r="D585" s="8" t="str">
        <f>IFERROR(__xludf.DUMMYFUNCTION("""COMPUTED_VALUE"""),"ASA")</f>
        <v>ASA</v>
      </c>
      <c r="E585" s="8" t="str">
        <f>IFERROR(__xludf.DUMMYFUNCTION("""COMPUTED_VALUE"""),"WED+WED")</f>
        <v>WED+WED</v>
      </c>
      <c r="F585" s="8" t="str">
        <f>IFERROR(__xludf.DUMMYFUNCTION("""COMPUTED_VALUE"""),"6:00 PM+7:30 PM")</f>
        <v>6:00 PM+7:30 PM</v>
      </c>
      <c r="G585" s="9" t="str">
        <f>IFERROR(__xludf.DUMMYFUNCTION("""COMPUTED_VALUE"""),"09A-01C")</f>
        <v>09A-01C</v>
      </c>
      <c r="H585" s="8"/>
      <c r="I585" s="8"/>
      <c r="J585" s="8"/>
      <c r="K585" s="8"/>
      <c r="L585" s="8"/>
      <c r="M585" s="8"/>
    </row>
    <row r="586">
      <c r="A586" s="5" t="str">
        <f>IFERROR(__xludf.DUMMYFUNCTION("""COMPUTED_VALUE"""),"CSE756-01")</f>
        <v>CSE756-01</v>
      </c>
      <c r="B586" s="8" t="str">
        <f>IFERROR(__xludf.DUMMYFUNCTION("""COMPUTED_VALUE"""),"#N/A")</f>
        <v>#N/A</v>
      </c>
      <c r="C586" s="8" t="str">
        <f>IFERROR(__xludf.DUMMYFUNCTION("""COMPUTED_VALUE"""),"#N/A")</f>
        <v>#N/A</v>
      </c>
      <c r="D586" s="8" t="str">
        <f>IFERROR(__xludf.DUMMYFUNCTION("""COMPUTED_VALUE"""),"IBU")</f>
        <v>IBU</v>
      </c>
      <c r="E586" s="8" t="str">
        <f>IFERROR(__xludf.DUMMYFUNCTION("""COMPUTED_VALUE"""),"WED+WED")</f>
        <v>WED+WED</v>
      </c>
      <c r="F586" s="8" t="str">
        <f>IFERROR(__xludf.DUMMYFUNCTION("""COMPUTED_VALUE"""),"6:00 PM+7:30 PM")</f>
        <v>6:00 PM+7:30 PM</v>
      </c>
      <c r="G586" s="9" t="str">
        <f>IFERROR(__xludf.DUMMYFUNCTION("""COMPUTED_VALUE"""),"09A-02C")</f>
        <v>09A-02C</v>
      </c>
      <c r="H586" s="8"/>
      <c r="I586" s="8"/>
      <c r="J586" s="8"/>
      <c r="K586" s="8"/>
      <c r="L586" s="8"/>
      <c r="M586" s="8"/>
    </row>
    <row r="587">
      <c r="A587" s="5" t="str">
        <f>IFERROR(__xludf.DUMMYFUNCTION("""COMPUTED_VALUE"""),"CSE761-01")</f>
        <v>CSE761-01</v>
      </c>
      <c r="B587" s="8" t="str">
        <f>IFERROR(__xludf.DUMMYFUNCTION("""COMPUTED_VALUE"""),"#N/A")</f>
        <v>#N/A</v>
      </c>
      <c r="C587" s="8" t="str">
        <f>IFERROR(__xludf.DUMMYFUNCTION("""COMPUTED_VALUE"""),"#N/A")</f>
        <v>#N/A</v>
      </c>
      <c r="D587" s="8" t="str">
        <f>IFERROR(__xludf.DUMMYFUNCTION("""COMPUTED_VALUE"""),"GRA")</f>
        <v>GRA</v>
      </c>
      <c r="E587" s="8" t="str">
        <f>IFERROR(__xludf.DUMMYFUNCTION("""COMPUTED_VALUE"""),"THU+THU")</f>
        <v>THU+THU</v>
      </c>
      <c r="F587" s="8" t="str">
        <f>IFERROR(__xludf.DUMMYFUNCTION("""COMPUTED_VALUE"""),"6:00 PM+7:30 PM")</f>
        <v>6:00 PM+7:30 PM</v>
      </c>
      <c r="G587" s="9" t="str">
        <f>IFERROR(__xludf.DUMMYFUNCTION("""COMPUTED_VALUE"""),"08D-12C")</f>
        <v>08D-12C</v>
      </c>
      <c r="H587" s="8"/>
      <c r="I587" s="8"/>
      <c r="J587" s="8"/>
      <c r="K587" s="8"/>
      <c r="L587" s="8"/>
      <c r="M587" s="8"/>
    </row>
    <row r="588">
      <c r="A588" s="5" t="str">
        <f>IFERROR(__xludf.DUMMYFUNCTION("""COMPUTED_VALUE"""),"CSE763-01")</f>
        <v>CSE763-01</v>
      </c>
      <c r="B588" s="8" t="str">
        <f>IFERROR(__xludf.DUMMYFUNCTION("""COMPUTED_VALUE"""),"#N/A")</f>
        <v>#N/A</v>
      </c>
      <c r="C588" s="8" t="str">
        <f>IFERROR(__xludf.DUMMYFUNCTION("""COMPUTED_VALUE"""),"#N/A")</f>
        <v>#N/A</v>
      </c>
      <c r="D588" s="8" t="str">
        <f>IFERROR(__xludf.DUMMYFUNCTION("""COMPUTED_VALUE"""),"SWK")</f>
        <v>SWK</v>
      </c>
      <c r="E588" s="8" t="str">
        <f>IFERROR(__xludf.DUMMYFUNCTION("""COMPUTED_VALUE"""),"TUE+TUE")</f>
        <v>TUE+TUE</v>
      </c>
      <c r="F588" s="8" t="str">
        <f>IFERROR(__xludf.DUMMYFUNCTION("""COMPUTED_VALUE"""),"6:00 PM+7:30 PM")</f>
        <v>6:00 PM+7:30 PM</v>
      </c>
      <c r="G588" s="9" t="str">
        <f>IFERROR(__xludf.DUMMYFUNCTION("""COMPUTED_VALUE"""),"08H-26C")</f>
        <v>08H-26C</v>
      </c>
      <c r="H588" s="8"/>
      <c r="I588" s="8"/>
      <c r="J588" s="8"/>
      <c r="K588" s="8"/>
      <c r="L588" s="8"/>
      <c r="M588" s="8"/>
    </row>
    <row r="589">
      <c r="A589" s="5" t="str">
        <f>IFERROR(__xludf.DUMMYFUNCTION("""COMPUTED_VALUE"""),"CSE772-01")</f>
        <v>CSE772-01</v>
      </c>
      <c r="B589" s="8" t="str">
        <f>IFERROR(__xludf.DUMMYFUNCTION("""COMPUTED_VALUE"""),"#N/A")</f>
        <v>#N/A</v>
      </c>
      <c r="C589" s="8" t="str">
        <f>IFERROR(__xludf.DUMMYFUNCTION("""COMPUTED_VALUE"""),"#N/A")</f>
        <v>#N/A</v>
      </c>
      <c r="D589" s="8" t="str">
        <f>IFERROR(__xludf.DUMMYFUNCTION("""COMPUTED_VALUE"""),"TBC")</f>
        <v>TBC</v>
      </c>
      <c r="E589" s="8" t="str">
        <f>IFERROR(__xludf.DUMMYFUNCTION("""COMPUTED_VALUE"""),"THU+THU")</f>
        <v>THU+THU</v>
      </c>
      <c r="F589" s="8" t="str">
        <f>IFERROR(__xludf.DUMMYFUNCTION("""COMPUTED_VALUE"""),"6:00 PM+7:30 PM")</f>
        <v>6:00 PM+7:30 PM</v>
      </c>
      <c r="G589" s="9" t="str">
        <f>IFERROR(__xludf.DUMMYFUNCTION("""COMPUTED_VALUE"""),"09B-10L")</f>
        <v>09B-10L</v>
      </c>
      <c r="H589" s="8"/>
      <c r="I589" s="8"/>
      <c r="J589" s="8"/>
      <c r="K589" s="8"/>
      <c r="L589" s="8"/>
      <c r="M589" s="8"/>
    </row>
    <row r="590">
      <c r="A590" s="5" t="str">
        <f>IFERROR(__xludf.DUMMYFUNCTION("""COMPUTED_VALUE"""),"CSE773-01")</f>
        <v>CSE773-01</v>
      </c>
      <c r="B590" s="8" t="str">
        <f>IFERROR(__xludf.DUMMYFUNCTION("""COMPUTED_VALUE"""),"#N/A")</f>
        <v>#N/A</v>
      </c>
      <c r="C590" s="8" t="str">
        <f>IFERROR(__xludf.DUMMYFUNCTION("""COMPUTED_VALUE"""),"#N/A")</f>
        <v>#N/A</v>
      </c>
      <c r="D590" s="8" t="str">
        <f>IFERROR(__xludf.DUMMYFUNCTION("""COMPUTED_VALUE"""),"TLQ")</f>
        <v>TLQ</v>
      </c>
      <c r="E590" s="8" t="str">
        <f>IFERROR(__xludf.DUMMYFUNCTION("""COMPUTED_VALUE"""),"WED+WED")</f>
        <v>WED+WED</v>
      </c>
      <c r="F590" s="8" t="str">
        <f>IFERROR(__xludf.DUMMYFUNCTION("""COMPUTED_VALUE"""),"6:00 PM+7:30 PM")</f>
        <v>6:00 PM+7:30 PM</v>
      </c>
      <c r="G590" s="9" t="str">
        <f>IFERROR(__xludf.DUMMYFUNCTION("""COMPUTED_VALUE"""),"09A-04C")</f>
        <v>09A-04C</v>
      </c>
      <c r="H590" s="8"/>
      <c r="I590" s="8"/>
      <c r="J590" s="8"/>
      <c r="K590" s="8"/>
      <c r="L590" s="8"/>
      <c r="M590" s="8"/>
    </row>
    <row r="591">
      <c r="A591" s="5" t="str">
        <f>IFERROR(__xludf.DUMMYFUNCTION("""COMPUTED_VALUE"""),"CSE791-01")</f>
        <v>CSE791-01</v>
      </c>
      <c r="B591" s="8" t="str">
        <f>IFERROR(__xludf.DUMMYFUNCTION("""COMPUTED_VALUE"""),"#N/A")</f>
        <v>#N/A</v>
      </c>
      <c r="C591" s="8" t="str">
        <f>IFERROR(__xludf.DUMMYFUNCTION("""COMPUTED_VALUE"""),"#N/A")</f>
        <v>#N/A</v>
      </c>
      <c r="D591" s="8" t="str">
        <f>IFERROR(__xludf.DUMMYFUNCTION("""COMPUTED_VALUE"""),"DNVN")</f>
        <v>DNVN</v>
      </c>
      <c r="E591" s="8" t="str">
        <f>IFERROR(__xludf.DUMMYFUNCTION("""COMPUTED_VALUE"""),"SAT+SAT")</f>
        <v>SAT+SAT</v>
      </c>
      <c r="F591" s="8" t="str">
        <f>IFERROR(__xludf.DUMMYFUNCTION("""COMPUTED_VALUE"""),"6:00 PM+7:30 PM")</f>
        <v>6:00 PM+7:30 PM</v>
      </c>
      <c r="G591" s="9" t="str">
        <f>IFERROR(__xludf.DUMMYFUNCTION("""COMPUTED_VALUE"""),"08D-17C")</f>
        <v>08D-17C</v>
      </c>
      <c r="H591" s="8"/>
      <c r="I591" s="8"/>
      <c r="J591" s="8"/>
      <c r="K591" s="8"/>
      <c r="L591" s="8"/>
      <c r="M591" s="8"/>
    </row>
    <row r="592">
      <c r="A592" s="5" t="str">
        <f>IFERROR(__xludf.DUMMYFUNCTION("""COMPUTED_VALUE"""),"CSE799A-01")</f>
        <v>CSE799A-01</v>
      </c>
      <c r="B592" s="8"/>
      <c r="C592" s="8"/>
      <c r="D592" s="8" t="str">
        <f>IFERROR(__xludf.DUMMYFUNCTION("""COMPUTED_VALUE"""),"MSA")</f>
        <v>MSA</v>
      </c>
      <c r="E592" s="8" t="str">
        <f>IFERROR(__xludf.DUMMYFUNCTION("""COMPUTED_VALUE"""),"SAT+THU")</f>
        <v>SAT+THU</v>
      </c>
      <c r="F592" s="8" t="str">
        <f>IFERROR(__xludf.DUMMYFUNCTION("""COMPUTED_VALUE"""),"3:30 PM")</f>
        <v>3:30 PM</v>
      </c>
      <c r="G592" s="9" t="str">
        <f>IFERROR(__xludf.DUMMYFUNCTION("""COMPUTED_VALUE"""),"09A-04C")</f>
        <v>09A-04C</v>
      </c>
      <c r="H592" s="8"/>
      <c r="I592" s="8"/>
      <c r="J592" s="8"/>
      <c r="K592" s="8"/>
      <c r="L592" s="8"/>
      <c r="M592" s="8"/>
    </row>
    <row r="593">
      <c r="A593" s="5" t="str">
        <f>IFERROR(__xludf.DUMMYFUNCTION("""COMPUTED_VALUE"""),"EEE362-01")</f>
        <v>EEE362-01</v>
      </c>
      <c r="B593" s="8"/>
      <c r="C593" s="8" t="str">
        <f>IFERROR(__xludf.DUMMYFUNCTION("""COMPUTED_VALUE"""),"CSE320")</f>
        <v>CSE320</v>
      </c>
      <c r="D593" s="8" t="str">
        <f>IFERROR(__xludf.DUMMYFUNCTION("""COMPUTED_VALUE"""),"XXX")</f>
        <v>XXX</v>
      </c>
      <c r="E593" s="8" t="str">
        <f>IFERROR(__xludf.DUMMYFUNCTION("""COMPUTED_VALUE"""),"XXX")</f>
        <v>XXX</v>
      </c>
      <c r="F593" s="8" t="str">
        <f>IFERROR(__xludf.DUMMYFUNCTION("""COMPUTED_VALUE"""),"11:00 AM")</f>
        <v>11:00 AM</v>
      </c>
      <c r="G593" s="9" t="str">
        <f>IFERROR(__xludf.DUMMYFUNCTION("""COMPUTED_VALUE"""),"XXX")</f>
        <v>XXX</v>
      </c>
      <c r="H593" s="8" t="str">
        <f>IFERROR(__xludf.DUMMYFUNCTION("""COMPUTED_VALUE"""),"MHM")</f>
        <v>MHM</v>
      </c>
      <c r="I593" s="8" t="str">
        <f>IFERROR(__xludf.DUMMYFUNCTION("""COMPUTED_VALUE"""),"SAT")</f>
        <v>SAT</v>
      </c>
      <c r="J593" s="8" t="str">
        <f>IFERROR(__xludf.DUMMYFUNCTION("""COMPUTED_VALUE"""),"2:00 PM")</f>
        <v>2:00 PM</v>
      </c>
      <c r="K593" s="8" t="str">
        <f>IFERROR(__xludf.DUMMYFUNCTION("""COMPUTED_VALUE"""),"FT11-03L")</f>
        <v>FT11-03L</v>
      </c>
      <c r="L593" s="8"/>
      <c r="M593" s="8"/>
    </row>
    <row r="594">
      <c r="A594" s="5"/>
      <c r="B594" s="8"/>
      <c r="C594" s="8"/>
      <c r="D594" s="8"/>
      <c r="E594" s="8"/>
      <c r="F594" s="8"/>
      <c r="G594" s="9"/>
      <c r="H594" s="8"/>
      <c r="I594" s="8"/>
      <c r="J594" s="8"/>
      <c r="K594" s="8"/>
      <c r="L594" s="8"/>
      <c r="M594" s="8"/>
    </row>
    <row r="595">
      <c r="A595" s="5"/>
      <c r="B595" s="8"/>
      <c r="C595" s="8"/>
      <c r="D595" s="8"/>
      <c r="E595" s="8"/>
      <c r="F595" s="8"/>
      <c r="G595" s="9"/>
      <c r="H595" s="8"/>
      <c r="I595" s="8"/>
      <c r="J595" s="8"/>
      <c r="K595" s="8"/>
      <c r="L595" s="8"/>
      <c r="M595" s="8"/>
    </row>
    <row r="596">
      <c r="A596" s="5"/>
      <c r="B596" s="8"/>
      <c r="C596" s="8"/>
      <c r="D596" s="8"/>
      <c r="E596" s="8"/>
      <c r="F596" s="8"/>
      <c r="G596" s="9"/>
      <c r="H596" s="8"/>
      <c r="I596" s="8"/>
      <c r="J596" s="8"/>
      <c r="K596" s="8"/>
      <c r="L596" s="8"/>
      <c r="M596" s="8"/>
    </row>
    <row r="597">
      <c r="A597" s="5"/>
      <c r="B597" s="8"/>
      <c r="C597" s="8"/>
      <c r="D597" s="8"/>
      <c r="E597" s="8"/>
      <c r="F597" s="8"/>
      <c r="G597" s="9"/>
      <c r="H597" s="8"/>
      <c r="I597" s="8"/>
      <c r="J597" s="8"/>
      <c r="K597" s="8"/>
      <c r="L597" s="8"/>
      <c r="M597" s="8"/>
    </row>
    <row r="598">
      <c r="A598" s="5"/>
      <c r="B598" s="8"/>
      <c r="C598" s="8"/>
      <c r="D598" s="8"/>
      <c r="E598" s="8"/>
      <c r="F598" s="8"/>
      <c r="G598" s="9"/>
      <c r="H598" s="8"/>
      <c r="I598" s="8"/>
      <c r="J598" s="8"/>
      <c r="K598" s="8"/>
      <c r="L598" s="8"/>
      <c r="M598" s="8"/>
    </row>
    <row r="599">
      <c r="A599" s="5"/>
      <c r="B599" s="8"/>
      <c r="C599" s="8"/>
      <c r="D599" s="8"/>
      <c r="E599" s="8"/>
      <c r="F599" s="8"/>
      <c r="G599" s="9"/>
      <c r="H599" s="8"/>
      <c r="I599" s="8"/>
      <c r="J599" s="8"/>
      <c r="K599" s="8"/>
      <c r="L599" s="8"/>
      <c r="M599" s="8"/>
    </row>
    <row r="600">
      <c r="A600" s="5"/>
      <c r="B600" s="8"/>
      <c r="C600" s="8"/>
      <c r="D600" s="8"/>
      <c r="E600" s="8"/>
      <c r="F600" s="8"/>
      <c r="G600" s="9"/>
      <c r="H600" s="8"/>
      <c r="I600" s="8"/>
      <c r="J600" s="8"/>
      <c r="K600" s="8"/>
      <c r="L600" s="8"/>
      <c r="M600" s="8"/>
    </row>
    <row r="601">
      <c r="A601" s="5"/>
      <c r="B601" s="8"/>
      <c r="C601" s="8"/>
      <c r="D601" s="8"/>
      <c r="E601" s="8"/>
      <c r="F601" s="8"/>
      <c r="G601" s="9"/>
      <c r="H601" s="8"/>
      <c r="I601" s="8"/>
      <c r="J601" s="8"/>
      <c r="K601" s="8"/>
      <c r="L601" s="8"/>
      <c r="M601" s="8"/>
    </row>
    <row r="602">
      <c r="A602" s="5"/>
      <c r="B602" s="8"/>
      <c r="C602" s="8"/>
      <c r="D602" s="8"/>
      <c r="E602" s="8"/>
      <c r="F602" s="8"/>
      <c r="G602" s="9"/>
      <c r="H602" s="8"/>
      <c r="I602" s="8"/>
      <c r="J602" s="8"/>
      <c r="K602" s="8"/>
      <c r="L602" s="8"/>
      <c r="M602" s="8"/>
    </row>
    <row r="603">
      <c r="A603" s="5"/>
      <c r="B603" s="8"/>
      <c r="C603" s="8"/>
      <c r="D603" s="8"/>
      <c r="E603" s="8"/>
      <c r="F603" s="8"/>
      <c r="G603" s="9"/>
      <c r="H603" s="8"/>
      <c r="I603" s="8"/>
      <c r="J603" s="8"/>
      <c r="K603" s="8"/>
      <c r="L603" s="8"/>
      <c r="M603" s="8"/>
    </row>
    <row r="604">
      <c r="A604" s="5"/>
      <c r="B604" s="8"/>
      <c r="C604" s="8"/>
      <c r="D604" s="8"/>
      <c r="E604" s="8"/>
      <c r="F604" s="8"/>
      <c r="G604" s="9"/>
      <c r="H604" s="8"/>
      <c r="I604" s="8"/>
      <c r="J604" s="8"/>
      <c r="K604" s="8"/>
      <c r="L604" s="8"/>
      <c r="M604" s="8"/>
    </row>
    <row r="605">
      <c r="A605" s="5"/>
      <c r="B605" s="8"/>
      <c r="C605" s="8"/>
      <c r="D605" s="8"/>
      <c r="E605" s="8"/>
      <c r="F605" s="8"/>
      <c r="G605" s="9"/>
      <c r="H605" s="8"/>
      <c r="I605" s="8"/>
      <c r="J605" s="8"/>
      <c r="K605" s="8"/>
      <c r="L605" s="8"/>
      <c r="M605" s="8"/>
    </row>
    <row r="606">
      <c r="A606" s="5"/>
      <c r="B606" s="8"/>
      <c r="C606" s="8"/>
      <c r="D606" s="8"/>
      <c r="E606" s="8"/>
      <c r="F606" s="8"/>
      <c r="G606" s="9"/>
      <c r="H606" s="8"/>
      <c r="I606" s="8"/>
      <c r="J606" s="8"/>
      <c r="K606" s="8"/>
      <c r="L606" s="8"/>
      <c r="M606" s="8"/>
    </row>
    <row r="607">
      <c r="A607" s="5"/>
      <c r="B607" s="8"/>
      <c r="C607" s="8"/>
      <c r="D607" s="8"/>
      <c r="E607" s="8"/>
      <c r="F607" s="8"/>
      <c r="G607" s="9"/>
      <c r="H607" s="8"/>
      <c r="I607" s="8"/>
      <c r="J607" s="8"/>
      <c r="K607" s="8"/>
      <c r="L607" s="8"/>
      <c r="M607" s="8"/>
    </row>
    <row r="608">
      <c r="A608" s="5"/>
      <c r="B608" s="8"/>
      <c r="C608" s="8"/>
      <c r="D608" s="8"/>
      <c r="E608" s="8"/>
      <c r="F608" s="8"/>
      <c r="G608" s="9"/>
      <c r="H608" s="8"/>
      <c r="I608" s="8"/>
      <c r="J608" s="8"/>
      <c r="K608" s="8"/>
      <c r="L608" s="8"/>
      <c r="M608" s="8"/>
    </row>
    <row r="609">
      <c r="A609" s="5"/>
      <c r="B609" s="8"/>
      <c r="C609" s="8"/>
      <c r="D609" s="8"/>
      <c r="E609" s="8"/>
      <c r="F609" s="8"/>
      <c r="G609" s="9"/>
      <c r="H609" s="8"/>
      <c r="I609" s="8"/>
      <c r="J609" s="8"/>
      <c r="K609" s="8"/>
      <c r="L609" s="8"/>
      <c r="M609" s="8"/>
    </row>
    <row r="610">
      <c r="A610" s="5"/>
      <c r="B610" s="8"/>
      <c r="C610" s="8"/>
      <c r="D610" s="8"/>
      <c r="E610" s="8"/>
      <c r="F610" s="8"/>
      <c r="G610" s="9"/>
      <c r="H610" s="8"/>
      <c r="I610" s="8"/>
      <c r="J610" s="8"/>
      <c r="K610" s="8"/>
      <c r="L610" s="8"/>
      <c r="M610" s="8"/>
    </row>
    <row r="611">
      <c r="A611" s="5"/>
      <c r="B611" s="8"/>
      <c r="C611" s="8"/>
      <c r="D611" s="8"/>
      <c r="E611" s="8"/>
      <c r="F611" s="8"/>
      <c r="G611" s="9"/>
      <c r="H611" s="8"/>
      <c r="I611" s="8"/>
      <c r="J611" s="8"/>
      <c r="K611" s="8"/>
      <c r="L611" s="8"/>
      <c r="M611" s="8"/>
    </row>
    <row r="612">
      <c r="A612" s="5"/>
      <c r="B612" s="8"/>
      <c r="C612" s="8"/>
      <c r="D612" s="8"/>
      <c r="E612" s="8"/>
      <c r="F612" s="8"/>
      <c r="G612" s="9"/>
      <c r="H612" s="8"/>
      <c r="I612" s="8"/>
      <c r="J612" s="8"/>
      <c r="K612" s="8"/>
      <c r="L612" s="8"/>
      <c r="M612" s="8"/>
    </row>
    <row r="613">
      <c r="A613" s="5"/>
      <c r="B613" s="8"/>
      <c r="C613" s="8"/>
      <c r="D613" s="8"/>
      <c r="E613" s="8"/>
      <c r="F613" s="8"/>
      <c r="G613" s="9"/>
      <c r="H613" s="8"/>
      <c r="I613" s="8"/>
      <c r="J613" s="8"/>
      <c r="K613" s="8"/>
      <c r="L613" s="8"/>
      <c r="M613" s="8"/>
    </row>
    <row r="614">
      <c r="A614" s="5"/>
      <c r="B614" s="8"/>
      <c r="C614" s="8"/>
      <c r="D614" s="8"/>
      <c r="E614" s="8"/>
      <c r="F614" s="8"/>
      <c r="G614" s="9"/>
      <c r="H614" s="8"/>
      <c r="I614" s="8"/>
      <c r="J614" s="8"/>
      <c r="K614" s="8"/>
      <c r="L614" s="8"/>
      <c r="M614" s="8"/>
    </row>
    <row r="615">
      <c r="A615" s="5"/>
      <c r="B615" s="8"/>
      <c r="C615" s="8"/>
      <c r="D615" s="8"/>
      <c r="E615" s="8"/>
      <c r="F615" s="8"/>
      <c r="G615" s="9"/>
      <c r="H615" s="8"/>
      <c r="I615" s="8"/>
      <c r="J615" s="8"/>
      <c r="K615" s="8"/>
      <c r="L615" s="8"/>
      <c r="M615" s="8"/>
    </row>
    <row r="616">
      <c r="A616" s="5"/>
      <c r="B616" s="8"/>
      <c r="C616" s="8"/>
      <c r="D616" s="8"/>
      <c r="E616" s="8"/>
      <c r="F616" s="8"/>
      <c r="G616" s="9"/>
      <c r="H616" s="8"/>
      <c r="I616" s="8"/>
      <c r="J616" s="8"/>
      <c r="K616" s="8"/>
      <c r="L616" s="8"/>
      <c r="M616" s="8"/>
    </row>
    <row r="617">
      <c r="A617" s="5"/>
      <c r="B617" s="8"/>
      <c r="C617" s="8"/>
      <c r="D617" s="8"/>
      <c r="E617" s="8"/>
      <c r="F617" s="8"/>
      <c r="G617" s="9"/>
      <c r="H617" s="8"/>
      <c r="I617" s="8"/>
      <c r="J617" s="8"/>
      <c r="K617" s="8"/>
      <c r="L617" s="8"/>
      <c r="M617" s="8"/>
    </row>
    <row r="618">
      <c r="A618" s="5"/>
      <c r="B618" s="8"/>
      <c r="C618" s="8"/>
      <c r="D618" s="8"/>
      <c r="E618" s="8"/>
      <c r="F618" s="8"/>
      <c r="G618" s="9"/>
      <c r="H618" s="8"/>
      <c r="I618" s="8"/>
      <c r="J618" s="8"/>
      <c r="K618" s="8"/>
      <c r="L618" s="8"/>
      <c r="M618" s="8"/>
    </row>
    <row r="619">
      <c r="A619" s="5"/>
      <c r="B619" s="8"/>
      <c r="C619" s="8"/>
      <c r="D619" s="8"/>
      <c r="E619" s="8"/>
      <c r="F619" s="8"/>
      <c r="G619" s="9"/>
      <c r="H619" s="8"/>
      <c r="I619" s="8"/>
      <c r="J619" s="8"/>
      <c r="K619" s="8"/>
      <c r="L619" s="8"/>
      <c r="M619" s="8"/>
    </row>
    <row r="620">
      <c r="A620" s="5"/>
      <c r="B620" s="8"/>
      <c r="C620" s="8"/>
      <c r="D620" s="8"/>
      <c r="E620" s="8"/>
      <c r="F620" s="8"/>
      <c r="G620" s="9"/>
      <c r="H620" s="8"/>
      <c r="I620" s="8"/>
      <c r="J620" s="8"/>
      <c r="K620" s="8"/>
      <c r="L620" s="8"/>
      <c r="M620" s="8"/>
    </row>
    <row r="621">
      <c r="A621" s="5"/>
      <c r="B621" s="8"/>
      <c r="C621" s="8"/>
      <c r="D621" s="8"/>
      <c r="E621" s="8"/>
      <c r="F621" s="8"/>
      <c r="G621" s="9"/>
      <c r="H621" s="8"/>
      <c r="I621" s="8"/>
      <c r="J621" s="8"/>
      <c r="K621" s="8"/>
      <c r="L621" s="8"/>
      <c r="M621" s="8"/>
    </row>
    <row r="622">
      <c r="A622" s="5"/>
      <c r="B622" s="8"/>
      <c r="C622" s="8"/>
      <c r="D622" s="8"/>
      <c r="E622" s="8"/>
      <c r="F622" s="8"/>
      <c r="G622" s="9"/>
      <c r="H622" s="8"/>
      <c r="I622" s="8"/>
      <c r="J622" s="8"/>
      <c r="K622" s="8"/>
      <c r="L622" s="8"/>
      <c r="M622" s="8"/>
    </row>
    <row r="623">
      <c r="A623" s="5"/>
      <c r="B623" s="8"/>
      <c r="C623" s="8"/>
      <c r="D623" s="8"/>
      <c r="E623" s="8"/>
      <c r="F623" s="8"/>
      <c r="G623" s="9"/>
      <c r="H623" s="8"/>
      <c r="I623" s="8"/>
      <c r="J623" s="8"/>
      <c r="K623" s="8"/>
      <c r="L623" s="8"/>
      <c r="M623" s="8"/>
    </row>
    <row r="624">
      <c r="A624" s="5"/>
      <c r="B624" s="8"/>
      <c r="C624" s="8"/>
      <c r="D624" s="8"/>
      <c r="E624" s="8"/>
      <c r="F624" s="8"/>
      <c r="G624" s="9"/>
      <c r="H624" s="8"/>
      <c r="I624" s="8"/>
      <c r="J624" s="8"/>
      <c r="K624" s="8"/>
      <c r="L624" s="8"/>
      <c r="M624" s="8"/>
    </row>
    <row r="625">
      <c r="A625" s="5"/>
      <c r="B625" s="8"/>
      <c r="C625" s="8"/>
      <c r="D625" s="8"/>
      <c r="E625" s="8"/>
      <c r="F625" s="8"/>
      <c r="G625" s="9"/>
      <c r="H625" s="8"/>
      <c r="I625" s="8"/>
      <c r="J625" s="8"/>
      <c r="K625" s="8"/>
      <c r="L625" s="8"/>
      <c r="M625" s="8"/>
    </row>
    <row r="626">
      <c r="A626" s="5"/>
      <c r="B626" s="8"/>
      <c r="C626" s="8"/>
      <c r="D626" s="8"/>
      <c r="E626" s="8"/>
      <c r="F626" s="8"/>
      <c r="G626" s="9"/>
      <c r="H626" s="8"/>
      <c r="I626" s="8"/>
      <c r="J626" s="8"/>
      <c r="K626" s="8"/>
      <c r="L626" s="8"/>
      <c r="M626" s="8"/>
    </row>
    <row r="627">
      <c r="A627" s="5"/>
      <c r="B627" s="8"/>
      <c r="C627" s="8"/>
      <c r="D627" s="8"/>
      <c r="E627" s="8"/>
      <c r="F627" s="8"/>
      <c r="G627" s="9"/>
      <c r="H627" s="8"/>
      <c r="I627" s="8"/>
      <c r="J627" s="8"/>
      <c r="K627" s="8"/>
      <c r="L627" s="8"/>
      <c r="M627" s="8"/>
    </row>
    <row r="628">
      <c r="A628" s="5"/>
      <c r="B628" s="8"/>
      <c r="C628" s="8"/>
      <c r="D628" s="8"/>
      <c r="E628" s="8"/>
      <c r="F628" s="8"/>
      <c r="G628" s="9"/>
      <c r="H628" s="8"/>
      <c r="I628" s="8"/>
      <c r="J628" s="8"/>
      <c r="K628" s="8"/>
      <c r="L628" s="8"/>
      <c r="M628" s="8"/>
    </row>
    <row r="629">
      <c r="A629" s="5"/>
      <c r="B629" s="8"/>
      <c r="C629" s="8"/>
      <c r="D629" s="8"/>
      <c r="E629" s="8"/>
      <c r="F629" s="8"/>
      <c r="G629" s="9"/>
      <c r="H629" s="8"/>
      <c r="I629" s="8"/>
      <c r="J629" s="8"/>
      <c r="K629" s="8"/>
      <c r="L629" s="8"/>
      <c r="M629" s="8"/>
    </row>
    <row r="630">
      <c r="A630" s="5"/>
      <c r="B630" s="8"/>
      <c r="C630" s="8"/>
      <c r="D630" s="8"/>
      <c r="E630" s="8"/>
      <c r="F630" s="8"/>
      <c r="G630" s="9"/>
      <c r="H630" s="8"/>
      <c r="I630" s="8"/>
      <c r="J630" s="8"/>
      <c r="K630" s="8"/>
      <c r="L630" s="8"/>
      <c r="M630" s="8"/>
    </row>
    <row r="631">
      <c r="A631" s="5"/>
      <c r="B631" s="8"/>
      <c r="C631" s="8"/>
      <c r="D631" s="8"/>
      <c r="E631" s="8"/>
      <c r="F631" s="8"/>
      <c r="G631" s="9"/>
      <c r="H631" s="8"/>
      <c r="I631" s="8"/>
      <c r="J631" s="8"/>
      <c r="K631" s="8"/>
      <c r="L631" s="8"/>
      <c r="M631" s="8"/>
    </row>
    <row r="632">
      <c r="A632" s="5"/>
      <c r="B632" s="8"/>
      <c r="C632" s="8"/>
      <c r="D632" s="8"/>
      <c r="E632" s="8"/>
      <c r="F632" s="8"/>
      <c r="G632" s="9"/>
      <c r="H632" s="8"/>
      <c r="I632" s="8"/>
      <c r="J632" s="8"/>
      <c r="K632" s="8"/>
      <c r="L632" s="8"/>
      <c r="M632" s="8"/>
    </row>
    <row r="633">
      <c r="A633" s="5"/>
      <c r="B633" s="8"/>
      <c r="C633" s="8"/>
      <c r="D633" s="8"/>
      <c r="E633" s="8"/>
      <c r="F633" s="8"/>
      <c r="G633" s="9"/>
      <c r="H633" s="8"/>
      <c r="I633" s="8"/>
      <c r="J633" s="8"/>
      <c r="K633" s="8"/>
      <c r="L633" s="8"/>
      <c r="M633" s="8"/>
    </row>
    <row r="634">
      <c r="A634" s="5"/>
      <c r="B634" s="8"/>
      <c r="C634" s="8"/>
      <c r="D634" s="8"/>
      <c r="E634" s="8"/>
      <c r="F634" s="8"/>
      <c r="G634" s="9"/>
      <c r="H634" s="8"/>
      <c r="I634" s="8"/>
      <c r="J634" s="8"/>
      <c r="K634" s="8"/>
      <c r="L634" s="8"/>
      <c r="M634" s="8"/>
    </row>
    <row r="635">
      <c r="A635" s="5"/>
      <c r="B635" s="8"/>
      <c r="C635" s="8"/>
      <c r="D635" s="8"/>
      <c r="E635" s="8"/>
      <c r="F635" s="8"/>
      <c r="G635" s="9"/>
      <c r="H635" s="8"/>
      <c r="I635" s="8"/>
      <c r="J635" s="8"/>
      <c r="K635" s="8"/>
      <c r="L635" s="8"/>
      <c r="M635" s="8"/>
    </row>
    <row r="636">
      <c r="A636" s="5"/>
      <c r="B636" s="8"/>
      <c r="C636" s="8"/>
      <c r="D636" s="8"/>
      <c r="E636" s="8"/>
      <c r="F636" s="8"/>
      <c r="G636" s="9"/>
      <c r="H636" s="8"/>
      <c r="I636" s="8"/>
      <c r="J636" s="8"/>
      <c r="K636" s="8"/>
      <c r="L636" s="8"/>
      <c r="M636" s="8"/>
    </row>
    <row r="637">
      <c r="A637" s="5"/>
      <c r="B637" s="8"/>
      <c r="C637" s="8"/>
      <c r="D637" s="8"/>
      <c r="E637" s="8"/>
      <c r="F637" s="8"/>
      <c r="G637" s="9"/>
      <c r="H637" s="8"/>
      <c r="I637" s="8"/>
      <c r="J637" s="8"/>
      <c r="K637" s="8"/>
      <c r="L637" s="8"/>
      <c r="M637" s="8"/>
    </row>
    <row r="638">
      <c r="A638" s="5"/>
      <c r="B638" s="8"/>
      <c r="C638" s="8"/>
      <c r="D638" s="8"/>
      <c r="E638" s="8"/>
      <c r="F638" s="8"/>
      <c r="G638" s="9"/>
      <c r="H638" s="8"/>
      <c r="I638" s="8"/>
      <c r="J638" s="8"/>
      <c r="K638" s="8"/>
      <c r="L638" s="8"/>
      <c r="M638" s="8"/>
    </row>
    <row r="639">
      <c r="A639" s="5"/>
      <c r="B639" s="8"/>
      <c r="C639" s="8"/>
      <c r="D639" s="8"/>
      <c r="E639" s="8"/>
      <c r="F639" s="8"/>
      <c r="G639" s="9"/>
      <c r="H639" s="8"/>
      <c r="I639" s="8"/>
      <c r="J639" s="8"/>
      <c r="K639" s="8"/>
      <c r="L639" s="8"/>
      <c r="M639" s="8"/>
    </row>
    <row r="640">
      <c r="A640" s="5"/>
      <c r="B640" s="8"/>
      <c r="C640" s="8"/>
      <c r="D640" s="8"/>
      <c r="E640" s="8"/>
      <c r="F640" s="8"/>
      <c r="G640" s="9"/>
      <c r="H640" s="8"/>
      <c r="I640" s="8"/>
      <c r="J640" s="8"/>
      <c r="K640" s="8"/>
      <c r="L640" s="8"/>
      <c r="M640" s="8"/>
    </row>
    <row r="641">
      <c r="A641" s="5"/>
      <c r="B641" s="8"/>
      <c r="C641" s="8"/>
      <c r="D641" s="8"/>
      <c r="E641" s="8"/>
      <c r="F641" s="8"/>
      <c r="G641" s="9"/>
      <c r="H641" s="8"/>
      <c r="I641" s="8"/>
      <c r="J641" s="8"/>
      <c r="K641" s="8"/>
      <c r="L641" s="8"/>
      <c r="M641" s="8"/>
    </row>
    <row r="642">
      <c r="A642" s="5"/>
      <c r="B642" s="8"/>
      <c r="C642" s="8"/>
      <c r="D642" s="8"/>
      <c r="E642" s="8"/>
      <c r="F642" s="8"/>
      <c r="G642" s="9"/>
      <c r="H642" s="8"/>
      <c r="I642" s="8"/>
      <c r="J642" s="8"/>
      <c r="K642" s="8"/>
      <c r="L642" s="8"/>
      <c r="M642" s="8"/>
    </row>
    <row r="643">
      <c r="A643" s="5"/>
      <c r="B643" s="8"/>
      <c r="C643" s="8"/>
      <c r="D643" s="8"/>
      <c r="E643" s="8"/>
      <c r="F643" s="8"/>
      <c r="G643" s="9"/>
      <c r="H643" s="8"/>
      <c r="I643" s="8"/>
      <c r="J643" s="8"/>
      <c r="K643" s="8"/>
      <c r="L643" s="8"/>
      <c r="M643" s="8"/>
    </row>
    <row r="644">
      <c r="A644" s="5"/>
      <c r="B644" s="8"/>
      <c r="C644" s="8"/>
      <c r="D644" s="8"/>
      <c r="E644" s="8"/>
      <c r="F644" s="8"/>
      <c r="G644" s="9"/>
      <c r="H644" s="8"/>
      <c r="I644" s="8"/>
      <c r="J644" s="8"/>
      <c r="K644" s="8"/>
      <c r="L644" s="8"/>
      <c r="M644" s="8"/>
    </row>
    <row r="645">
      <c r="A645" s="5"/>
      <c r="B645" s="8"/>
      <c r="C645" s="8"/>
      <c r="D645" s="8"/>
      <c r="E645" s="8"/>
      <c r="F645" s="8"/>
      <c r="G645" s="9"/>
      <c r="H645" s="8"/>
      <c r="I645" s="8"/>
      <c r="J645" s="8"/>
      <c r="K645" s="8"/>
      <c r="L645" s="8"/>
      <c r="M645" s="8"/>
    </row>
    <row r="646">
      <c r="A646" s="5"/>
      <c r="B646" s="8"/>
      <c r="C646" s="8"/>
      <c r="D646" s="8"/>
      <c r="E646" s="8"/>
      <c r="F646" s="8"/>
      <c r="G646" s="9"/>
      <c r="H646" s="8"/>
      <c r="I646" s="8"/>
      <c r="J646" s="8"/>
      <c r="K646" s="8"/>
      <c r="L646" s="8"/>
      <c r="M646" s="8"/>
    </row>
    <row r="647">
      <c r="A647" s="5"/>
      <c r="B647" s="8"/>
      <c r="C647" s="8"/>
      <c r="D647" s="8"/>
      <c r="E647" s="8"/>
      <c r="F647" s="8"/>
      <c r="G647" s="9"/>
      <c r="H647" s="8"/>
      <c r="I647" s="8"/>
      <c r="J647" s="8"/>
      <c r="K647" s="8"/>
      <c r="L647" s="8"/>
      <c r="M647" s="8"/>
    </row>
    <row r="648">
      <c r="A648" s="5"/>
      <c r="B648" s="8"/>
      <c r="C648" s="8"/>
      <c r="D648" s="8"/>
      <c r="E648" s="8"/>
      <c r="F648" s="8"/>
      <c r="G648" s="9"/>
      <c r="H648" s="8"/>
      <c r="I648" s="8"/>
      <c r="J648" s="8"/>
      <c r="K648" s="8"/>
      <c r="L648" s="8"/>
      <c r="M648" s="8"/>
    </row>
    <row r="649">
      <c r="A649" s="5"/>
      <c r="B649" s="8"/>
      <c r="C649" s="8"/>
      <c r="D649" s="8"/>
      <c r="E649" s="8"/>
      <c r="F649" s="8"/>
      <c r="G649" s="9"/>
      <c r="H649" s="8"/>
      <c r="I649" s="8"/>
      <c r="J649" s="8"/>
      <c r="K649" s="8"/>
      <c r="L649" s="8"/>
      <c r="M649" s="8"/>
    </row>
    <row r="650">
      <c r="A650" s="5"/>
      <c r="B650" s="8"/>
      <c r="C650" s="8"/>
      <c r="D650" s="8"/>
      <c r="E650" s="8"/>
      <c r="F650" s="8"/>
      <c r="G650" s="9"/>
      <c r="H650" s="8"/>
      <c r="I650" s="8"/>
      <c r="J650" s="8"/>
      <c r="K650" s="8"/>
      <c r="L650" s="8"/>
      <c r="M650" s="8"/>
    </row>
    <row r="651">
      <c r="A651" s="5"/>
      <c r="B651" s="8"/>
      <c r="C651" s="8"/>
      <c r="D651" s="8"/>
      <c r="E651" s="8"/>
      <c r="F651" s="8"/>
      <c r="G651" s="9"/>
      <c r="H651" s="8"/>
      <c r="I651" s="8"/>
      <c r="J651" s="8"/>
      <c r="K651" s="8"/>
      <c r="L651" s="8"/>
      <c r="M651" s="8"/>
    </row>
    <row r="652">
      <c r="A652" s="5"/>
      <c r="B652" s="8"/>
      <c r="C652" s="8"/>
      <c r="D652" s="8"/>
      <c r="E652" s="8"/>
      <c r="F652" s="8"/>
      <c r="G652" s="9"/>
      <c r="H652" s="8"/>
      <c r="I652" s="8"/>
      <c r="J652" s="8"/>
      <c r="K652" s="8"/>
      <c r="L652" s="8"/>
      <c r="M652" s="8"/>
    </row>
    <row r="653">
      <c r="A653" s="5"/>
      <c r="B653" s="8"/>
      <c r="C653" s="8"/>
      <c r="D653" s="8"/>
      <c r="E653" s="8"/>
      <c r="F653" s="8"/>
      <c r="G653" s="9"/>
      <c r="H653" s="8"/>
      <c r="I653" s="8"/>
      <c r="J653" s="8"/>
      <c r="K653" s="8"/>
      <c r="L653" s="8"/>
      <c r="M653" s="8"/>
    </row>
    <row r="654">
      <c r="A654" s="5"/>
      <c r="B654" s="8"/>
      <c r="C654" s="8"/>
      <c r="D654" s="8"/>
      <c r="E654" s="8"/>
      <c r="F654" s="8"/>
      <c r="G654" s="9"/>
      <c r="H654" s="8"/>
      <c r="I654" s="8"/>
      <c r="J654" s="8"/>
      <c r="K654" s="8"/>
      <c r="L654" s="8"/>
      <c r="M654" s="8"/>
    </row>
    <row r="655">
      <c r="A655" s="5"/>
      <c r="B655" s="8"/>
      <c r="C655" s="8"/>
      <c r="D655" s="8"/>
      <c r="E655" s="8"/>
      <c r="F655" s="8"/>
      <c r="G655" s="9"/>
      <c r="H655" s="8"/>
      <c r="I655" s="8"/>
      <c r="J655" s="8"/>
      <c r="K655" s="8"/>
      <c r="L655" s="8"/>
      <c r="M655" s="8"/>
    </row>
    <row r="656">
      <c r="A656" s="5"/>
      <c r="B656" s="8"/>
      <c r="C656" s="8"/>
      <c r="D656" s="8"/>
      <c r="E656" s="8"/>
      <c r="F656" s="8"/>
      <c r="G656" s="9"/>
      <c r="H656" s="8"/>
      <c r="I656" s="8"/>
      <c r="J656" s="8"/>
      <c r="K656" s="8"/>
      <c r="L656" s="8"/>
      <c r="M656" s="8"/>
    </row>
    <row r="657">
      <c r="A657" s="5"/>
      <c r="B657" s="8"/>
      <c r="C657" s="8"/>
      <c r="D657" s="8"/>
      <c r="E657" s="8"/>
      <c r="F657" s="8"/>
      <c r="G657" s="9"/>
      <c r="H657" s="8"/>
      <c r="I657" s="8"/>
      <c r="J657" s="8"/>
      <c r="K657" s="8"/>
      <c r="L657" s="8"/>
      <c r="M657" s="8"/>
    </row>
    <row r="658">
      <c r="A658" s="5"/>
      <c r="B658" s="8"/>
      <c r="C658" s="8"/>
      <c r="D658" s="8"/>
      <c r="E658" s="8"/>
      <c r="F658" s="8"/>
      <c r="G658" s="9"/>
      <c r="H658" s="8"/>
      <c r="I658" s="8"/>
      <c r="J658" s="8"/>
      <c r="K658" s="8"/>
      <c r="L658" s="8"/>
      <c r="M658" s="8"/>
    </row>
    <row r="659">
      <c r="A659" s="5"/>
      <c r="B659" s="8"/>
      <c r="C659" s="8"/>
      <c r="D659" s="8"/>
      <c r="E659" s="8"/>
      <c r="F659" s="8"/>
      <c r="G659" s="9"/>
      <c r="H659" s="8"/>
      <c r="I659" s="8"/>
      <c r="J659" s="8"/>
      <c r="K659" s="8"/>
      <c r="L659" s="8"/>
      <c r="M659" s="8"/>
    </row>
    <row r="660">
      <c r="A660" s="5"/>
      <c r="B660" s="8"/>
      <c r="C660" s="8"/>
      <c r="D660" s="8"/>
      <c r="E660" s="8"/>
      <c r="F660" s="8"/>
      <c r="G660" s="9"/>
      <c r="H660" s="8"/>
      <c r="I660" s="8"/>
      <c r="J660" s="8"/>
      <c r="K660" s="8"/>
      <c r="L660" s="8"/>
      <c r="M660" s="8"/>
    </row>
    <row r="661">
      <c r="A661" s="5"/>
      <c r="B661" s="8"/>
      <c r="C661" s="8"/>
      <c r="D661" s="8"/>
      <c r="E661" s="8"/>
      <c r="F661" s="8"/>
      <c r="G661" s="9"/>
      <c r="H661" s="8"/>
      <c r="I661" s="8"/>
      <c r="J661" s="8"/>
      <c r="K661" s="8"/>
      <c r="L661" s="8"/>
      <c r="M661" s="8"/>
    </row>
    <row r="662">
      <c r="A662" s="5"/>
      <c r="B662" s="8"/>
      <c r="C662" s="8"/>
      <c r="D662" s="8"/>
      <c r="E662" s="8"/>
      <c r="F662" s="8"/>
      <c r="G662" s="9"/>
      <c r="H662" s="8"/>
      <c r="I662" s="8"/>
      <c r="J662" s="8"/>
      <c r="K662" s="8"/>
      <c r="L662" s="8"/>
      <c r="M662" s="8"/>
    </row>
    <row r="663">
      <c r="A663" s="5"/>
      <c r="B663" s="8"/>
      <c r="C663" s="8"/>
      <c r="D663" s="8"/>
      <c r="E663" s="8"/>
      <c r="F663" s="8"/>
      <c r="G663" s="9"/>
      <c r="H663" s="8"/>
      <c r="I663" s="8"/>
      <c r="J663" s="8"/>
      <c r="K663" s="8"/>
      <c r="L663" s="8"/>
      <c r="M663" s="8"/>
    </row>
    <row r="664">
      <c r="A664" s="5"/>
      <c r="B664" s="8"/>
      <c r="C664" s="8"/>
      <c r="D664" s="8"/>
      <c r="E664" s="8"/>
      <c r="F664" s="8"/>
      <c r="G664" s="9"/>
      <c r="H664" s="8"/>
      <c r="I664" s="8"/>
      <c r="J664" s="8"/>
      <c r="K664" s="8"/>
      <c r="L664" s="8"/>
      <c r="M664" s="8"/>
    </row>
    <row r="665">
      <c r="A665" s="5"/>
      <c r="B665" s="8"/>
      <c r="C665" s="8"/>
      <c r="D665" s="8"/>
      <c r="E665" s="8"/>
      <c r="F665" s="8"/>
      <c r="G665" s="9"/>
      <c r="H665" s="8"/>
      <c r="I665" s="8"/>
      <c r="J665" s="8"/>
      <c r="K665" s="8"/>
      <c r="L665" s="8"/>
      <c r="M665" s="8"/>
    </row>
    <row r="666">
      <c r="A666" s="5"/>
      <c r="B666" s="8"/>
      <c r="C666" s="8"/>
      <c r="D666" s="8"/>
      <c r="E666" s="8"/>
      <c r="F666" s="8"/>
      <c r="G666" s="9"/>
      <c r="H666" s="8"/>
      <c r="I666" s="8"/>
      <c r="J666" s="8"/>
      <c r="K666" s="8"/>
      <c r="L666" s="8"/>
      <c r="M666" s="8"/>
    </row>
    <row r="667">
      <c r="A667" s="5"/>
      <c r="B667" s="8"/>
      <c r="C667" s="8"/>
      <c r="D667" s="8"/>
      <c r="E667" s="8"/>
      <c r="F667" s="8"/>
      <c r="G667" s="9"/>
      <c r="H667" s="8"/>
      <c r="I667" s="8"/>
      <c r="J667" s="8"/>
      <c r="K667" s="8"/>
      <c r="L667" s="8"/>
      <c r="M667" s="8"/>
    </row>
    <row r="668">
      <c r="A668" s="5"/>
      <c r="B668" s="8"/>
      <c r="C668" s="8"/>
      <c r="D668" s="8"/>
      <c r="E668" s="8"/>
      <c r="F668" s="8"/>
      <c r="G668" s="9"/>
      <c r="H668" s="8"/>
      <c r="I668" s="8"/>
      <c r="J668" s="8"/>
      <c r="K668" s="8"/>
      <c r="L668" s="8"/>
      <c r="M668" s="8"/>
    </row>
    <row r="669">
      <c r="A669" s="5"/>
      <c r="B669" s="8"/>
      <c r="C669" s="8"/>
      <c r="D669" s="8"/>
      <c r="E669" s="8"/>
      <c r="F669" s="8"/>
      <c r="G669" s="9"/>
      <c r="H669" s="8"/>
      <c r="I669" s="8"/>
      <c r="J669" s="8"/>
      <c r="K669" s="8"/>
      <c r="L669" s="8"/>
      <c r="M669" s="8"/>
    </row>
    <row r="670">
      <c r="A670" s="5"/>
      <c r="B670" s="8"/>
      <c r="C670" s="8"/>
      <c r="D670" s="8"/>
      <c r="E670" s="8"/>
      <c r="F670" s="8"/>
      <c r="G670" s="9"/>
      <c r="H670" s="8"/>
      <c r="I670" s="8"/>
      <c r="J670" s="8"/>
      <c r="K670" s="8"/>
      <c r="L670" s="8"/>
      <c r="M670" s="8"/>
    </row>
    <row r="671">
      <c r="A671" s="5"/>
      <c r="B671" s="8"/>
      <c r="C671" s="8"/>
      <c r="D671" s="8"/>
      <c r="E671" s="8"/>
      <c r="F671" s="8"/>
      <c r="G671" s="9"/>
      <c r="H671" s="8"/>
      <c r="I671" s="8"/>
      <c r="J671" s="8"/>
      <c r="K671" s="8"/>
      <c r="L671" s="8"/>
      <c r="M671" s="8"/>
    </row>
    <row r="672">
      <c r="A672" s="5"/>
      <c r="B672" s="8"/>
      <c r="C672" s="8"/>
      <c r="D672" s="8"/>
      <c r="E672" s="8"/>
      <c r="F672" s="8"/>
      <c r="G672" s="9"/>
      <c r="H672" s="8"/>
      <c r="I672" s="8"/>
      <c r="J672" s="8"/>
      <c r="K672" s="8"/>
      <c r="L672" s="8"/>
      <c r="M672" s="8"/>
    </row>
    <row r="673">
      <c r="A673" s="5"/>
      <c r="B673" s="8"/>
      <c r="C673" s="8"/>
      <c r="D673" s="8"/>
      <c r="E673" s="8"/>
      <c r="F673" s="8"/>
      <c r="G673" s="9"/>
      <c r="H673" s="8"/>
      <c r="I673" s="8"/>
      <c r="J673" s="8"/>
      <c r="K673" s="8"/>
      <c r="L673" s="8"/>
      <c r="M673" s="8"/>
    </row>
    <row r="674">
      <c r="A674" s="5"/>
      <c r="B674" s="8"/>
      <c r="C674" s="8"/>
      <c r="D674" s="8"/>
      <c r="E674" s="8"/>
      <c r="F674" s="8"/>
      <c r="G674" s="9"/>
      <c r="H674" s="8"/>
      <c r="I674" s="8"/>
      <c r="J674" s="8"/>
      <c r="K674" s="8"/>
      <c r="L674" s="8"/>
      <c r="M674" s="8"/>
    </row>
    <row r="675">
      <c r="A675" s="5"/>
      <c r="B675" s="8"/>
      <c r="C675" s="8"/>
      <c r="D675" s="8"/>
      <c r="E675" s="8"/>
      <c r="F675" s="8"/>
      <c r="G675" s="9"/>
      <c r="H675" s="8"/>
      <c r="I675" s="8"/>
      <c r="J675" s="8"/>
      <c r="K675" s="8"/>
      <c r="L675" s="8"/>
      <c r="M675" s="8"/>
    </row>
    <row r="676">
      <c r="A676" s="5"/>
      <c r="B676" s="8"/>
      <c r="C676" s="8"/>
      <c r="D676" s="8"/>
      <c r="E676" s="8"/>
      <c r="F676" s="8"/>
      <c r="G676" s="9"/>
      <c r="H676" s="8"/>
      <c r="I676" s="8"/>
      <c r="J676" s="8"/>
      <c r="K676" s="8"/>
      <c r="L676" s="8"/>
      <c r="M676" s="8"/>
    </row>
    <row r="677">
      <c r="A677" s="5"/>
      <c r="B677" s="8"/>
      <c r="C677" s="8"/>
      <c r="D677" s="8"/>
      <c r="E677" s="8"/>
      <c r="F677" s="8"/>
      <c r="G677" s="9"/>
      <c r="H677" s="8"/>
      <c r="I677" s="8"/>
      <c r="J677" s="8"/>
      <c r="K677" s="8"/>
      <c r="L677" s="8"/>
      <c r="M677" s="8"/>
    </row>
    <row r="678">
      <c r="A678" s="5"/>
      <c r="B678" s="8"/>
      <c r="C678" s="8"/>
      <c r="D678" s="8"/>
      <c r="E678" s="8"/>
      <c r="F678" s="8"/>
      <c r="G678" s="9"/>
      <c r="H678" s="8"/>
      <c r="I678" s="8"/>
      <c r="J678" s="8"/>
      <c r="K678" s="8"/>
      <c r="L678" s="8"/>
      <c r="M678" s="8"/>
    </row>
    <row r="679">
      <c r="A679" s="5"/>
      <c r="B679" s="8"/>
      <c r="C679" s="8"/>
      <c r="D679" s="8"/>
      <c r="E679" s="8"/>
      <c r="F679" s="8"/>
      <c r="G679" s="9"/>
      <c r="H679" s="8"/>
      <c r="I679" s="8"/>
      <c r="J679" s="8"/>
      <c r="K679" s="8"/>
      <c r="L679" s="8"/>
      <c r="M679" s="8"/>
    </row>
    <row r="680">
      <c r="A680" s="5"/>
      <c r="B680" s="8"/>
      <c r="C680" s="8"/>
      <c r="D680" s="8"/>
      <c r="E680" s="8"/>
      <c r="F680" s="8"/>
      <c r="G680" s="9"/>
      <c r="H680" s="8"/>
      <c r="I680" s="8"/>
      <c r="J680" s="8"/>
      <c r="K680" s="8"/>
      <c r="L680" s="8"/>
      <c r="M680" s="8"/>
    </row>
    <row r="681">
      <c r="A681" s="5"/>
      <c r="B681" s="8"/>
      <c r="C681" s="8"/>
      <c r="D681" s="8"/>
      <c r="E681" s="8"/>
      <c r="F681" s="8"/>
      <c r="G681" s="9"/>
      <c r="H681" s="8"/>
      <c r="I681" s="8"/>
      <c r="J681" s="8"/>
      <c r="K681" s="8"/>
      <c r="L681" s="8"/>
      <c r="M681" s="8"/>
    </row>
    <row r="682">
      <c r="A682" s="5"/>
      <c r="B682" s="8"/>
      <c r="C682" s="8"/>
      <c r="D682" s="8"/>
      <c r="E682" s="8"/>
      <c r="F682" s="8"/>
      <c r="G682" s="9"/>
      <c r="H682" s="8"/>
      <c r="I682" s="8"/>
      <c r="J682" s="8"/>
      <c r="K682" s="8"/>
      <c r="L682" s="8"/>
      <c r="M682" s="8"/>
    </row>
    <row r="683">
      <c r="A683" s="5"/>
      <c r="B683" s="8"/>
      <c r="C683" s="8"/>
      <c r="D683" s="8"/>
      <c r="E683" s="8"/>
      <c r="F683" s="8"/>
      <c r="G683" s="9"/>
      <c r="H683" s="8"/>
      <c r="I683" s="8"/>
      <c r="J683" s="8"/>
      <c r="K683" s="8"/>
      <c r="L683" s="8"/>
      <c r="M683" s="8"/>
    </row>
    <row r="684">
      <c r="A684" s="5"/>
      <c r="B684" s="8"/>
      <c r="C684" s="8"/>
      <c r="D684" s="8"/>
      <c r="E684" s="8"/>
      <c r="F684" s="8"/>
      <c r="G684" s="9"/>
      <c r="H684" s="8"/>
      <c r="I684" s="8"/>
      <c r="J684" s="8"/>
      <c r="K684" s="8"/>
      <c r="L684" s="8"/>
      <c r="M684" s="8"/>
    </row>
    <row r="685">
      <c r="A685" s="5"/>
      <c r="B685" s="8"/>
      <c r="C685" s="8"/>
      <c r="D685" s="8"/>
      <c r="E685" s="8"/>
      <c r="F685" s="8"/>
      <c r="G685" s="9"/>
      <c r="H685" s="8"/>
      <c r="I685" s="8"/>
      <c r="J685" s="8"/>
      <c r="K685" s="8"/>
      <c r="L685" s="8"/>
      <c r="M685" s="8"/>
    </row>
    <row r="686">
      <c r="A686" s="5"/>
      <c r="B686" s="8"/>
      <c r="C686" s="8"/>
      <c r="D686" s="8"/>
      <c r="E686" s="8"/>
      <c r="F686" s="8"/>
      <c r="G686" s="9"/>
      <c r="H686" s="8"/>
      <c r="I686" s="8"/>
      <c r="J686" s="8"/>
      <c r="K686" s="8"/>
      <c r="L686" s="8"/>
      <c r="M686" s="8"/>
    </row>
    <row r="687">
      <c r="A687" s="5"/>
      <c r="B687" s="8"/>
      <c r="C687" s="8"/>
      <c r="D687" s="8"/>
      <c r="E687" s="8"/>
      <c r="F687" s="8"/>
      <c r="G687" s="9"/>
      <c r="H687" s="8"/>
      <c r="I687" s="8"/>
      <c r="J687" s="8"/>
      <c r="K687" s="8"/>
      <c r="L687" s="8"/>
      <c r="M687" s="8"/>
    </row>
    <row r="688">
      <c r="A688" s="5"/>
      <c r="B688" s="8"/>
      <c r="C688" s="8"/>
      <c r="D688" s="8"/>
      <c r="E688" s="8"/>
      <c r="F688" s="8"/>
      <c r="G688" s="9"/>
      <c r="H688" s="8"/>
      <c r="I688" s="8"/>
      <c r="J688" s="8"/>
      <c r="K688" s="8"/>
      <c r="L688" s="8"/>
      <c r="M688" s="8"/>
    </row>
    <row r="689">
      <c r="A689" s="5"/>
      <c r="B689" s="8"/>
      <c r="C689" s="8"/>
      <c r="D689" s="8"/>
      <c r="E689" s="8"/>
      <c r="F689" s="8"/>
      <c r="G689" s="9"/>
      <c r="H689" s="8"/>
      <c r="I689" s="8"/>
      <c r="J689" s="8"/>
      <c r="K689" s="8"/>
      <c r="L689" s="8"/>
      <c r="M689" s="8"/>
    </row>
    <row r="690">
      <c r="A690" s="5"/>
      <c r="B690" s="8"/>
      <c r="C690" s="8"/>
      <c r="D690" s="8"/>
      <c r="E690" s="8"/>
      <c r="F690" s="8"/>
      <c r="G690" s="9"/>
      <c r="H690" s="8"/>
      <c r="I690" s="8"/>
      <c r="J690" s="8"/>
      <c r="K690" s="8"/>
      <c r="L690" s="8"/>
      <c r="M690" s="8"/>
    </row>
    <row r="691">
      <c r="A691" s="5"/>
      <c r="B691" s="8"/>
      <c r="C691" s="8"/>
      <c r="D691" s="8"/>
      <c r="E691" s="8"/>
      <c r="F691" s="8"/>
      <c r="G691" s="9"/>
      <c r="H691" s="8"/>
      <c r="I691" s="8"/>
      <c r="J691" s="8"/>
      <c r="K691" s="8"/>
      <c r="L691" s="8"/>
      <c r="M691" s="8"/>
    </row>
    <row r="692">
      <c r="A692" s="5"/>
      <c r="B692" s="8"/>
      <c r="C692" s="8"/>
      <c r="D692" s="8"/>
      <c r="E692" s="8"/>
      <c r="F692" s="8"/>
      <c r="G692" s="9"/>
      <c r="H692" s="8"/>
      <c r="I692" s="8"/>
      <c r="J692" s="8"/>
      <c r="K692" s="8"/>
      <c r="L692" s="8"/>
      <c r="M692" s="8"/>
    </row>
    <row r="693">
      <c r="A693" s="5"/>
      <c r="B693" s="8"/>
      <c r="C693" s="8"/>
      <c r="D693" s="8"/>
      <c r="E693" s="8"/>
      <c r="F693" s="8"/>
      <c r="G693" s="9"/>
      <c r="H693" s="8"/>
      <c r="I693" s="8"/>
      <c r="J693" s="8"/>
      <c r="K693" s="8"/>
      <c r="L693" s="8"/>
      <c r="M693" s="8"/>
    </row>
    <row r="694">
      <c r="A694" s="5"/>
      <c r="B694" s="8"/>
      <c r="C694" s="8"/>
      <c r="D694" s="8"/>
      <c r="E694" s="8"/>
      <c r="F694" s="8"/>
      <c r="G694" s="9"/>
      <c r="H694" s="8"/>
      <c r="I694" s="8"/>
      <c r="J694" s="8"/>
      <c r="K694" s="8"/>
      <c r="L694" s="8"/>
      <c r="M694" s="8"/>
    </row>
    <row r="695">
      <c r="A695" s="5"/>
      <c r="B695" s="8"/>
      <c r="C695" s="8"/>
      <c r="D695" s="8"/>
      <c r="E695" s="8"/>
      <c r="F695" s="8"/>
      <c r="G695" s="9"/>
      <c r="H695" s="8"/>
      <c r="I695" s="8"/>
      <c r="J695" s="8"/>
      <c r="K695" s="8"/>
      <c r="L695" s="8"/>
      <c r="M695" s="8"/>
    </row>
    <row r="696">
      <c r="A696" s="5"/>
      <c r="B696" s="8"/>
      <c r="C696" s="8"/>
      <c r="D696" s="8"/>
      <c r="E696" s="8"/>
      <c r="F696" s="8"/>
      <c r="G696" s="9"/>
      <c r="H696" s="8"/>
      <c r="I696" s="8"/>
      <c r="J696" s="8"/>
      <c r="K696" s="8"/>
      <c r="L696" s="8"/>
      <c r="M696" s="8"/>
    </row>
    <row r="697">
      <c r="A697" s="5"/>
      <c r="B697" s="8"/>
      <c r="C697" s="8"/>
      <c r="D697" s="8"/>
      <c r="E697" s="8"/>
      <c r="F697" s="8"/>
      <c r="G697" s="9"/>
      <c r="H697" s="8"/>
      <c r="I697" s="8"/>
      <c r="J697" s="8"/>
      <c r="K697" s="8"/>
      <c r="L697" s="8"/>
      <c r="M697" s="8"/>
    </row>
    <row r="698">
      <c r="A698" s="5"/>
      <c r="B698" s="8"/>
      <c r="C698" s="8"/>
      <c r="D698" s="8"/>
      <c r="E698" s="8"/>
      <c r="F698" s="8"/>
      <c r="G698" s="9"/>
      <c r="H698" s="8"/>
      <c r="I698" s="8"/>
      <c r="J698" s="8"/>
      <c r="K698" s="8"/>
      <c r="L698" s="8"/>
      <c r="M698" s="8"/>
    </row>
    <row r="699">
      <c r="A699" s="5"/>
      <c r="B699" s="8"/>
      <c r="C699" s="8"/>
      <c r="D699" s="8"/>
      <c r="E699" s="8"/>
      <c r="F699" s="8"/>
      <c r="G699" s="9"/>
      <c r="H699" s="8"/>
      <c r="I699" s="8"/>
      <c r="J699" s="8"/>
      <c r="K699" s="8"/>
      <c r="L699" s="8"/>
      <c r="M699" s="8"/>
    </row>
    <row r="700">
      <c r="A700" s="5"/>
      <c r="B700" s="8"/>
      <c r="C700" s="8"/>
      <c r="D700" s="8"/>
      <c r="E700" s="8"/>
      <c r="F700" s="8"/>
      <c r="G700" s="9"/>
      <c r="H700" s="8"/>
      <c r="I700" s="8"/>
      <c r="J700" s="8"/>
      <c r="K700" s="8"/>
      <c r="L700" s="8"/>
      <c r="M700" s="8"/>
    </row>
    <row r="701">
      <c r="A701" s="5"/>
      <c r="B701" s="8"/>
      <c r="C701" s="8"/>
      <c r="D701" s="8"/>
      <c r="E701" s="8"/>
      <c r="F701" s="8"/>
      <c r="G701" s="9"/>
      <c r="H701" s="8"/>
      <c r="I701" s="8"/>
      <c r="J701" s="8"/>
      <c r="K701" s="8"/>
      <c r="L701" s="8"/>
      <c r="M701" s="8"/>
    </row>
    <row r="702">
      <c r="A702" s="5"/>
      <c r="B702" s="8"/>
      <c r="C702" s="8"/>
      <c r="D702" s="8"/>
      <c r="E702" s="8"/>
      <c r="F702" s="8"/>
      <c r="G702" s="9"/>
      <c r="H702" s="8"/>
      <c r="I702" s="8"/>
      <c r="J702" s="8"/>
      <c r="K702" s="8"/>
      <c r="L702" s="8"/>
      <c r="M702" s="8"/>
    </row>
    <row r="703">
      <c r="A703" s="5"/>
      <c r="B703" s="8"/>
      <c r="C703" s="8"/>
      <c r="D703" s="8"/>
      <c r="E703" s="8"/>
      <c r="F703" s="8"/>
      <c r="G703" s="9"/>
      <c r="H703" s="8"/>
      <c r="I703" s="8"/>
      <c r="J703" s="8"/>
      <c r="K703" s="8"/>
      <c r="L703" s="8"/>
      <c r="M703" s="8"/>
    </row>
    <row r="704">
      <c r="A704" s="5"/>
      <c r="B704" s="8"/>
      <c r="C704" s="8"/>
      <c r="D704" s="8"/>
      <c r="E704" s="8"/>
      <c r="F704" s="8"/>
      <c r="G704" s="9"/>
      <c r="H704" s="8"/>
      <c r="I704" s="8"/>
      <c r="J704" s="8"/>
      <c r="K704" s="8"/>
      <c r="L704" s="8"/>
      <c r="M704" s="8"/>
    </row>
    <row r="705">
      <c r="A705" s="5"/>
      <c r="B705" s="8"/>
      <c r="C705" s="8"/>
      <c r="D705" s="8"/>
      <c r="E705" s="8"/>
      <c r="F705" s="8"/>
      <c r="G705" s="9"/>
      <c r="H705" s="8"/>
      <c r="I705" s="8"/>
      <c r="J705" s="8"/>
      <c r="K705" s="8"/>
      <c r="L705" s="8"/>
      <c r="M705" s="8"/>
    </row>
    <row r="706">
      <c r="A706" s="5"/>
      <c r="B706" s="8"/>
      <c r="C706" s="8"/>
      <c r="D706" s="8"/>
      <c r="E706" s="8"/>
      <c r="F706" s="8"/>
      <c r="G706" s="9"/>
      <c r="H706" s="8"/>
      <c r="I706" s="8"/>
      <c r="J706" s="8"/>
      <c r="K706" s="8"/>
      <c r="L706" s="8"/>
      <c r="M706" s="8"/>
    </row>
    <row r="707">
      <c r="A707" s="5"/>
      <c r="B707" s="8"/>
      <c r="C707" s="8"/>
      <c r="D707" s="8"/>
      <c r="E707" s="8"/>
      <c r="F707" s="8"/>
      <c r="G707" s="9"/>
      <c r="H707" s="8"/>
      <c r="I707" s="8"/>
      <c r="J707" s="8"/>
      <c r="K707" s="8"/>
      <c r="L707" s="8"/>
      <c r="M707" s="8"/>
    </row>
    <row r="708">
      <c r="A708" s="5"/>
      <c r="B708" s="8"/>
      <c r="C708" s="8"/>
      <c r="D708" s="8"/>
      <c r="E708" s="8"/>
      <c r="F708" s="8"/>
      <c r="G708" s="9"/>
      <c r="H708" s="8"/>
      <c r="I708" s="8"/>
      <c r="J708" s="8"/>
      <c r="K708" s="8"/>
      <c r="L708" s="8"/>
      <c r="M708" s="8"/>
    </row>
    <row r="709">
      <c r="A709" s="5"/>
      <c r="B709" s="8"/>
      <c r="C709" s="8"/>
      <c r="D709" s="8"/>
      <c r="E709" s="8"/>
      <c r="F709" s="8"/>
      <c r="G709" s="9"/>
      <c r="H709" s="8"/>
      <c r="I709" s="8"/>
      <c r="J709" s="8"/>
      <c r="K709" s="8"/>
      <c r="L709" s="8"/>
      <c r="M709" s="8"/>
    </row>
    <row r="710">
      <c r="A710" s="5"/>
      <c r="B710" s="8"/>
      <c r="C710" s="8"/>
      <c r="D710" s="8"/>
      <c r="E710" s="8"/>
      <c r="F710" s="8"/>
      <c r="G710" s="9"/>
      <c r="H710" s="8"/>
      <c r="I710" s="8"/>
      <c r="J710" s="8"/>
      <c r="K710" s="8"/>
      <c r="L710" s="8"/>
      <c r="M710" s="8"/>
    </row>
    <row r="711">
      <c r="A711" s="5"/>
      <c r="B711" s="8"/>
      <c r="C711" s="8"/>
      <c r="D711" s="8"/>
      <c r="E711" s="8"/>
      <c r="F711" s="8"/>
      <c r="G711" s="9"/>
      <c r="H711" s="8"/>
      <c r="I711" s="8"/>
      <c r="J711" s="8"/>
      <c r="K711" s="8"/>
      <c r="L711" s="8"/>
      <c r="M711" s="8"/>
    </row>
    <row r="712">
      <c r="A712" s="5"/>
      <c r="B712" s="8"/>
      <c r="C712" s="8"/>
      <c r="D712" s="8"/>
      <c r="E712" s="8"/>
      <c r="F712" s="8"/>
      <c r="G712" s="9"/>
      <c r="H712" s="8"/>
      <c r="I712" s="8"/>
      <c r="J712" s="8"/>
      <c r="K712" s="8"/>
      <c r="L712" s="8"/>
      <c r="M712" s="8"/>
    </row>
    <row r="713">
      <c r="A713" s="5"/>
      <c r="B713" s="8"/>
      <c r="C713" s="8"/>
      <c r="D713" s="8"/>
      <c r="E713" s="8"/>
      <c r="F713" s="8"/>
      <c r="G713" s="9"/>
      <c r="H713" s="8"/>
      <c r="I713" s="8"/>
      <c r="J713" s="8"/>
      <c r="K713" s="8"/>
      <c r="L713" s="8"/>
      <c r="M713" s="8"/>
    </row>
    <row r="714">
      <c r="A714" s="5"/>
      <c r="B714" s="8"/>
      <c r="C714" s="8"/>
      <c r="D714" s="8"/>
      <c r="E714" s="8"/>
      <c r="F714" s="8"/>
      <c r="G714" s="9"/>
      <c r="H714" s="8"/>
      <c r="I714" s="8"/>
      <c r="J714" s="8"/>
      <c r="K714" s="8"/>
      <c r="L714" s="8"/>
      <c r="M714" s="8"/>
    </row>
    <row r="715">
      <c r="A715" s="5"/>
      <c r="B715" s="8"/>
      <c r="C715" s="8"/>
      <c r="D715" s="8"/>
      <c r="E715" s="8"/>
      <c r="F715" s="8"/>
      <c r="G715" s="9"/>
      <c r="H715" s="8"/>
      <c r="I715" s="8"/>
      <c r="J715" s="8"/>
      <c r="K715" s="8"/>
      <c r="L715" s="8"/>
      <c r="M715" s="8"/>
    </row>
    <row r="716">
      <c r="A716" s="5"/>
      <c r="B716" s="8"/>
      <c r="C716" s="8"/>
      <c r="D716" s="8"/>
      <c r="E716" s="8"/>
      <c r="F716" s="8"/>
      <c r="G716" s="9"/>
      <c r="H716" s="8"/>
      <c r="I716" s="8"/>
      <c r="J716" s="8"/>
      <c r="K716" s="8"/>
      <c r="L716" s="8"/>
      <c r="M716" s="8"/>
    </row>
    <row r="717">
      <c r="A717" s="5"/>
      <c r="B717" s="8"/>
      <c r="C717" s="8"/>
      <c r="D717" s="8"/>
      <c r="E717" s="8"/>
      <c r="F717" s="8"/>
      <c r="G717" s="9"/>
      <c r="H717" s="8"/>
      <c r="I717" s="8"/>
      <c r="J717" s="8"/>
      <c r="K717" s="8"/>
      <c r="L717" s="8"/>
      <c r="M717" s="8"/>
    </row>
    <row r="718">
      <c r="A718" s="5"/>
      <c r="B718" s="8"/>
      <c r="C718" s="8"/>
      <c r="D718" s="8"/>
      <c r="E718" s="8"/>
      <c r="F718" s="8"/>
      <c r="G718" s="9"/>
      <c r="H718" s="8"/>
      <c r="I718" s="8"/>
      <c r="J718" s="8"/>
      <c r="K718" s="8"/>
      <c r="L718" s="8"/>
      <c r="M718" s="8"/>
    </row>
    <row r="719">
      <c r="A719" s="5"/>
      <c r="B719" s="8"/>
      <c r="C719" s="8"/>
      <c r="D719" s="8"/>
      <c r="E719" s="8"/>
      <c r="F719" s="8"/>
      <c r="G719" s="9"/>
      <c r="H719" s="8"/>
      <c r="I719" s="8"/>
      <c r="J719" s="8"/>
      <c r="K719" s="8"/>
      <c r="L719" s="8"/>
      <c r="M719" s="8"/>
    </row>
    <row r="720">
      <c r="A720" s="5"/>
      <c r="B720" s="8"/>
      <c r="C720" s="8"/>
      <c r="D720" s="8"/>
      <c r="E720" s="8"/>
      <c r="F720" s="8"/>
      <c r="G720" s="9"/>
      <c r="H720" s="8"/>
      <c r="I720" s="8"/>
      <c r="J720" s="8"/>
      <c r="K720" s="8"/>
      <c r="L720" s="8"/>
      <c r="M720" s="8"/>
    </row>
    <row r="721">
      <c r="A721" s="5"/>
      <c r="B721" s="8"/>
      <c r="C721" s="8"/>
      <c r="D721" s="8"/>
      <c r="E721" s="8"/>
      <c r="F721" s="8"/>
      <c r="G721" s="9"/>
      <c r="H721" s="8"/>
      <c r="I721" s="8"/>
      <c r="J721" s="8"/>
      <c r="K721" s="8"/>
      <c r="L721" s="8"/>
      <c r="M721" s="8"/>
    </row>
    <row r="722">
      <c r="A722" s="5"/>
      <c r="B722" s="8"/>
      <c r="C722" s="8"/>
      <c r="D722" s="8"/>
      <c r="E722" s="8"/>
      <c r="F722" s="8"/>
      <c r="G722" s="9"/>
      <c r="H722" s="8"/>
      <c r="I722" s="8"/>
      <c r="J722" s="8"/>
      <c r="K722" s="8"/>
      <c r="L722" s="8"/>
      <c r="M722" s="8"/>
    </row>
    <row r="723">
      <c r="A723" s="5"/>
      <c r="B723" s="8"/>
      <c r="C723" s="8"/>
      <c r="D723" s="8"/>
      <c r="E723" s="8"/>
      <c r="F723" s="8"/>
      <c r="G723" s="9"/>
      <c r="H723" s="8"/>
      <c r="I723" s="8"/>
      <c r="J723" s="8"/>
      <c r="K723" s="8"/>
      <c r="L723" s="8"/>
      <c r="M723" s="8"/>
    </row>
    <row r="724">
      <c r="A724" s="5"/>
      <c r="B724" s="8"/>
      <c r="C724" s="8"/>
      <c r="D724" s="8"/>
      <c r="E724" s="8"/>
      <c r="F724" s="8"/>
      <c r="G724" s="9"/>
      <c r="H724" s="8"/>
      <c r="I724" s="8"/>
      <c r="J724" s="8"/>
      <c r="K724" s="8"/>
      <c r="L724" s="8"/>
      <c r="M724" s="8"/>
    </row>
    <row r="725">
      <c r="A725" s="5"/>
      <c r="B725" s="8"/>
      <c r="C725" s="8"/>
      <c r="D725" s="8"/>
      <c r="E725" s="8"/>
      <c r="F725" s="8"/>
      <c r="G725" s="9"/>
      <c r="H725" s="8"/>
      <c r="I725" s="8"/>
      <c r="J725" s="8"/>
      <c r="K725" s="8"/>
      <c r="L725" s="8"/>
      <c r="M725" s="8"/>
    </row>
    <row r="726">
      <c r="A726" s="5"/>
      <c r="B726" s="8"/>
      <c r="C726" s="8"/>
      <c r="D726" s="8"/>
      <c r="E726" s="8"/>
      <c r="F726" s="8"/>
      <c r="G726" s="9"/>
      <c r="H726" s="8"/>
      <c r="I726" s="8"/>
      <c r="J726" s="8"/>
      <c r="K726" s="8"/>
      <c r="L726" s="8"/>
      <c r="M726" s="8"/>
    </row>
    <row r="727">
      <c r="A727" s="5"/>
      <c r="B727" s="8"/>
      <c r="C727" s="8"/>
      <c r="D727" s="8"/>
      <c r="E727" s="8"/>
      <c r="F727" s="8"/>
      <c r="G727" s="9"/>
      <c r="H727" s="8"/>
      <c r="I727" s="8"/>
      <c r="J727" s="8"/>
      <c r="K727" s="8"/>
      <c r="L727" s="8"/>
      <c r="M727" s="8"/>
    </row>
    <row r="728">
      <c r="A728" s="5"/>
      <c r="B728" s="8"/>
      <c r="C728" s="8"/>
      <c r="D728" s="8"/>
      <c r="E728" s="8"/>
      <c r="F728" s="8"/>
      <c r="G728" s="9"/>
      <c r="H728" s="8"/>
      <c r="I728" s="8"/>
      <c r="J728" s="8"/>
      <c r="K728" s="8"/>
      <c r="L728" s="8"/>
      <c r="M728" s="8"/>
    </row>
    <row r="729">
      <c r="A729" s="5"/>
      <c r="B729" s="8"/>
      <c r="C729" s="8"/>
      <c r="D729" s="8"/>
      <c r="E729" s="8"/>
      <c r="F729" s="8"/>
      <c r="G729" s="9"/>
      <c r="H729" s="8"/>
      <c r="I729" s="8"/>
      <c r="J729" s="8"/>
      <c r="K729" s="8"/>
      <c r="L729" s="8"/>
      <c r="M729" s="8"/>
    </row>
    <row r="730">
      <c r="A730" s="5"/>
      <c r="B730" s="8"/>
      <c r="C730" s="8"/>
      <c r="D730" s="8"/>
      <c r="E730" s="8"/>
      <c r="F730" s="8"/>
      <c r="G730" s="9"/>
      <c r="H730" s="8"/>
      <c r="I730" s="8"/>
      <c r="J730" s="8"/>
      <c r="K730" s="8"/>
      <c r="L730" s="8"/>
      <c r="M730" s="8"/>
    </row>
    <row r="731">
      <c r="A731" s="5"/>
      <c r="B731" s="8"/>
      <c r="C731" s="8"/>
      <c r="D731" s="8"/>
      <c r="E731" s="8"/>
      <c r="F731" s="8"/>
      <c r="G731" s="9"/>
      <c r="H731" s="8"/>
      <c r="I731" s="8"/>
      <c r="J731" s="8"/>
      <c r="K731" s="8"/>
      <c r="L731" s="8"/>
      <c r="M731" s="8"/>
    </row>
    <row r="732">
      <c r="A732" s="5"/>
      <c r="B732" s="8"/>
      <c r="C732" s="8"/>
      <c r="D732" s="8"/>
      <c r="E732" s="8"/>
      <c r="F732" s="8"/>
      <c r="G732" s="9"/>
      <c r="H732" s="8"/>
      <c r="I732" s="8"/>
      <c r="J732" s="8"/>
      <c r="K732" s="8"/>
      <c r="L732" s="8"/>
      <c r="M732" s="8"/>
    </row>
    <row r="733">
      <c r="A733" s="5"/>
      <c r="B733" s="8"/>
      <c r="C733" s="8"/>
      <c r="D733" s="8"/>
      <c r="E733" s="8"/>
      <c r="F733" s="8"/>
      <c r="G733" s="9"/>
      <c r="H733" s="8"/>
      <c r="I733" s="8"/>
      <c r="J733" s="8"/>
      <c r="K733" s="8"/>
      <c r="L733" s="8"/>
      <c r="M733" s="8"/>
    </row>
    <row r="734">
      <c r="A734" s="5"/>
      <c r="B734" s="8"/>
      <c r="C734" s="8"/>
      <c r="D734" s="8"/>
      <c r="E734" s="8"/>
      <c r="F734" s="8"/>
      <c r="G734" s="9"/>
      <c r="H734" s="8"/>
      <c r="I734" s="8"/>
      <c r="J734" s="8"/>
      <c r="K734" s="8"/>
      <c r="L734" s="8"/>
      <c r="M734" s="8"/>
    </row>
    <row r="735">
      <c r="A735" s="5"/>
      <c r="B735" s="8"/>
      <c r="C735" s="8"/>
      <c r="D735" s="8"/>
      <c r="E735" s="8"/>
      <c r="F735" s="8"/>
      <c r="G735" s="9"/>
      <c r="H735" s="8"/>
      <c r="I735" s="8"/>
      <c r="J735" s="8"/>
      <c r="K735" s="8"/>
      <c r="L735" s="8"/>
      <c r="M735" s="8"/>
    </row>
    <row r="736">
      <c r="A736" s="5"/>
      <c r="B736" s="8"/>
      <c r="C736" s="8"/>
      <c r="D736" s="8"/>
      <c r="E736" s="8"/>
      <c r="F736" s="8"/>
      <c r="G736" s="9"/>
      <c r="H736" s="8"/>
      <c r="I736" s="8"/>
      <c r="J736" s="8"/>
      <c r="K736" s="8"/>
      <c r="L736" s="8"/>
      <c r="M736" s="8"/>
    </row>
    <row r="737">
      <c r="A737" s="5"/>
      <c r="B737" s="8"/>
      <c r="C737" s="8"/>
      <c r="D737" s="8"/>
      <c r="E737" s="8"/>
      <c r="F737" s="8"/>
      <c r="G737" s="9"/>
      <c r="H737" s="8"/>
      <c r="I737" s="8"/>
      <c r="J737" s="8"/>
      <c r="K737" s="8"/>
      <c r="L737" s="8"/>
      <c r="M737" s="8"/>
    </row>
    <row r="738">
      <c r="A738" s="5"/>
      <c r="B738" s="8"/>
      <c r="C738" s="8"/>
      <c r="D738" s="8"/>
      <c r="E738" s="8"/>
      <c r="F738" s="8"/>
      <c r="G738" s="9"/>
      <c r="H738" s="8"/>
      <c r="I738" s="8"/>
      <c r="J738" s="8"/>
      <c r="K738" s="8"/>
      <c r="L738" s="8"/>
      <c r="M738" s="8"/>
    </row>
    <row r="739">
      <c r="A739" s="5"/>
      <c r="B739" s="8"/>
      <c r="C739" s="8"/>
      <c r="D739" s="8"/>
      <c r="E739" s="8"/>
      <c r="F739" s="8"/>
      <c r="G739" s="9"/>
      <c r="H739" s="8"/>
      <c r="I739" s="8"/>
      <c r="J739" s="8"/>
      <c r="K739" s="8"/>
      <c r="L739" s="8"/>
      <c r="M739" s="8"/>
    </row>
    <row r="740">
      <c r="A740" s="5"/>
      <c r="B740" s="8"/>
      <c r="C740" s="8"/>
      <c r="D740" s="8"/>
      <c r="E740" s="8"/>
      <c r="F740" s="8"/>
      <c r="G740" s="9"/>
      <c r="H740" s="8"/>
      <c r="I740" s="8"/>
      <c r="J740" s="8"/>
      <c r="K740" s="8"/>
      <c r="L740" s="8"/>
      <c r="M740" s="8"/>
    </row>
    <row r="741">
      <c r="A741" s="5"/>
      <c r="B741" s="8"/>
      <c r="C741" s="8"/>
      <c r="D741" s="8"/>
      <c r="E741" s="8"/>
      <c r="F741" s="8"/>
      <c r="G741" s="9"/>
      <c r="H741" s="8"/>
      <c r="I741" s="8"/>
      <c r="J741" s="8"/>
      <c r="K741" s="8"/>
      <c r="L741" s="8"/>
      <c r="M741" s="8"/>
    </row>
    <row r="742">
      <c r="A742" s="5"/>
      <c r="B742" s="8"/>
      <c r="C742" s="8"/>
      <c r="D742" s="8"/>
      <c r="E742" s="8"/>
      <c r="F742" s="8"/>
      <c r="G742" s="9"/>
      <c r="H742" s="8"/>
      <c r="I742" s="8"/>
      <c r="J742" s="8"/>
      <c r="K742" s="8"/>
      <c r="L742" s="8"/>
      <c r="M742" s="8"/>
    </row>
    <row r="743">
      <c r="A743" s="5"/>
      <c r="B743" s="8"/>
      <c r="C743" s="8"/>
      <c r="D743" s="8"/>
      <c r="E743" s="8"/>
      <c r="F743" s="8"/>
      <c r="G743" s="9"/>
      <c r="H743" s="8"/>
      <c r="I743" s="8"/>
      <c r="J743" s="8"/>
      <c r="K743" s="8"/>
      <c r="L743" s="8"/>
      <c r="M743" s="8"/>
    </row>
    <row r="744">
      <c r="A744" s="5"/>
      <c r="B744" s="8"/>
      <c r="C744" s="8"/>
      <c r="D744" s="8"/>
      <c r="E744" s="8"/>
      <c r="F744" s="8"/>
      <c r="G744" s="9"/>
      <c r="H744" s="8"/>
      <c r="I744" s="8"/>
      <c r="J744" s="8"/>
      <c r="K744" s="8"/>
      <c r="L744" s="8"/>
      <c r="M744" s="8"/>
    </row>
    <row r="745">
      <c r="A745" s="5"/>
      <c r="B745" s="8"/>
      <c r="C745" s="8"/>
      <c r="D745" s="8"/>
      <c r="E745" s="8"/>
      <c r="F745" s="8"/>
      <c r="G745" s="9"/>
      <c r="H745" s="8"/>
      <c r="I745" s="8"/>
      <c r="J745" s="8"/>
      <c r="K745" s="8"/>
      <c r="L745" s="8"/>
      <c r="M745" s="8"/>
    </row>
    <row r="746">
      <c r="A746" s="5"/>
      <c r="B746" s="8"/>
      <c r="C746" s="8"/>
      <c r="D746" s="8"/>
      <c r="E746" s="8"/>
      <c r="F746" s="8"/>
      <c r="G746" s="9"/>
      <c r="H746" s="8"/>
      <c r="I746" s="8"/>
      <c r="J746" s="8"/>
      <c r="K746" s="8"/>
      <c r="L746" s="8"/>
      <c r="M746" s="8"/>
    </row>
    <row r="747">
      <c r="A747" s="5"/>
      <c r="B747" s="8"/>
      <c r="C747" s="8"/>
      <c r="D747" s="8"/>
      <c r="E747" s="8"/>
      <c r="F747" s="8"/>
      <c r="G747" s="9"/>
      <c r="H747" s="8"/>
      <c r="I747" s="8"/>
      <c r="J747" s="8"/>
      <c r="K747" s="8"/>
      <c r="L747" s="8"/>
      <c r="M747" s="8"/>
    </row>
    <row r="748">
      <c r="A748" s="5"/>
      <c r="B748" s="8"/>
      <c r="C748" s="8"/>
      <c r="D748" s="8"/>
      <c r="E748" s="8"/>
      <c r="F748" s="8"/>
      <c r="G748" s="9"/>
      <c r="H748" s="8"/>
      <c r="I748" s="8"/>
      <c r="J748" s="8"/>
      <c r="K748" s="8"/>
      <c r="L748" s="8"/>
      <c r="M748" s="8"/>
    </row>
    <row r="749">
      <c r="A749" s="5"/>
      <c r="B749" s="8"/>
      <c r="C749" s="8"/>
      <c r="D749" s="8"/>
      <c r="E749" s="8"/>
      <c r="F749" s="8"/>
      <c r="G749" s="9"/>
      <c r="H749" s="8"/>
      <c r="I749" s="8"/>
      <c r="J749" s="8"/>
      <c r="K749" s="8"/>
      <c r="L749" s="8"/>
      <c r="M749" s="8"/>
    </row>
    <row r="750">
      <c r="A750" s="5"/>
      <c r="B750" s="8"/>
      <c r="C750" s="8"/>
      <c r="D750" s="8"/>
      <c r="E750" s="8"/>
      <c r="F750" s="8"/>
      <c r="G750" s="9"/>
      <c r="H750" s="8"/>
      <c r="I750" s="8"/>
      <c r="J750" s="8"/>
      <c r="K750" s="8"/>
      <c r="L750" s="8"/>
      <c r="M750" s="8"/>
    </row>
    <row r="751">
      <c r="A751" s="5"/>
      <c r="B751" s="8"/>
      <c r="C751" s="8"/>
      <c r="D751" s="8"/>
      <c r="E751" s="8"/>
      <c r="F751" s="8"/>
      <c r="G751" s="9"/>
      <c r="H751" s="8"/>
      <c r="I751" s="8"/>
      <c r="J751" s="8"/>
      <c r="K751" s="8"/>
      <c r="L751" s="8"/>
      <c r="M751" s="8"/>
    </row>
    <row r="752">
      <c r="A752" s="5"/>
      <c r="B752" s="8"/>
      <c r="C752" s="8"/>
      <c r="D752" s="8"/>
      <c r="E752" s="8"/>
      <c r="F752" s="8"/>
      <c r="G752" s="9"/>
      <c r="H752" s="8"/>
      <c r="I752" s="8"/>
      <c r="J752" s="8"/>
      <c r="K752" s="8"/>
      <c r="L752" s="8"/>
      <c r="M752" s="8"/>
    </row>
    <row r="753">
      <c r="A753" s="5"/>
      <c r="B753" s="8"/>
      <c r="C753" s="8"/>
      <c r="D753" s="8"/>
      <c r="E753" s="8"/>
      <c r="F753" s="8"/>
      <c r="G753" s="9"/>
      <c r="H753" s="8"/>
      <c r="I753" s="8"/>
      <c r="J753" s="8"/>
      <c r="K753" s="8"/>
      <c r="L753" s="8"/>
      <c r="M753" s="8"/>
    </row>
    <row r="754">
      <c r="A754" s="5"/>
      <c r="B754" s="8"/>
      <c r="C754" s="8"/>
      <c r="D754" s="8"/>
      <c r="E754" s="8"/>
      <c r="F754" s="8"/>
      <c r="G754" s="9"/>
      <c r="H754" s="8"/>
      <c r="I754" s="8"/>
      <c r="J754" s="8"/>
      <c r="K754" s="8"/>
      <c r="L754" s="8"/>
      <c r="M754" s="8"/>
    </row>
    <row r="755">
      <c r="A755" s="5"/>
      <c r="B755" s="8"/>
      <c r="C755" s="8"/>
      <c r="D755" s="8"/>
      <c r="E755" s="8"/>
      <c r="F755" s="8"/>
      <c r="G755" s="9"/>
      <c r="H755" s="8"/>
      <c r="I755" s="8"/>
      <c r="J755" s="8"/>
      <c r="K755" s="8"/>
      <c r="L755" s="8"/>
      <c r="M755" s="8"/>
    </row>
    <row r="756">
      <c r="A756" s="5"/>
      <c r="B756" s="8"/>
      <c r="C756" s="8"/>
      <c r="D756" s="8"/>
      <c r="E756" s="8"/>
      <c r="F756" s="8"/>
      <c r="G756" s="9"/>
      <c r="H756" s="8"/>
      <c r="I756" s="8"/>
      <c r="J756" s="8"/>
      <c r="K756" s="8"/>
      <c r="L756" s="8"/>
      <c r="M756" s="8"/>
    </row>
  </sheetData>
  <mergeCells count="1">
    <mergeCell ref="A1:C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6.13"/>
    <col customWidth="1" min="3" max="3" width="24.13"/>
    <col customWidth="1" min="4" max="4" width="30.0"/>
    <col customWidth="1" hidden="1" min="5" max="5" width="9.5"/>
    <col customWidth="1" min="6" max="6" width="12.25"/>
    <col customWidth="1" min="7" max="7" width="31.5"/>
  </cols>
  <sheetData>
    <row r="1">
      <c r="A1" s="12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idden="1">
      <c r="A2" s="12"/>
      <c r="B2" s="13" t="s">
        <v>7</v>
      </c>
      <c r="C2" s="14" t="s">
        <v>8</v>
      </c>
      <c r="D2" s="15"/>
      <c r="E2" s="16"/>
      <c r="F2" s="16"/>
      <c r="G2" s="17"/>
    </row>
    <row r="3" hidden="1">
      <c r="A3" s="12"/>
      <c r="B3" s="13" t="s">
        <v>9</v>
      </c>
      <c r="C3" s="14" t="s">
        <v>10</v>
      </c>
      <c r="D3" s="16"/>
      <c r="E3" s="16"/>
      <c r="F3" s="16"/>
      <c r="G3" s="17"/>
    </row>
    <row r="4" hidden="1">
      <c r="A4" s="12"/>
      <c r="B4" s="13" t="s">
        <v>11</v>
      </c>
      <c r="C4" s="14" t="s">
        <v>12</v>
      </c>
      <c r="D4" s="16"/>
      <c r="E4" s="16"/>
      <c r="F4" s="16"/>
      <c r="G4" s="17"/>
    </row>
    <row r="5">
      <c r="A5" s="18" t="str">
        <f t="array" ref="A5">IF(ISBLANK(B5),,HYPERLINK("https://docs.google.com/spreadsheets/d/1aZ_8do2w3aA382MhZyJKG5amXZ6fpthJYoLsdM9x0gU/edit?gid="&amp;XLOOKUP(B5,ID___!A:A,ID___!B:B,"")&amp;"#gid="&amp;XLOOKUP(B5,ID___!A:A,ID___!B:B,"")&amp;"&amp;range=A1:J1","Click"))</f>
        <v>Click</v>
      </c>
      <c r="B5" s="19" t="str">
        <f>IFERROR(__xludf.DUMMYFUNCTION("QUERY(
  IMPORTRANGE(Links!B8, ""Load!A5:T500""),
  ""SELECT Col19, Col12, Col15, Col16, Col17, Col13 
   WHERE Col4 &gt; 1 
   AND Col1 IS NOT NULL 
   ORDER BY Col20, Col19"",
  0
)"),"AAR")</f>
        <v>AAR</v>
      </c>
      <c r="C5" s="17" t="str">
        <f>IFERROR(__xludf.DUMMYFUNCTION("""COMPUTED_VALUE"""),"Mr. Annajiat Alim Rasel")</f>
        <v>Mr. Annajiat Alim Rasel</v>
      </c>
      <c r="D5" s="16" t="str">
        <f>IFERROR(__xludf.DUMMYFUNCTION("""COMPUTED_VALUE"""),"Senior Lecturer")</f>
        <v>Senior Lecturer</v>
      </c>
      <c r="E5" s="16" t="str">
        <f>IFERROR(__xludf.DUMMYFUNCTION("""COMPUTED_VALUE"""),"Full Time")</f>
        <v>Full Time</v>
      </c>
      <c r="F5" s="16" t="str">
        <f>IFERROR(__xludf.DUMMYFUNCTION("""COMPUTED_VALUE"""),"4G20")</f>
        <v>4G20</v>
      </c>
      <c r="G5" s="17" t="str">
        <f>IFERROR(__xludf.DUMMYFUNCTION("""COMPUTED_VALUE"""),"annajiat@bracu.ac.bd")</f>
        <v>annajiat@bracu.ac.bd</v>
      </c>
    </row>
    <row r="6">
      <c r="A6" s="18" t="str">
        <f t="array" ref="A6">IF(ISBLANK(B6),,HYPERLINK("https://docs.google.com/spreadsheets/d/1aZ_8do2w3aA382MhZyJKG5amXZ6fpthJYoLsdM9x0gU/edit?gid="&amp;XLOOKUP(B6,ID___!A:A,ID___!B:B,"")&amp;"#gid="&amp;XLOOKUP(B6,ID___!A:A,ID___!B:B,"")&amp;"&amp;range=A1:J1","Click"))</f>
        <v>Click</v>
      </c>
      <c r="B6" s="19" t="str">
        <f>IFERROR(__xludf.DUMMYFUNCTION("""COMPUTED_VALUE"""),"ACH")</f>
        <v>ACH</v>
      </c>
      <c r="C6" s="17" t="str">
        <f>IFERROR(__xludf.DUMMYFUNCTION("""COMPUTED_VALUE"""),"Dr. Amitabha Chakrabarty")</f>
        <v>Dr. Amitabha Chakrabarty</v>
      </c>
      <c r="D6" s="16" t="str">
        <f>IFERROR(__xludf.DUMMYFUNCTION("""COMPUTED_VALUE"""),"Professor")</f>
        <v>Professor</v>
      </c>
      <c r="E6" s="16" t="str">
        <f>IFERROR(__xludf.DUMMYFUNCTION("""COMPUTED_VALUE"""),"Full Time")</f>
        <v>Full Time</v>
      </c>
      <c r="F6" s="16" t="str">
        <f>IFERROR(__xludf.DUMMYFUNCTION("""COMPUTED_VALUE"""),"4G25")</f>
        <v>4G25</v>
      </c>
      <c r="G6" s="17" t="str">
        <f>IFERROR(__xludf.DUMMYFUNCTION("""COMPUTED_VALUE"""),"amitabha@bracu.ac.bd")</f>
        <v>amitabha@bracu.ac.bd</v>
      </c>
    </row>
    <row r="7">
      <c r="A7" s="18" t="str">
        <f t="array" ref="A7">IF(ISBLANK(B7),,HYPERLINK("https://docs.google.com/spreadsheets/d/1aZ_8do2w3aA382MhZyJKG5amXZ6fpthJYoLsdM9x0gU/edit?gid="&amp;XLOOKUP(B7,ID___!A:A,ID___!B:B,"")&amp;"#gid="&amp;XLOOKUP(B7,ID___!A:A,ID___!B:B,"")&amp;"&amp;range=A1:J1","Click"))</f>
        <v>Click</v>
      </c>
      <c r="B7" s="19" t="str">
        <f>IFERROR(__xludf.DUMMYFUNCTION("""COMPUTED_VALUE"""),"ADU")</f>
        <v>ADU</v>
      </c>
      <c r="C7" s="17" t="str">
        <f>IFERROR(__xludf.DUMMYFUNCTION("""COMPUTED_VALUE"""),"Mr. Ahmed Mahir Ruhan")</f>
        <v>Mr. Ahmed Mahir Ruhan</v>
      </c>
      <c r="D7" s="16" t="str">
        <f>IFERROR(__xludf.DUMMYFUNCTION("""COMPUTED_VALUE"""),"Lecturer")</f>
        <v>Lecturer</v>
      </c>
      <c r="E7" s="16" t="str">
        <f>IFERROR(__xludf.DUMMYFUNCTION("""COMPUTED_VALUE"""),"Full Time")</f>
        <v>Full Time</v>
      </c>
      <c r="F7" s="16" t="str">
        <f>IFERROR(__xludf.DUMMYFUNCTION("""COMPUTED_VALUE"""),"4L93")</f>
        <v>4L93</v>
      </c>
      <c r="G7" s="17" t="str">
        <f>IFERROR(__xludf.DUMMYFUNCTION("""COMPUTED_VALUE"""),"ahmed.ruhan@bracu.ac.bd")</f>
        <v>ahmed.ruhan@bracu.ac.bd</v>
      </c>
    </row>
    <row r="8">
      <c r="A8" s="18" t="str">
        <f t="array" ref="A8">IF(ISBLANK(B8),,HYPERLINK("https://docs.google.com/spreadsheets/d/1aZ_8do2w3aA382MhZyJKG5amXZ6fpthJYoLsdM9x0gU/edit?gid="&amp;XLOOKUP(B8,ID___!A:A,ID___!B:B,"")&amp;"#gid="&amp;XLOOKUP(B8,ID___!A:A,ID___!B:B,"")&amp;"&amp;range=A1:J1","Click"))</f>
        <v>Click</v>
      </c>
      <c r="B8" s="19" t="str">
        <f>IFERROR(__xludf.DUMMYFUNCTION("""COMPUTED_VALUE"""),"AFA")</f>
        <v>AFA</v>
      </c>
      <c r="C8" s="17" t="str">
        <f>IFERROR(__xludf.DUMMYFUNCTION("""COMPUTED_VALUE"""),"Afroza Akhter")</f>
        <v>Afroza Akhter</v>
      </c>
      <c r="D8" s="16" t="str">
        <f>IFERROR(__xludf.DUMMYFUNCTION("""COMPUTED_VALUE"""),"Lecturer")</f>
        <v>Lecturer</v>
      </c>
      <c r="E8" s="16" t="str">
        <f>IFERROR(__xludf.DUMMYFUNCTION("""COMPUTED_VALUE"""),"Full Time")</f>
        <v>Full Time</v>
      </c>
      <c r="F8" s="16" t="str">
        <f>IFERROR(__xludf.DUMMYFUNCTION("""COMPUTED_VALUE"""),"4K79")</f>
        <v>4K79</v>
      </c>
      <c r="G8" s="17" t="str">
        <f>IFERROR(__xludf.DUMMYFUNCTION("""COMPUTED_VALUE"""),"afroza.akther@bracu.ac.bd")</f>
        <v>afroza.akther@bracu.ac.bd</v>
      </c>
    </row>
    <row r="9">
      <c r="A9" s="18" t="str">
        <f t="array" ref="A9">IF(ISBLANK(B9),,HYPERLINK("https://docs.google.com/spreadsheets/d/1aZ_8do2w3aA382MhZyJKG5amXZ6fpthJYoLsdM9x0gU/edit?gid="&amp;XLOOKUP(B9,ID___!A:A,ID___!B:B,"")&amp;"#gid="&amp;XLOOKUP(B9,ID___!A:A,ID___!B:B,"")&amp;"&amp;range=A1:J1","Click"))</f>
        <v>Click</v>
      </c>
      <c r="B9" s="19" t="str">
        <f>IFERROR(__xludf.DUMMYFUNCTION("""COMPUTED_VALUE"""),"AFQ")</f>
        <v>AFQ</v>
      </c>
      <c r="C9" s="17" t="str">
        <f>IFERROR(__xludf.DUMMYFUNCTION("""COMPUTED_VALUE"""),"Mohammed Ashfaqul Haque")</f>
        <v>Mohammed Ashfaqul Haque</v>
      </c>
      <c r="D9" s="16" t="str">
        <f>IFERROR(__xludf.DUMMYFUNCTION("""COMPUTED_VALUE"""),"Lecturer")</f>
        <v>Lecturer</v>
      </c>
      <c r="E9" s="16" t="str">
        <f>IFERROR(__xludf.DUMMYFUNCTION("""COMPUTED_VALUE"""),"Full Time")</f>
        <v>Full Time</v>
      </c>
      <c r="F9" s="16" t="str">
        <f>IFERROR(__xludf.DUMMYFUNCTION("""COMPUTED_VALUE"""),"4N137")</f>
        <v>4N137</v>
      </c>
      <c r="G9" s="17" t="str">
        <f>IFERROR(__xludf.DUMMYFUNCTION("""COMPUTED_VALUE"""),"ashfaqul.haque@bracu.ac.bd")</f>
        <v>ashfaqul.haque@bracu.ac.bd</v>
      </c>
    </row>
    <row r="10">
      <c r="A10" s="18" t="str">
        <f t="array" ref="A10">IF(ISBLANK(B10),,HYPERLINK("https://docs.google.com/spreadsheets/d/1aZ_8do2w3aA382MhZyJKG5amXZ6fpthJYoLsdM9x0gU/edit?gid="&amp;XLOOKUP(B10,ID___!A:A,ID___!B:B,"")&amp;"#gid="&amp;XLOOKUP(B10,ID___!A:A,ID___!B:B,"")&amp;"&amp;range=A1:J1","Click"))</f>
        <v>Click</v>
      </c>
      <c r="B10" s="19" t="str">
        <f>IFERROR(__xludf.DUMMYFUNCTION("""COMPUTED_VALUE"""),"AIB")</f>
        <v>AIB</v>
      </c>
      <c r="C10" s="17" t="str">
        <f>IFERROR(__xludf.DUMMYFUNCTION("""COMPUTED_VALUE"""),"Mr. Md. Abu Ibrahim")</f>
        <v>Mr. Md. Abu Ibrahim</v>
      </c>
      <c r="D10" s="16" t="str">
        <f>IFERROR(__xludf.DUMMYFUNCTION("""COMPUTED_VALUE"""),"Lecturer")</f>
        <v>Lecturer</v>
      </c>
      <c r="E10" s="16" t="str">
        <f>IFERROR(__xludf.DUMMYFUNCTION("""COMPUTED_VALUE"""),"Full Time")</f>
        <v>Full Time</v>
      </c>
      <c r="F10" s="16" t="str">
        <f>IFERROR(__xludf.DUMMYFUNCTION("""COMPUTED_VALUE"""),"4J59")</f>
        <v>4J59</v>
      </c>
      <c r="G10" s="17" t="str">
        <f>IFERROR(__xludf.DUMMYFUNCTION("""COMPUTED_VALUE"""),"abu.ibrahim@bracu.ac.bd")</f>
        <v>abu.ibrahim@bracu.ac.bd</v>
      </c>
    </row>
    <row r="11">
      <c r="A11" s="18" t="str">
        <f t="array" ref="A11">IF(ISBLANK(B11),,HYPERLINK("https://docs.google.com/spreadsheets/d/1aZ_8do2w3aA382MhZyJKG5amXZ6fpthJYoLsdM9x0gU/edit?gid="&amp;XLOOKUP(B11,ID___!A:A,ID___!B:B,"")&amp;"#gid="&amp;XLOOKUP(B11,ID___!A:A,ID___!B:B,"")&amp;"&amp;range=A1:J1","Click"))</f>
        <v>Click</v>
      </c>
      <c r="B11" s="19" t="str">
        <f>IFERROR(__xludf.DUMMYFUNCTION("""COMPUTED_VALUE"""),"AJA")</f>
        <v>AJA</v>
      </c>
      <c r="C11" s="17" t="str">
        <f>IFERROR(__xludf.DUMMYFUNCTION("""COMPUTED_VALUE"""),"Mr. Abid Jahan Apon")</f>
        <v>Mr. Abid Jahan Apon</v>
      </c>
      <c r="D11" s="16" t="str">
        <f>IFERROR(__xludf.DUMMYFUNCTION("""COMPUTED_VALUE"""),"Lecturer")</f>
        <v>Lecturer</v>
      </c>
      <c r="E11" s="16" t="str">
        <f>IFERROR(__xludf.DUMMYFUNCTION("""COMPUTED_VALUE"""),"Full Time")</f>
        <v>Full Time</v>
      </c>
      <c r="F11" s="12" t="str">
        <f>IFERROR(__xludf.DUMMYFUNCTION("""COMPUTED_VALUE"""),"4M116")</f>
        <v>4M116</v>
      </c>
      <c r="G11" s="17" t="str">
        <f>IFERROR(__xludf.DUMMYFUNCTION("""COMPUTED_VALUE"""),"abid.jahan@bracu.ac.bd")</f>
        <v>abid.jahan@bracu.ac.bd</v>
      </c>
    </row>
    <row r="12">
      <c r="A12" s="18" t="str">
        <f t="array" ref="A12">IF(ISBLANK(B12),,HYPERLINK("https://docs.google.com/spreadsheets/d/1aZ_8do2w3aA382MhZyJKG5amXZ6fpthJYoLsdM9x0gU/edit?gid="&amp;XLOOKUP(B12,ID___!A:A,ID___!B:B,"")&amp;"#gid="&amp;XLOOKUP(B12,ID___!A:A,ID___!B:B,"")&amp;"&amp;range=A1:J1","Click"))</f>
        <v>Click</v>
      </c>
      <c r="B12" s="19" t="str">
        <f>IFERROR(__xludf.DUMMYFUNCTION("""COMPUTED_VALUE"""),"AKJ")</f>
        <v>AKJ</v>
      </c>
      <c r="C12" s="17" t="str">
        <f>IFERROR(__xludf.DUMMYFUNCTION("""COMPUTED_VALUE"""),"Akib Anjum")</f>
        <v>Akib Anjum</v>
      </c>
      <c r="D12" s="16" t="str">
        <f>IFERROR(__xludf.DUMMYFUNCTION("""COMPUTED_VALUE"""),"Lecturer")</f>
        <v>Lecturer</v>
      </c>
      <c r="E12" s="16" t="str">
        <f>IFERROR(__xludf.DUMMYFUNCTION("""COMPUTED_VALUE"""),"Full Time")</f>
        <v>Full Time</v>
      </c>
      <c r="F12" s="16" t="str">
        <f>IFERROR(__xludf.DUMMYFUNCTION("""COMPUTED_VALUE"""),"4N161")</f>
        <v>4N161</v>
      </c>
      <c r="G12" s="17" t="str">
        <f>IFERROR(__xludf.DUMMYFUNCTION("""COMPUTED_VALUE"""),"anjum.akib@bracu.ac.bd")</f>
        <v>anjum.akib@bracu.ac.bd</v>
      </c>
    </row>
    <row r="13">
      <c r="A13" s="18" t="str">
        <f t="array" ref="A13">IF(ISBLANK(B13),,HYPERLINK("https://docs.google.com/spreadsheets/d/1aZ_8do2w3aA382MhZyJKG5amXZ6fpthJYoLsdM9x0gU/edit?gid="&amp;XLOOKUP(B13,ID___!A:A,ID___!B:B,"")&amp;"#gid="&amp;XLOOKUP(B13,ID___!A:A,ID___!B:B,"")&amp;"&amp;range=A1:J1","Click"))</f>
        <v>Click</v>
      </c>
      <c r="B13" s="19" t="str">
        <f>IFERROR(__xludf.DUMMYFUNCTION("""COMPUTED_VALUE"""),"AKTD")</f>
        <v>AKTD</v>
      </c>
      <c r="C13" s="17" t="str">
        <f>IFERROR(__xludf.DUMMYFUNCTION("""COMPUTED_VALUE"""),"Md. Akhtaruzaman Adnan")</f>
        <v>Md. Akhtaruzaman Adnan</v>
      </c>
      <c r="D13" s="16" t="str">
        <f>IFERROR(__xludf.DUMMYFUNCTION("""COMPUTED_VALUE"""),"Senior Lecturer")</f>
        <v>Senior Lecturer</v>
      </c>
      <c r="E13" s="16" t="str">
        <f>IFERROR(__xludf.DUMMYFUNCTION("""COMPUTED_VALUE"""),"Full Time")</f>
        <v>Full Time</v>
      </c>
      <c r="F13" s="16" t="str">
        <f>IFERROR(__xludf.DUMMYFUNCTION("""COMPUTED_VALUE"""),"4G16")</f>
        <v>4G16</v>
      </c>
      <c r="G13" s="17" t="str">
        <f>IFERROR(__xludf.DUMMYFUNCTION("""COMPUTED_VALUE"""),"akhtaruzzaman.adnan@bracu.ac.bd")</f>
        <v>akhtaruzzaman.adnan@bracu.ac.bd</v>
      </c>
    </row>
    <row r="14">
      <c r="A14" s="18" t="str">
        <f t="array" ref="A14">IF(ISBLANK(B14),,HYPERLINK("https://docs.google.com/spreadsheets/d/1aZ_8do2w3aA382MhZyJKG5amXZ6fpthJYoLsdM9x0gU/edit?gid="&amp;XLOOKUP(B14,ID___!A:A,ID___!B:B,"")&amp;"#gid="&amp;XLOOKUP(B14,ID___!A:A,ID___!B:B,"")&amp;"&amp;range=A1:J1","Click"))</f>
        <v>Click</v>
      </c>
      <c r="B14" s="19" t="str">
        <f>IFERROR(__xludf.DUMMYFUNCTION("""COMPUTED_VALUE"""),"ALB")</f>
        <v>ALB</v>
      </c>
      <c r="C14" s="17" t="str">
        <f>IFERROR(__xludf.DUMMYFUNCTION("""COMPUTED_VALUE"""),"Anindita Labonno")</f>
        <v>Anindita Labonno</v>
      </c>
      <c r="D14" s="16" t="str">
        <f>IFERROR(__xludf.DUMMYFUNCTION("""COMPUTED_VALUE"""),"Lecturer")</f>
        <v>Lecturer</v>
      </c>
      <c r="E14" s="16" t="str">
        <f>IFERROR(__xludf.DUMMYFUNCTION("""COMPUTED_VALUE"""),"Full Time")</f>
        <v>Full Time</v>
      </c>
      <c r="F14" s="16" t="str">
        <f>IFERROR(__xludf.DUMMYFUNCTION("""COMPUTED_VALUE"""),"4L88")</f>
        <v>4L88</v>
      </c>
      <c r="G14" s="17" t="str">
        <f>IFERROR(__xludf.DUMMYFUNCTION("""COMPUTED_VALUE"""),"anindita.labonno@bracu.ac.bd")</f>
        <v>anindita.labonno@bracu.ac.bd</v>
      </c>
    </row>
    <row r="15">
      <c r="A15" s="18" t="str">
        <f t="array" ref="A15">IF(ISBLANK(B15),,HYPERLINK("https://docs.google.com/spreadsheets/d/1aZ_8do2w3aA382MhZyJKG5amXZ6fpthJYoLsdM9x0gU/edit?gid="&amp;XLOOKUP(B15,ID___!A:A,ID___!B:B,"")&amp;"#gid="&amp;XLOOKUP(B15,ID___!A:A,ID___!B:B,"")&amp;"&amp;range=A1:J1","Click"))</f>
        <v>Click</v>
      </c>
      <c r="B15" s="19" t="str">
        <f>IFERROR(__xludf.DUMMYFUNCTION("""COMPUTED_VALUE"""),"AMK")</f>
        <v>AMK</v>
      </c>
      <c r="C15" s="17" t="str">
        <f>IFERROR(__xludf.DUMMYFUNCTION("""COMPUTED_VALUE"""),"Dr. Abu Mohammad Khan")</f>
        <v>Dr. Abu Mohammad Khan</v>
      </c>
      <c r="D15" s="16" t="str">
        <f>IFERROR(__xludf.DUMMYFUNCTION("""COMPUTED_VALUE"""),"Associate Professor")</f>
        <v>Associate Professor</v>
      </c>
      <c r="E15" s="16" t="str">
        <f>IFERROR(__xludf.DUMMYFUNCTION("""COMPUTED_VALUE"""),"Full Time")</f>
        <v>Full Time</v>
      </c>
      <c r="F15" s="16" t="str">
        <f>IFERROR(__xludf.DUMMYFUNCTION("""COMPUTED_VALUE"""),"4G26")</f>
        <v>4G26</v>
      </c>
      <c r="G15" s="20" t="str">
        <f>IFERROR(__xludf.DUMMYFUNCTION("""COMPUTED_VALUE"""),"abu.khan@bracu.ac.bd")</f>
        <v>abu.khan@bracu.ac.bd</v>
      </c>
    </row>
    <row r="16">
      <c r="A16" s="18" t="str">
        <f t="array" ref="A16">IF(ISBLANK(B16),,HYPERLINK("https://docs.google.com/spreadsheets/d/1aZ_8do2w3aA382MhZyJKG5amXZ6fpthJYoLsdM9x0gU/edit?gid="&amp;XLOOKUP(B16,ID___!A:A,ID___!B:B,"")&amp;"#gid="&amp;XLOOKUP(B16,ID___!A:A,ID___!B:B,"")&amp;"&amp;range=A1:J1","Click"))</f>
        <v>Click</v>
      </c>
      <c r="B16" s="19" t="str">
        <f>IFERROR(__xludf.DUMMYFUNCTION("""COMPUTED_VALUE"""),"ANK")</f>
        <v>ANK</v>
      </c>
      <c r="C16" s="17" t="str">
        <f>IFERROR(__xludf.DUMMYFUNCTION("""COMPUTED_VALUE"""),"Mr. Abdullah Al Nakib")</f>
        <v>Mr. Abdullah Al Nakib</v>
      </c>
      <c r="D16" s="16" t="str">
        <f>IFERROR(__xludf.DUMMYFUNCTION("""COMPUTED_VALUE"""),"Lecturer")</f>
        <v>Lecturer</v>
      </c>
      <c r="E16" s="16" t="str">
        <f>IFERROR(__xludf.DUMMYFUNCTION("""COMPUTED_VALUE"""),"Full Time")</f>
        <v>Full Time</v>
      </c>
      <c r="F16" s="16" t="str">
        <f>IFERROR(__xludf.DUMMYFUNCTION("""COMPUTED_VALUE"""),"4J58")</f>
        <v>4J58</v>
      </c>
      <c r="G16" s="17" t="str">
        <f>IFERROR(__xludf.DUMMYFUNCTION("""COMPUTED_VALUE"""),"abdullah.alnakib@bracu.ac.bd")</f>
        <v>abdullah.alnakib@bracu.ac.bd</v>
      </c>
    </row>
    <row r="17">
      <c r="A17" s="18" t="str">
        <f t="array" ref="A17">IF(ISBLANK(B17),,HYPERLINK("https://docs.google.com/spreadsheets/d/1aZ_8do2w3aA382MhZyJKG5amXZ6fpthJYoLsdM9x0gU/edit?gid="&amp;XLOOKUP(B17,ID___!A:A,ID___!B:B,"")&amp;"#gid="&amp;XLOOKUP(B17,ID___!A:A,ID___!B:B,"")&amp;"&amp;range=A1:J1","Click"))</f>
        <v>Click</v>
      </c>
      <c r="B17" s="19" t="str">
        <f>IFERROR(__xludf.DUMMYFUNCTION("""COMPUTED_VALUE"""),"ANKH")</f>
        <v>ANKH</v>
      </c>
      <c r="C17" s="17" t="str">
        <f>IFERROR(__xludf.DUMMYFUNCTION("""COMPUTED_VALUE"""),"Anika Ahmed")</f>
        <v>Anika Ahmed</v>
      </c>
      <c r="D17" s="16" t="str">
        <f>IFERROR(__xludf.DUMMYFUNCTION("""COMPUTED_VALUE"""),"Lecturer")</f>
        <v>Lecturer</v>
      </c>
      <c r="E17" s="16" t="str">
        <f>IFERROR(__xludf.DUMMYFUNCTION("""COMPUTED_VALUE"""),"Full Time")</f>
        <v>Full Time</v>
      </c>
      <c r="F17" s="16" t="str">
        <f>IFERROR(__xludf.DUMMYFUNCTION("""COMPUTED_VALUE"""),"4K72")</f>
        <v>4K72</v>
      </c>
      <c r="G17" s="17" t="str">
        <f>IFERROR(__xludf.DUMMYFUNCTION("""COMPUTED_VALUE"""),"anika.ahmed@bracu.ac.bd")</f>
        <v>anika.ahmed@bracu.ac.bd</v>
      </c>
    </row>
    <row r="18">
      <c r="A18" s="18" t="str">
        <f t="array" ref="A18">IF(ISBLANK(B18),,HYPERLINK("https://docs.google.com/spreadsheets/d/1aZ_8do2w3aA382MhZyJKG5amXZ6fpthJYoLsdM9x0gU/edit?gid="&amp;XLOOKUP(B18,ID___!A:A,ID___!B:B,"")&amp;"#gid="&amp;XLOOKUP(B18,ID___!A:A,ID___!B:B,"")&amp;"&amp;range=A1:J1","Click"))</f>
        <v>Click</v>
      </c>
      <c r="B18" s="19" t="str">
        <f>IFERROR(__xludf.DUMMYFUNCTION("""COMPUTED_VALUE"""),"ANWE")</f>
        <v>ANWE</v>
      </c>
      <c r="C18" s="17" t="str">
        <f>IFERROR(__xludf.DUMMYFUNCTION("""COMPUTED_VALUE"""),"Abdullah Nayem Wasi Emran")</f>
        <v>Abdullah Nayem Wasi Emran</v>
      </c>
      <c r="D18" s="16" t="str">
        <f>IFERROR(__xludf.DUMMYFUNCTION("""COMPUTED_VALUE"""),"Lecturer")</f>
        <v>Lecturer</v>
      </c>
      <c r="E18" s="16" t="str">
        <f>IFERROR(__xludf.DUMMYFUNCTION("""COMPUTED_VALUE"""),"Full Time")</f>
        <v>Full Time</v>
      </c>
      <c r="F18" s="16" t="str">
        <f>IFERROR(__xludf.DUMMYFUNCTION("""COMPUTED_VALUE"""),"4N146")</f>
        <v>4N146</v>
      </c>
      <c r="G18" s="17" t="str">
        <f>IFERROR(__xludf.DUMMYFUNCTION("""COMPUTED_VALUE"""),"abdullah.nayem@bracu.ac.bd")</f>
        <v>abdullah.nayem@bracu.ac.bd</v>
      </c>
    </row>
    <row r="19">
      <c r="A19" s="18" t="str">
        <f t="array" ref="A19">IF(ISBLANK(B19),,HYPERLINK("https://docs.google.com/spreadsheets/d/1aZ_8do2w3aA382MhZyJKG5amXZ6fpthJYoLsdM9x0gU/edit?gid="&amp;XLOOKUP(B19,ID___!A:A,ID___!B:B,"")&amp;"#gid="&amp;XLOOKUP(B19,ID___!A:A,ID___!B:B,"")&amp;"&amp;range=A1:J1","Click"))</f>
        <v>Click</v>
      </c>
      <c r="B19" s="19" t="str">
        <f>IFERROR(__xludf.DUMMYFUNCTION("""COMPUTED_VALUE"""),"AQT")</f>
        <v>AQT</v>
      </c>
      <c r="C19" s="17" t="str">
        <f>IFERROR(__xludf.DUMMYFUNCTION("""COMPUTED_VALUE"""),"Aniqa Tabassum")</f>
        <v>Aniqa Tabassum</v>
      </c>
      <c r="D19" s="16" t="str">
        <f>IFERROR(__xludf.DUMMYFUNCTION("""COMPUTED_VALUE"""),"Lecturer")</f>
        <v>Lecturer</v>
      </c>
      <c r="E19" s="16" t="str">
        <f>IFERROR(__xludf.DUMMYFUNCTION("""COMPUTED_VALUE"""),"Full Time")</f>
        <v>Full Time</v>
      </c>
      <c r="F19" s="16" t="str">
        <f>IFERROR(__xludf.DUMMYFUNCTION("""COMPUTED_VALUE"""),"4N150")</f>
        <v>4N150</v>
      </c>
      <c r="G19" s="17" t="str">
        <f>IFERROR(__xludf.DUMMYFUNCTION("""COMPUTED_VALUE"""),"aniqa.tabassum@bracu.ac.bd")</f>
        <v>aniqa.tabassum@bracu.ac.bd</v>
      </c>
    </row>
    <row r="20">
      <c r="A20" s="18" t="str">
        <f t="array" ref="A20">IF(ISBLANK(B20),,HYPERLINK("https://docs.google.com/spreadsheets/d/1aZ_8do2w3aA382MhZyJKG5amXZ6fpthJYoLsdM9x0gU/edit?gid="&amp;XLOOKUP(B20,ID___!A:A,ID___!B:B,"")&amp;"#gid="&amp;XLOOKUP(B20,ID___!A:A,ID___!B:B,"")&amp;"&amp;range=A1:J1","Click"))</f>
        <v>Click</v>
      </c>
      <c r="B20" s="19" t="str">
        <f>IFERROR(__xludf.DUMMYFUNCTION("""COMPUTED_VALUE"""),"AQU")</f>
        <v>AQU</v>
      </c>
      <c r="C20" s="17" t="str">
        <f>IFERROR(__xludf.DUMMYFUNCTION("""COMPUTED_VALUE"""),"Mr. Md. Aquib Azmain")</f>
        <v>Mr. Md. Aquib Azmain</v>
      </c>
      <c r="D20" s="16" t="str">
        <f>IFERROR(__xludf.DUMMYFUNCTION("""COMPUTED_VALUE"""),"Senior Lecturer")</f>
        <v>Senior Lecturer</v>
      </c>
      <c r="E20" s="16" t="str">
        <f>IFERROR(__xludf.DUMMYFUNCTION("""COMPUTED_VALUE"""),"Full Time")</f>
        <v>Full Time</v>
      </c>
      <c r="F20" s="16" t="str">
        <f>IFERROR(__xludf.DUMMYFUNCTION("""COMPUTED_VALUE"""),"4M104")</f>
        <v>4M104</v>
      </c>
      <c r="G20" s="17" t="str">
        <f>IFERROR(__xludf.DUMMYFUNCTION("""COMPUTED_VALUE"""),"aquib.azmain@bracu.ac.bd")</f>
        <v>aquib.azmain@bracu.ac.bd</v>
      </c>
    </row>
    <row r="21">
      <c r="A21" s="18" t="str">
        <f t="array" ref="A21">IF(ISBLANK(B21),,HYPERLINK("https://docs.google.com/spreadsheets/d/1aZ_8do2w3aA382MhZyJKG5amXZ6fpthJYoLsdM9x0gU/edit?gid="&amp;XLOOKUP(B21,ID___!A:A,ID___!B:B,"")&amp;"#gid="&amp;XLOOKUP(B21,ID___!A:A,ID___!B:B,"")&amp;"&amp;range=A1:J1","Click"))</f>
        <v>Click</v>
      </c>
      <c r="B21" s="19" t="str">
        <f>IFERROR(__xludf.DUMMYFUNCTION("""COMPUTED_VALUE"""),"ARD")</f>
        <v>ARD</v>
      </c>
      <c r="C21" s="17" t="str">
        <f>IFERROR(__xludf.DUMMYFUNCTION("""COMPUTED_VALUE"""),"Mr. Ayman Rasheed")</f>
        <v>Mr. Ayman Rasheed</v>
      </c>
      <c r="D21" s="16" t="str">
        <f>IFERROR(__xludf.DUMMYFUNCTION("""COMPUTED_VALUE"""),"Lecturer")</f>
        <v>Lecturer</v>
      </c>
      <c r="E21" s="16" t="str">
        <f>IFERROR(__xludf.DUMMYFUNCTION("""COMPUTED_VALUE"""),"Full Time")</f>
        <v>Full Time</v>
      </c>
      <c r="F21" s="16" t="str">
        <f>IFERROR(__xludf.DUMMYFUNCTION("""COMPUTED_VALUE"""),"4M129")</f>
        <v>4M129</v>
      </c>
      <c r="G21" s="17" t="str">
        <f>IFERROR(__xludf.DUMMYFUNCTION("""COMPUTED_VALUE"""),"ayman.rasheed@bracu.ac.bd")</f>
        <v>ayman.rasheed@bracu.ac.bd</v>
      </c>
    </row>
    <row r="22">
      <c r="A22" s="18" t="str">
        <f t="array" ref="A22">IF(ISBLANK(B22),,HYPERLINK("https://docs.google.com/spreadsheets/d/1aZ_8do2w3aA382MhZyJKG5amXZ6fpthJYoLsdM9x0gU/edit?gid="&amp;XLOOKUP(B22,ID___!A:A,ID___!B:B,"")&amp;"#gid="&amp;XLOOKUP(B22,ID___!A:A,ID___!B:B,"")&amp;"&amp;range=A1:J1","Click"))</f>
        <v>Click</v>
      </c>
      <c r="B22" s="19" t="str">
        <f>IFERROR(__xludf.DUMMYFUNCTION("""COMPUTED_VALUE"""),"ARF")</f>
        <v>ARF</v>
      </c>
      <c r="C22" s="17" t="str">
        <f>IFERROR(__xludf.DUMMYFUNCTION("""COMPUTED_VALUE"""),"Mr. Arif Shakil")</f>
        <v>Mr. Arif Shakil</v>
      </c>
      <c r="D22" s="16" t="str">
        <f>IFERROR(__xludf.DUMMYFUNCTION("""COMPUTED_VALUE"""),"Senior Lecturer")</f>
        <v>Senior Lecturer</v>
      </c>
      <c r="E22" s="16" t="str">
        <f>IFERROR(__xludf.DUMMYFUNCTION("""COMPUTED_VALUE"""),"Full Time")</f>
        <v>Full Time</v>
      </c>
      <c r="F22" s="16" t="str">
        <f>IFERROR(__xludf.DUMMYFUNCTION("""COMPUTED_VALUE"""),"4G03")</f>
        <v>4G03</v>
      </c>
      <c r="G22" s="17" t="str">
        <f>IFERROR(__xludf.DUMMYFUNCTION("""COMPUTED_VALUE"""),"arif.shakil@bracu.ac.bd")</f>
        <v>arif.shakil@bracu.ac.bd</v>
      </c>
    </row>
    <row r="23">
      <c r="A23" s="18" t="str">
        <f t="array" ref="A23">IF(ISBLANK(B23),,HYPERLINK("https://docs.google.com/spreadsheets/d/1aZ_8do2w3aA382MhZyJKG5amXZ6fpthJYoLsdM9x0gU/edit?gid="&amp;XLOOKUP(B23,ID___!A:A,ID___!B:B,"")&amp;"#gid="&amp;XLOOKUP(B23,ID___!A:A,ID___!B:B,"")&amp;"&amp;range=A1:J1","Click"))</f>
        <v>Click</v>
      </c>
      <c r="B23" s="19" t="str">
        <f>IFERROR(__xludf.DUMMYFUNCTION("""COMPUTED_VALUE"""),"ART")</f>
        <v>ART</v>
      </c>
      <c r="C23" s="17" t="str">
        <f>IFERROR(__xludf.DUMMYFUNCTION("""COMPUTED_VALUE"""),"Atanu Roy")</f>
        <v>Atanu Roy</v>
      </c>
      <c r="D23" s="16" t="str">
        <f>IFERROR(__xludf.DUMMYFUNCTION("""COMPUTED_VALUE"""),"Lecturer")</f>
        <v>Lecturer</v>
      </c>
      <c r="E23" s="16" t="str">
        <f>IFERROR(__xludf.DUMMYFUNCTION("""COMPUTED_VALUE"""),"Full Time")</f>
        <v>Full Time</v>
      </c>
      <c r="F23" s="16" t="str">
        <f>IFERROR(__xludf.DUMMYFUNCTION("""COMPUTED_VALUE"""),"4M126")</f>
        <v>4M126</v>
      </c>
      <c r="G23" s="17" t="str">
        <f>IFERROR(__xludf.DUMMYFUNCTION("""COMPUTED_VALUE"""),"atanu.roy@bracu.ac.bd")</f>
        <v>atanu.roy@bracu.ac.bd</v>
      </c>
    </row>
    <row r="24">
      <c r="A24" s="18" t="str">
        <f t="array" ref="A24">IF(ISBLANK(B24),,HYPERLINK("https://docs.google.com/spreadsheets/d/1aZ_8do2w3aA382MhZyJKG5amXZ6fpthJYoLsdM9x0gU/edit?gid="&amp;XLOOKUP(B24,ID___!A:A,ID___!B:B,"")&amp;"#gid="&amp;XLOOKUP(B24,ID___!A:A,ID___!B:B,"")&amp;"&amp;range=A1:J1","Click"))</f>
        <v>Click</v>
      </c>
      <c r="B24" s="19" t="str">
        <f>IFERROR(__xludf.DUMMYFUNCTION("""COMPUTED_VALUE"""),"ASA")</f>
        <v>ASA</v>
      </c>
      <c r="C24" s="17" t="str">
        <f>IFERROR(__xludf.DUMMYFUNCTION("""COMPUTED_VALUE"""),"Dr. Md. Ashraful Alam")</f>
        <v>Dr. Md. Ashraful Alam</v>
      </c>
      <c r="D24" s="16" t="str">
        <f>IFERROR(__xludf.DUMMYFUNCTION("""COMPUTED_VALUE"""),"Associate Professor")</f>
        <v>Associate Professor</v>
      </c>
      <c r="E24" s="16" t="str">
        <f>IFERROR(__xludf.DUMMYFUNCTION("""COMPUTED_VALUE"""),"Full Time")</f>
        <v>Full Time</v>
      </c>
      <c r="F24" s="16" t="str">
        <f>IFERROR(__xludf.DUMMYFUNCTION("""COMPUTED_VALUE"""),"4G24")</f>
        <v>4G24</v>
      </c>
      <c r="G24" s="17" t="str">
        <f>IFERROR(__xludf.DUMMYFUNCTION("""COMPUTED_VALUE"""),"ashraful.alam@bracu.ac.bd")</f>
        <v>ashraful.alam@bracu.ac.bd</v>
      </c>
    </row>
    <row r="25">
      <c r="A25" s="18" t="str">
        <f t="array" ref="A25">IF(ISBLANK(B25),,HYPERLINK("https://docs.google.com/spreadsheets/d/1aZ_8do2w3aA382MhZyJKG5amXZ6fpthJYoLsdM9x0gU/edit?gid="&amp;XLOOKUP(B25,ID___!A:A,ID___!B:B,"")&amp;"#gid="&amp;XLOOKUP(B25,ID___!A:A,ID___!B:B,"")&amp;"&amp;range=A1:J1","Click"))</f>
        <v>Click</v>
      </c>
      <c r="B25" s="19" t="str">
        <f>IFERROR(__xludf.DUMMYFUNCTION("""COMPUTED_VALUE"""),"ASAK")</f>
        <v>ASAK</v>
      </c>
      <c r="C25" s="17" t="str">
        <f>IFERROR(__xludf.DUMMYFUNCTION("""COMPUTED_VALUE"""),"Arnob Saha Ankon")</f>
        <v>Arnob Saha Ankon</v>
      </c>
      <c r="D25" s="16" t="str">
        <f>IFERROR(__xludf.DUMMYFUNCTION("""COMPUTED_VALUE"""),"Lecturer")</f>
        <v>Lecturer</v>
      </c>
      <c r="E25" s="16" t="str">
        <f>IFERROR(__xludf.DUMMYFUNCTION("""COMPUTED_VALUE"""),"Full Time")</f>
        <v>Full Time</v>
      </c>
      <c r="F25" s="16" t="str">
        <f>IFERROR(__xludf.DUMMYFUNCTION("""COMPUTED_VALUE"""),"4M102")</f>
        <v>4M102</v>
      </c>
      <c r="G25" s="17" t="str">
        <f>IFERROR(__xludf.DUMMYFUNCTION("""COMPUTED_VALUE"""),"arnob.ankon@bracu.ac.bd")</f>
        <v>arnob.ankon@bracu.ac.bd</v>
      </c>
    </row>
    <row r="26">
      <c r="A26" s="18" t="str">
        <f t="array" ref="A26">IF(ISBLANK(B26),,HYPERLINK("https://docs.google.com/spreadsheets/d/1aZ_8do2w3aA382MhZyJKG5amXZ6fpthJYoLsdM9x0gU/edit?gid="&amp;XLOOKUP(B26,ID___!A:A,ID___!B:B,"")&amp;"#gid="&amp;XLOOKUP(B26,ID___!A:A,ID___!B:B,"")&amp;"&amp;range=A1:J1","Click"))</f>
        <v>Click</v>
      </c>
      <c r="B26" s="19" t="str">
        <f>IFERROR(__xludf.DUMMYFUNCTION("""COMPUTED_VALUE"""),"ASRF")</f>
        <v>ASRF</v>
      </c>
      <c r="C26" s="17" t="str">
        <f>IFERROR(__xludf.DUMMYFUNCTION("""COMPUTED_VALUE"""),"Ashraful Islam Shanto Sikder")</f>
        <v>Ashraful Islam Shanto Sikder</v>
      </c>
      <c r="D26" s="16" t="str">
        <f>IFERROR(__xludf.DUMMYFUNCTION("""COMPUTED_VALUE"""),"Lecturer")</f>
        <v>Lecturer</v>
      </c>
      <c r="E26" s="16" t="str">
        <f>IFERROR(__xludf.DUMMYFUNCTION("""COMPUTED_VALUE"""),"Full Time")</f>
        <v>Full Time</v>
      </c>
      <c r="F26" s="16" t="str">
        <f>IFERROR(__xludf.DUMMYFUNCTION("""COMPUTED_VALUE"""),"4P173")</f>
        <v>4P173</v>
      </c>
      <c r="G26" s="17" t="str">
        <f>IFERROR(__xludf.DUMMYFUNCTION("""COMPUTED_VALUE"""),"ashraful.islam@bracu.ac.bd")</f>
        <v>ashraful.islam@bracu.ac.bd</v>
      </c>
    </row>
    <row r="27">
      <c r="A27" s="18" t="str">
        <f t="array" ref="A27">IF(ISBLANK(B27),,HYPERLINK("https://docs.google.com/spreadsheets/d/1aZ_8do2w3aA382MhZyJKG5amXZ6fpthJYoLsdM9x0gU/edit?gid="&amp;XLOOKUP(B27,ID___!A:A,ID___!B:B,"")&amp;"#gid="&amp;XLOOKUP(B27,ID___!A:A,ID___!B:B,"")&amp;"&amp;range=A1:J1","Click"))</f>
        <v>Click</v>
      </c>
      <c r="B27" s="19" t="str">
        <f>IFERROR(__xludf.DUMMYFUNCTION("""COMPUTED_VALUE"""),"ATY")</f>
        <v>ATY</v>
      </c>
      <c r="C27" s="17" t="str">
        <f>IFERROR(__xludf.DUMMYFUNCTION("""COMPUTED_VALUE"""),"Ateya Ahmed Subarna")</f>
        <v>Ateya Ahmed Subarna</v>
      </c>
      <c r="D27" s="16" t="str">
        <f>IFERROR(__xludf.DUMMYFUNCTION("""COMPUTED_VALUE"""),"Lecturer")</f>
        <v>Lecturer</v>
      </c>
      <c r="E27" s="16" t="str">
        <f>IFERROR(__xludf.DUMMYFUNCTION("""COMPUTED_VALUE"""),"Full Time")</f>
        <v>Full Time</v>
      </c>
      <c r="F27" s="16" t="str">
        <f>IFERROR(__xludf.DUMMYFUNCTION("""COMPUTED_VALUE"""),"4K77")</f>
        <v>4K77</v>
      </c>
      <c r="G27" s="17" t="str">
        <f>IFERROR(__xludf.DUMMYFUNCTION("""COMPUTED_VALUE"""),"ateya.ahmed@bracu.ac.bd")</f>
        <v>ateya.ahmed@bracu.ac.bd</v>
      </c>
    </row>
    <row r="28">
      <c r="A28" s="18" t="str">
        <f t="array" ref="A28">IF(ISBLANK(B28),,HYPERLINK("https://docs.google.com/spreadsheets/d/1aZ_8do2w3aA382MhZyJKG5amXZ6fpthJYoLsdM9x0gU/edit?gid="&amp;XLOOKUP(B28,ID___!A:A,ID___!B:B,"")&amp;"#gid="&amp;XLOOKUP(B28,ID___!A:A,ID___!B:B,"")&amp;"&amp;range=A1:J1","Click"))</f>
        <v>Click</v>
      </c>
      <c r="B28" s="19" t="str">
        <f>IFERROR(__xludf.DUMMYFUNCTION("""COMPUTED_VALUE"""),"AVB")</f>
        <v>AVB</v>
      </c>
      <c r="C28" s="17" t="str">
        <f>IFERROR(__xludf.DUMMYFUNCTION("""COMPUTED_VALUE"""),"Mr. Avinandan Banerjee")</f>
        <v>Mr. Avinandan Banerjee</v>
      </c>
      <c r="D28" s="16" t="str">
        <f>IFERROR(__xludf.DUMMYFUNCTION("""COMPUTED_VALUE"""),"Lecturer")</f>
        <v>Lecturer</v>
      </c>
      <c r="E28" s="16" t="str">
        <f>IFERROR(__xludf.DUMMYFUNCTION("""COMPUTED_VALUE"""),"Full Time")</f>
        <v>Full Time</v>
      </c>
      <c r="F28" s="16" t="str">
        <f>IFERROR(__xludf.DUMMYFUNCTION("""COMPUTED_VALUE"""),"4M118")</f>
        <v>4M118</v>
      </c>
      <c r="G28" s="17" t="str">
        <f>IFERROR(__xludf.DUMMYFUNCTION("""COMPUTED_VALUE"""),"avinandan@bracu.ac.bd")</f>
        <v>avinandan@bracu.ac.bd</v>
      </c>
    </row>
    <row r="29">
      <c r="A29" s="18" t="str">
        <f t="array" ref="A29">IF(ISBLANK(B29),,HYPERLINK("https://docs.google.com/spreadsheets/d/1aZ_8do2w3aA382MhZyJKG5amXZ6fpthJYoLsdM9x0gU/edit?gid="&amp;XLOOKUP(B29,ID___!A:A,ID___!B:B,"")&amp;"#gid="&amp;XLOOKUP(B29,ID___!A:A,ID___!B:B,"")&amp;"&amp;range=A1:J1","Click"))</f>
        <v>Click</v>
      </c>
      <c r="B29" s="19" t="str">
        <f>IFERROR(__xludf.DUMMYFUNCTION("""COMPUTED_VALUE"""),"AYO")</f>
        <v>AYO</v>
      </c>
      <c r="C29" s="17" t="str">
        <f>IFERROR(__xludf.DUMMYFUNCTION("""COMPUTED_VALUE"""),"Ariyan Hossain")</f>
        <v>Ariyan Hossain</v>
      </c>
      <c r="D29" s="16" t="str">
        <f>IFERROR(__xludf.DUMMYFUNCTION("""COMPUTED_VALUE"""),"Lecturer")</f>
        <v>Lecturer</v>
      </c>
      <c r="E29" s="16" t="str">
        <f>IFERROR(__xludf.DUMMYFUNCTION("""COMPUTED_VALUE"""),"Full Time")</f>
        <v>Full Time</v>
      </c>
      <c r="F29" s="16" t="str">
        <f>IFERROR(__xludf.DUMMYFUNCTION("""COMPUTED_VALUE"""),"4N153")</f>
        <v>4N153</v>
      </c>
      <c r="G29" s="17" t="str">
        <f>IFERROR(__xludf.DUMMYFUNCTION("""COMPUTED_VALUE"""),"ariyan.hossain@bracu.ac.bd")</f>
        <v>ariyan.hossain@bracu.ac.bd</v>
      </c>
    </row>
    <row r="30">
      <c r="A30" s="18" t="str">
        <f t="array" ref="A30">IF(ISBLANK(B30),,HYPERLINK("https://docs.google.com/spreadsheets/d/1aZ_8do2w3aA382MhZyJKG5amXZ6fpthJYoLsdM9x0gU/edit?gid="&amp;XLOOKUP(B30,ID___!A:A,ID___!B:B,"")&amp;"#gid="&amp;XLOOKUP(B30,ID___!A:A,ID___!B:B,"")&amp;"&amp;range=A1:J1","Click"))</f>
        <v>Click</v>
      </c>
      <c r="B30" s="19" t="str">
        <f>IFERROR(__xludf.DUMMYFUNCTION("""COMPUTED_VALUE"""),"BDH")</f>
        <v>BDH</v>
      </c>
      <c r="C30" s="17" t="str">
        <f>IFERROR(__xludf.DUMMYFUNCTION("""COMPUTED_VALUE"""),"Mr. Mohammad Badrul Hossain")</f>
        <v>Mr. Mohammad Badrul Hossain</v>
      </c>
      <c r="D30" s="16" t="str">
        <f>IFERROR(__xludf.DUMMYFUNCTION("""COMPUTED_VALUE"""),"Lecturer")</f>
        <v>Lecturer</v>
      </c>
      <c r="E30" s="16" t="str">
        <f>IFERROR(__xludf.DUMMYFUNCTION("""COMPUTED_VALUE"""),"Full Time")</f>
        <v>Full Time</v>
      </c>
      <c r="F30" s="16" t="str">
        <f>IFERROR(__xludf.DUMMYFUNCTION("""COMPUTED_VALUE"""),"4J67")</f>
        <v>4J67</v>
      </c>
      <c r="G30" s="17" t="str">
        <f>IFERROR(__xludf.DUMMYFUNCTION("""COMPUTED_VALUE"""),"badrul.hossain@bracu.ac.bd")</f>
        <v>badrul.hossain@bracu.ac.bd</v>
      </c>
    </row>
    <row r="31">
      <c r="A31" s="18" t="str">
        <f t="array" ref="A31">IF(ISBLANK(B31),,HYPERLINK("https://docs.google.com/spreadsheets/d/1aZ_8do2w3aA382MhZyJKG5amXZ6fpthJYoLsdM9x0gU/edit?gid="&amp;XLOOKUP(B31,ID___!A:A,ID___!B:B,"")&amp;"#gid="&amp;XLOOKUP(B31,ID___!A:A,ID___!B:B,"")&amp;"&amp;range=A1:J1","Click"))</f>
        <v>Click</v>
      </c>
      <c r="B31" s="19" t="str">
        <f>IFERROR(__xludf.DUMMYFUNCTION("""COMPUTED_VALUE"""),"BIJS")</f>
        <v>BIJS</v>
      </c>
      <c r="C31" s="17" t="str">
        <f>IFERROR(__xludf.DUMMYFUNCTION("""COMPUTED_VALUE"""),"Bijoy Ahmed Saiem")</f>
        <v>Bijoy Ahmed Saiem</v>
      </c>
      <c r="D31" s="16" t="str">
        <f>IFERROR(__xludf.DUMMYFUNCTION("""COMPUTED_VALUE"""),"Lecturer")</f>
        <v>Lecturer</v>
      </c>
      <c r="E31" s="16" t="str">
        <f>IFERROR(__xludf.DUMMYFUNCTION("""COMPUTED_VALUE"""),"Full Time")</f>
        <v>Full Time</v>
      </c>
      <c r="F31" s="16" t="str">
        <f>IFERROR(__xludf.DUMMYFUNCTION("""COMPUTED_VALUE"""),"4M130")</f>
        <v>4M130</v>
      </c>
      <c r="G31" s="17" t="str">
        <f>IFERROR(__xludf.DUMMYFUNCTION("""COMPUTED_VALUE"""),"bijoy.saiem@bracu.ac.bd")</f>
        <v>bijoy.saiem@bracu.ac.bd</v>
      </c>
    </row>
    <row r="32">
      <c r="A32" s="18" t="str">
        <f t="array" ref="A32">IF(ISBLANK(B32),,HYPERLINK("https://docs.google.com/spreadsheets/d/1aZ_8do2w3aA382MhZyJKG5amXZ6fpthJYoLsdM9x0gU/edit?gid="&amp;XLOOKUP(B32,ID___!A:A,ID___!B:B,"")&amp;"#gid="&amp;XLOOKUP(B32,ID___!A:A,ID___!B:B,"")&amp;"&amp;range=A1:J1","Click"))</f>
        <v>Click</v>
      </c>
      <c r="B32" s="19" t="str">
        <f>IFERROR(__xludf.DUMMYFUNCTION("""COMPUTED_VALUE"""),"CMR")</f>
        <v>CMR</v>
      </c>
      <c r="C32" s="17" t="str">
        <f>IFERROR(__xludf.DUMMYFUNCTION("""COMPUTED_VALUE"""),"Dr. Chowdhury Mofizur Rahman")</f>
        <v>Dr. Chowdhury Mofizur Rahman</v>
      </c>
      <c r="D32" s="16" t="str">
        <f>IFERROR(__xludf.DUMMYFUNCTION("""COMPUTED_VALUE"""),"Professor")</f>
        <v>Professor</v>
      </c>
      <c r="E32" s="16" t="str">
        <f>IFERROR(__xludf.DUMMYFUNCTION("""COMPUTED_VALUE"""),"Full Time")</f>
        <v>Full Time</v>
      </c>
      <c r="F32" s="16" t="str">
        <f>IFERROR(__xludf.DUMMYFUNCTION("""COMPUTED_VALUE"""),"4G18")</f>
        <v>4G18</v>
      </c>
      <c r="G32" s="17" t="str">
        <f>IFERROR(__xludf.DUMMYFUNCTION("""COMPUTED_VALUE"""),"rahman.mofizur@bracu.ac.bd")</f>
        <v>rahman.mofizur@bracu.ac.bd</v>
      </c>
    </row>
    <row r="33">
      <c r="A33" s="18" t="str">
        <f t="array" ref="A33">IF(ISBLANK(B33),,HYPERLINK("https://docs.google.com/spreadsheets/d/1aZ_8do2w3aA382MhZyJKG5amXZ6fpthJYoLsdM9x0gU/edit?gid="&amp;XLOOKUP(B33,ID___!A:A,ID___!B:B,"")&amp;"#gid="&amp;XLOOKUP(B33,ID___!A:A,ID___!B:B,"")&amp;"&amp;range=A1:J1","Click"))</f>
        <v>Click</v>
      </c>
      <c r="B33" s="19" t="str">
        <f>IFERROR(__xludf.DUMMYFUNCTION("""COMPUTED_VALUE"""),"DFD")</f>
        <v>DFD</v>
      </c>
      <c r="C33" s="17" t="str">
        <f>IFERROR(__xludf.DUMMYFUNCTION("""COMPUTED_VALUE"""),"Mr. Dibyo Fabian Dofadar")</f>
        <v>Mr. Dibyo Fabian Dofadar</v>
      </c>
      <c r="D33" s="16" t="str">
        <f>IFERROR(__xludf.DUMMYFUNCTION("""COMPUTED_VALUE"""),"Lecturer")</f>
        <v>Lecturer</v>
      </c>
      <c r="E33" s="16" t="str">
        <f>IFERROR(__xludf.DUMMYFUNCTION("""COMPUTED_VALUE"""),"Full Time")</f>
        <v>Full Time</v>
      </c>
      <c r="F33" s="16" t="str">
        <f>IFERROR(__xludf.DUMMYFUNCTION("""COMPUTED_VALUE"""),"4M106")</f>
        <v>4M106</v>
      </c>
      <c r="G33" s="17" t="str">
        <f>IFERROR(__xludf.DUMMYFUNCTION("""COMPUTED_VALUE"""),"fabian.dofadar@bracu.ac.bd")</f>
        <v>fabian.dofadar@bracu.ac.bd</v>
      </c>
    </row>
    <row r="34">
      <c r="A34" s="18" t="str">
        <f t="array" ref="A34">IF(ISBLANK(B34),,HYPERLINK("https://docs.google.com/spreadsheets/d/1aZ_8do2w3aA382MhZyJKG5amXZ6fpthJYoLsdM9x0gU/edit?gid="&amp;XLOOKUP(B34,ID___!A:A,ID___!B:B,"")&amp;"#gid="&amp;XLOOKUP(B34,ID___!A:A,ID___!B:B,"")&amp;"&amp;range=A1:J1","Click"))</f>
        <v>Click</v>
      </c>
      <c r="B34" s="19" t="str">
        <f>IFERROR(__xludf.DUMMYFUNCTION("""COMPUTED_VALUE"""),"DPU")</f>
        <v>DPU</v>
      </c>
      <c r="C34" s="17" t="str">
        <f>IFERROR(__xludf.DUMMYFUNCTION("""COMPUTED_VALUE"""),"Mr. Shoaib Ahmed Dipu")</f>
        <v>Mr. Shoaib Ahmed Dipu</v>
      </c>
      <c r="D34" s="16" t="str">
        <f>IFERROR(__xludf.DUMMYFUNCTION("""COMPUTED_VALUE"""),"Lecturer")</f>
        <v>Lecturer</v>
      </c>
      <c r="E34" s="16" t="str">
        <f>IFERROR(__xludf.DUMMYFUNCTION("""COMPUTED_VALUE"""),"Full Time")</f>
        <v>Full Time</v>
      </c>
      <c r="F34" s="16" t="str">
        <f>IFERROR(__xludf.DUMMYFUNCTION("""COMPUTED_VALUE"""),"4J63")</f>
        <v>4J63</v>
      </c>
      <c r="G34" s="17" t="str">
        <f>IFERROR(__xludf.DUMMYFUNCTION("""COMPUTED_VALUE"""),"shoaib.ahmed@bracu.ac.bd")</f>
        <v>shoaib.ahmed@bracu.ac.bd</v>
      </c>
    </row>
    <row r="35">
      <c r="A35" s="18" t="str">
        <f t="array" ref="A35">IF(ISBLANK(B35),,HYPERLINK("https://docs.google.com/spreadsheets/d/1aZ_8do2w3aA382MhZyJKG5amXZ6fpthJYoLsdM9x0gU/edit?gid="&amp;XLOOKUP(B35,ID___!A:A,ID___!B:B,"")&amp;"#gid="&amp;XLOOKUP(B35,ID___!A:A,ID___!B:B,"")&amp;"&amp;range=A1:J1","Click"))</f>
        <v>Click</v>
      </c>
      <c r="B35" s="19" t="str">
        <f>IFERROR(__xludf.DUMMYFUNCTION("""COMPUTED_VALUE"""),"DZK")</f>
        <v>DZK</v>
      </c>
      <c r="C35" s="17" t="str">
        <f>IFERROR(__xludf.DUMMYFUNCTION("""COMPUTED_VALUE"""),"Mr. Dewan Ziaul Karim")</f>
        <v>Mr. Dewan Ziaul Karim</v>
      </c>
      <c r="D35" s="16" t="str">
        <f>IFERROR(__xludf.DUMMYFUNCTION("""COMPUTED_VALUE"""),"Senior Lecturer")</f>
        <v>Senior Lecturer</v>
      </c>
      <c r="E35" s="16" t="str">
        <f>IFERROR(__xludf.DUMMYFUNCTION("""COMPUTED_VALUE"""),"Full Time")</f>
        <v>Full Time</v>
      </c>
      <c r="F35" s="16" t="str">
        <f>IFERROR(__xludf.DUMMYFUNCTION("""COMPUTED_VALUE"""),"4G05")</f>
        <v>4G05</v>
      </c>
      <c r="G35" s="17" t="str">
        <f>IFERROR(__xludf.DUMMYFUNCTION("""COMPUTED_VALUE"""),"ziaul.karim@bracu.ac.bd")</f>
        <v>ziaul.karim@bracu.ac.bd</v>
      </c>
    </row>
    <row r="36">
      <c r="A36" s="18" t="str">
        <f t="array" ref="A36">IF(ISBLANK(B36),,HYPERLINK("https://docs.google.com/spreadsheets/d/1aZ_8do2w3aA382MhZyJKG5amXZ6fpthJYoLsdM9x0gU/edit?gid="&amp;XLOOKUP(B36,ID___!A:A,ID___!B:B,"")&amp;"#gid="&amp;XLOOKUP(B36,ID___!A:A,ID___!B:B,"")&amp;"&amp;range=A1:J1","Click"))</f>
        <v>Click</v>
      </c>
      <c r="B36" s="19" t="str">
        <f>IFERROR(__xludf.DUMMYFUNCTION("""COMPUTED_VALUE"""),"EHQ")</f>
        <v>EHQ</v>
      </c>
      <c r="C36" s="17" t="str">
        <f>IFERROR(__xludf.DUMMYFUNCTION("""COMPUTED_VALUE"""),"Ehtashamul Haque")</f>
        <v>Ehtashamul Haque</v>
      </c>
      <c r="D36" s="16" t="str">
        <f>IFERROR(__xludf.DUMMYFUNCTION("""COMPUTED_VALUE"""),"Lecturer")</f>
        <v>Lecturer</v>
      </c>
      <c r="E36" s="16" t="str">
        <f>IFERROR(__xludf.DUMMYFUNCTION("""COMPUTED_VALUE"""),"Full Time")</f>
        <v>Full Time</v>
      </c>
      <c r="F36" s="16" t="str">
        <f>IFERROR(__xludf.DUMMYFUNCTION("""COMPUTED_VALUE"""),"4N168")</f>
        <v>4N168</v>
      </c>
      <c r="G36" s="17" t="str">
        <f>IFERROR(__xludf.DUMMYFUNCTION("""COMPUTED_VALUE"""),"ehtashamul.haque@bracu.ac.bd")</f>
        <v>ehtashamul.haque@bracu.ac.bd</v>
      </c>
    </row>
    <row r="37">
      <c r="A37" s="18" t="str">
        <f t="array" ref="A37">IF(ISBLANK(B37),,HYPERLINK("https://docs.google.com/spreadsheets/d/1aZ_8do2w3aA382MhZyJKG5amXZ6fpthJYoLsdM9x0gU/edit?gid="&amp;XLOOKUP(B37,ID___!A:A,ID___!B:B,"")&amp;"#gid="&amp;XLOOKUP(B37,ID___!A:A,ID___!B:B,"")&amp;"&amp;range=A1:J1","Click"))</f>
        <v>Click</v>
      </c>
      <c r="B37" s="19" t="str">
        <f>IFERROR(__xludf.DUMMYFUNCTION("""COMPUTED_VALUE"""),"FARS")</f>
        <v>FARS</v>
      </c>
      <c r="C37" s="17" t="str">
        <f>IFERROR(__xludf.DUMMYFUNCTION("""COMPUTED_VALUE"""),"Ahmad Farhan Shahriar Chowdhury")</f>
        <v>Ahmad Farhan Shahriar Chowdhury</v>
      </c>
      <c r="D37" s="16" t="str">
        <f>IFERROR(__xludf.DUMMYFUNCTION("""COMPUTED_VALUE"""),"Lecturer")</f>
        <v>Lecturer</v>
      </c>
      <c r="E37" s="16" t="str">
        <f>IFERROR(__xludf.DUMMYFUNCTION("""COMPUTED_VALUE"""),"Full Time")</f>
        <v>Full Time</v>
      </c>
      <c r="F37" s="16" t="str">
        <f>IFERROR(__xludf.DUMMYFUNCTION("""COMPUTED_VALUE"""),"4N145")</f>
        <v>4N145</v>
      </c>
      <c r="G37" s="17" t="str">
        <f>IFERROR(__xludf.DUMMYFUNCTION("""COMPUTED_VALUE"""),"farhan.shahriar@bracu.ac.bd")</f>
        <v>farhan.shahriar@bracu.ac.bd</v>
      </c>
    </row>
    <row r="38">
      <c r="A38" s="18" t="str">
        <f t="array" ref="A38">IF(ISBLANK(B38),,HYPERLINK("https://docs.google.com/spreadsheets/d/1aZ_8do2w3aA382MhZyJKG5amXZ6fpthJYoLsdM9x0gU/edit?gid="&amp;XLOOKUP(B38,ID___!A:A,ID___!B:B,"")&amp;"#gid="&amp;XLOOKUP(B38,ID___!A:A,ID___!B:B,"")&amp;"&amp;range=A1:J1","Click"))</f>
        <v>Click</v>
      </c>
      <c r="B38" s="19" t="str">
        <f>IFERROR(__xludf.DUMMYFUNCTION("""COMPUTED_VALUE"""),"FBAW")</f>
        <v>FBAW</v>
      </c>
      <c r="C38" s="17" t="str">
        <f>IFERROR(__xludf.DUMMYFUNCTION("""COMPUTED_VALUE"""),"Faria Binta Awal")</f>
        <v>Faria Binta Awal</v>
      </c>
      <c r="D38" s="16" t="str">
        <f>IFERROR(__xludf.DUMMYFUNCTION("""COMPUTED_VALUE"""),"Lecturer")</f>
        <v>Lecturer</v>
      </c>
      <c r="E38" s="16" t="str">
        <f>IFERROR(__xludf.DUMMYFUNCTION("""COMPUTED_VALUE"""),"Full Time")</f>
        <v>Full Time</v>
      </c>
      <c r="F38" s="16" t="str">
        <f>IFERROR(__xludf.DUMMYFUNCTION("""COMPUTED_VALUE"""),"4K84")</f>
        <v>4K84</v>
      </c>
      <c r="G38" s="17" t="str">
        <f>IFERROR(__xludf.DUMMYFUNCTION("""COMPUTED_VALUE"""),"faria.awal@bracu.ac.bd")</f>
        <v>faria.awal@bracu.ac.bd</v>
      </c>
    </row>
    <row r="39">
      <c r="A39" s="18" t="str">
        <f t="array" ref="A39">IF(ISBLANK(B39),,HYPERLINK("https://docs.google.com/spreadsheets/d/1aZ_8do2w3aA382MhZyJKG5amXZ6fpthJYoLsdM9x0gU/edit?gid="&amp;XLOOKUP(B39,ID___!A:A,ID___!B:B,"")&amp;"#gid="&amp;XLOOKUP(B39,ID___!A:A,ID___!B:B,"")&amp;"&amp;range=A1:J1","Click"))</f>
        <v>Click</v>
      </c>
      <c r="B39" s="19" t="str">
        <f>IFERROR(__xludf.DUMMYFUNCTION("""COMPUTED_VALUE"""),"FDC")</f>
        <v>FDC</v>
      </c>
      <c r="C39" s="17" t="str">
        <f>IFERROR(__xludf.DUMMYFUNCTION("""COMPUTED_VALUE"""),"Dr. Farida Chowdhury")</f>
        <v>Dr. Farida Chowdhury</v>
      </c>
      <c r="D39" s="16" t="str">
        <f>IFERROR(__xludf.DUMMYFUNCTION("""COMPUTED_VALUE"""),"Professor")</f>
        <v>Professor</v>
      </c>
      <c r="E39" s="16" t="str">
        <f>IFERROR(__xludf.DUMMYFUNCTION("""COMPUTED_VALUE"""),"Full Time")</f>
        <v>Full Time</v>
      </c>
      <c r="F39" s="16" t="str">
        <f>IFERROR(__xludf.DUMMYFUNCTION("""COMPUTED_VALUE"""),"4G09")</f>
        <v>4G09</v>
      </c>
      <c r="G39" s="17" t="str">
        <f>IFERROR(__xludf.DUMMYFUNCTION("""COMPUTED_VALUE"""),"farida.chowdhury@bracu.ac.bd")</f>
        <v>farida.chowdhury@bracu.ac.bd</v>
      </c>
    </row>
    <row r="40">
      <c r="A40" s="18" t="str">
        <f t="array" ref="A40">IF(ISBLANK(B40),,HYPERLINK("https://docs.google.com/spreadsheets/d/1aZ_8do2w3aA382MhZyJKG5amXZ6fpthJYoLsdM9x0gU/edit?gid="&amp;XLOOKUP(B40,ID___!A:A,ID___!B:B,"")&amp;"#gid="&amp;XLOOKUP(B40,ID___!A:A,ID___!B:B,"")&amp;"&amp;range=A1:J1","Click"))</f>
        <v>Click</v>
      </c>
      <c r="B40" s="19" t="str">
        <f>IFERROR(__xludf.DUMMYFUNCTION("""COMPUTED_VALUE"""),"FEK")</f>
        <v>FEK</v>
      </c>
      <c r="C40" s="17" t="str">
        <f>IFERROR(__xludf.DUMMYFUNCTION("""COMPUTED_VALUE"""),"Farden Ehsan Khan")</f>
        <v>Farden Ehsan Khan</v>
      </c>
      <c r="D40" s="16" t="str">
        <f>IFERROR(__xludf.DUMMYFUNCTION("""COMPUTED_VALUE"""),"Lecturer")</f>
        <v>Lecturer</v>
      </c>
      <c r="E40" s="16" t="str">
        <f>IFERROR(__xludf.DUMMYFUNCTION("""COMPUTED_VALUE"""),"Full Time")</f>
        <v>Full Time</v>
      </c>
      <c r="F40" s="16" t="str">
        <f>IFERROR(__xludf.DUMMYFUNCTION("""COMPUTED_VALUE"""),"4M117")</f>
        <v>4M117</v>
      </c>
      <c r="G40" s="17" t="str">
        <f>IFERROR(__xludf.DUMMYFUNCTION("""COMPUTED_VALUE"""),"farden.khan@bracu.ac.bd")</f>
        <v>farden.khan@bracu.ac.bd</v>
      </c>
    </row>
    <row r="41">
      <c r="A41" s="18" t="str">
        <f t="array" ref="A41">IF(ISBLANK(B41),,HYPERLINK("https://docs.google.com/spreadsheets/d/1aZ_8do2w3aA382MhZyJKG5amXZ6fpthJYoLsdM9x0gU/edit?gid="&amp;XLOOKUP(B41,ID___!A:A,ID___!B:B,"")&amp;"#gid="&amp;XLOOKUP(B41,ID___!A:A,ID___!B:B,"")&amp;"&amp;range=A1:J1","Click"))</f>
        <v>Click</v>
      </c>
      <c r="B41" s="19" t="str">
        <f>IFERROR(__xludf.DUMMYFUNCTION("""COMPUTED_VALUE"""),"FFR")</f>
        <v>FFR</v>
      </c>
      <c r="C41" s="17" t="str">
        <f>IFERROR(__xludf.DUMMYFUNCTION("""COMPUTED_VALUE"""),"Md. Fatin Ishraq Faruqui")</f>
        <v>Md. Fatin Ishraq Faruqui</v>
      </c>
      <c r="D41" s="16" t="str">
        <f>IFERROR(__xludf.DUMMYFUNCTION("""COMPUTED_VALUE"""),"Lecturer")</f>
        <v>Lecturer</v>
      </c>
      <c r="E41" s="16" t="str">
        <f>IFERROR(__xludf.DUMMYFUNCTION("""COMPUTED_VALUE"""),"Full Time")</f>
        <v>Full Time</v>
      </c>
      <c r="F41" s="16" t="str">
        <f>IFERROR(__xludf.DUMMYFUNCTION("""COMPUTED_VALUE"""),"4N169")</f>
        <v>4N169</v>
      </c>
      <c r="G41" s="17" t="str">
        <f>IFERROR(__xludf.DUMMYFUNCTION("""COMPUTED_VALUE"""),"md.fatin@bracu.ac.bd")</f>
        <v>md.fatin@bracu.ac.bd</v>
      </c>
    </row>
    <row r="42">
      <c r="A42" s="18" t="str">
        <f t="array" ref="A42">IF(ISBLANK(B42),,HYPERLINK("https://docs.google.com/spreadsheets/d/1aZ_8do2w3aA382MhZyJKG5amXZ6fpthJYoLsdM9x0gU/edit?gid="&amp;XLOOKUP(B42,ID___!A:A,ID___!B:B,"")&amp;"#gid="&amp;XLOOKUP(B42,ID___!A:A,ID___!B:B,"")&amp;"&amp;range=A1:J1","Click"))</f>
        <v>Click</v>
      </c>
      <c r="B42" s="19" t="str">
        <f>IFERROR(__xludf.DUMMYFUNCTION("""COMPUTED_VALUE"""),"FFU")</f>
        <v>FFU</v>
      </c>
      <c r="C42" s="17" t="str">
        <f>IFERROR(__xludf.DUMMYFUNCTION("""COMPUTED_VALUE"""),"Farhan  Faruk")</f>
        <v>Farhan  Faruk</v>
      </c>
      <c r="D42" s="16" t="str">
        <f>IFERROR(__xludf.DUMMYFUNCTION("""COMPUTED_VALUE"""),"Lecturer")</f>
        <v>Lecturer</v>
      </c>
      <c r="E42" s="16" t="str">
        <f>IFERROR(__xludf.DUMMYFUNCTION("""COMPUTED_VALUE"""),"Full Time")</f>
        <v>Full Time</v>
      </c>
      <c r="F42" s="16" t="str">
        <f>IFERROR(__xludf.DUMMYFUNCTION("""COMPUTED_VALUE"""),"4M100")</f>
        <v>4M100</v>
      </c>
      <c r="G42" s="17" t="str">
        <f>IFERROR(__xludf.DUMMYFUNCTION("""COMPUTED_VALUE"""),"farhan.faruk@bracu.ac.bd")</f>
        <v>farhan.faruk@bracu.ac.bd</v>
      </c>
    </row>
    <row r="43">
      <c r="A43" s="18" t="str">
        <f t="array" ref="A43">IF(ISBLANK(B43),,HYPERLINK("https://docs.google.com/spreadsheets/d/1aZ_8do2w3aA382MhZyJKG5amXZ6fpthJYoLsdM9x0gU/edit?gid="&amp;XLOOKUP(B43,ID___!A:A,ID___!B:B,"")&amp;"#gid="&amp;XLOOKUP(B43,ID___!A:A,ID___!B:B,"")&amp;"&amp;range=A1:J1","Click"))</f>
        <v>Click</v>
      </c>
      <c r="B43" s="19" t="str">
        <f>IFERROR(__xludf.DUMMYFUNCTION("""COMPUTED_VALUE"""),"FGZ")</f>
        <v>FGZ</v>
      </c>
      <c r="C43" s="17" t="str">
        <f>IFERROR(__xludf.DUMMYFUNCTION("""COMPUTED_VALUE"""),"Mr. Md. Fakhruddin Gazzali")</f>
        <v>Mr. Md. Fakhruddin Gazzali</v>
      </c>
      <c r="D43" s="16" t="str">
        <f>IFERROR(__xludf.DUMMYFUNCTION("""COMPUTED_VALUE"""),"Lecturer")</f>
        <v>Lecturer</v>
      </c>
      <c r="E43" s="16" t="str">
        <f>IFERROR(__xludf.DUMMYFUNCTION("""COMPUTED_VALUE"""),"Full Time")</f>
        <v>Full Time</v>
      </c>
      <c r="F43" s="16" t="str">
        <f>IFERROR(__xludf.DUMMYFUNCTION("""COMPUTED_VALUE"""),"4M103")</f>
        <v>4M103</v>
      </c>
      <c r="G43" s="17" t="str">
        <f>IFERROR(__xludf.DUMMYFUNCTION("""COMPUTED_VALUE"""),"fakhruddin.gazzali@bracu.ac.bd")</f>
        <v>fakhruddin.gazzali@bracu.ac.bd</v>
      </c>
    </row>
    <row r="44">
      <c r="A44" s="18" t="str">
        <f t="array" ref="A44">IF(ISBLANK(B44),,HYPERLINK("https://docs.google.com/spreadsheets/d/1aZ_8do2w3aA382MhZyJKG5amXZ6fpthJYoLsdM9x0gU/edit?gid="&amp;XLOOKUP(B44,ID___!A:A,ID___!B:B,"")&amp;"#gid="&amp;XLOOKUP(B44,ID___!A:A,ID___!B:B,"")&amp;"&amp;range=A1:J1","Click"))</f>
        <v>Click</v>
      </c>
      <c r="B44" s="19" t="str">
        <f>IFERROR(__xludf.DUMMYFUNCTION("""COMPUTED_VALUE"""),"FIC")</f>
        <v>FIC</v>
      </c>
      <c r="C44" s="17" t="str">
        <f>IFERROR(__xludf.DUMMYFUNCTION("""COMPUTED_VALUE"""),"Fatiha Ishrar Chowdhury")</f>
        <v>Fatiha Ishrar Chowdhury</v>
      </c>
      <c r="D44" s="16" t="str">
        <f>IFERROR(__xludf.DUMMYFUNCTION("""COMPUTED_VALUE"""),"Lecturer")</f>
        <v>Lecturer</v>
      </c>
      <c r="E44" s="16" t="str">
        <f>IFERROR(__xludf.DUMMYFUNCTION("""COMPUTED_VALUE"""),"Full Time")</f>
        <v>Full Time</v>
      </c>
      <c r="F44" s="16" t="str">
        <f>IFERROR(__xludf.DUMMYFUNCTION("""COMPUTED_VALUE"""),"4K81")</f>
        <v>4K81</v>
      </c>
      <c r="G44" s="17" t="str">
        <f>IFERROR(__xludf.DUMMYFUNCTION("""COMPUTED_VALUE"""),"fatiha.ishrar@bracu.ac.bd")</f>
        <v>fatiha.ishrar@bracu.ac.bd</v>
      </c>
    </row>
    <row r="45">
      <c r="A45" s="18" t="str">
        <f t="array" ref="A45">IF(ISBLANK(B45),,HYPERLINK("https://docs.google.com/spreadsheets/d/1aZ_8do2w3aA382MhZyJKG5amXZ6fpthJYoLsdM9x0gU/edit?gid="&amp;XLOOKUP(B45,ID___!A:A,ID___!B:B,"")&amp;"#gid="&amp;XLOOKUP(B45,ID___!A:A,ID___!B:B,"")&amp;"&amp;range=A1:J1","Click"))</f>
        <v>Click</v>
      </c>
      <c r="B45" s="19" t="str">
        <f>IFERROR(__xludf.DUMMYFUNCTION("""COMPUTED_VALUE"""),"FYS")</f>
        <v>FYS</v>
      </c>
      <c r="C45" s="17" t="str">
        <f>IFERROR(__xludf.DUMMYFUNCTION("""COMPUTED_VALUE"""),"Dr. Farig Yousuf Sadeque")</f>
        <v>Dr. Farig Yousuf Sadeque</v>
      </c>
      <c r="D45" s="16" t="str">
        <f>IFERROR(__xludf.DUMMYFUNCTION("""COMPUTED_VALUE"""),"Associate Professor")</f>
        <v>Associate Professor</v>
      </c>
      <c r="E45" s="16" t="str">
        <f>IFERROR(__xludf.DUMMYFUNCTION("""COMPUTED_VALUE"""),"Full Time")</f>
        <v>Full Time</v>
      </c>
      <c r="F45" s="16" t="str">
        <f>IFERROR(__xludf.DUMMYFUNCTION("""COMPUTED_VALUE"""),"4G29")</f>
        <v>4G29</v>
      </c>
      <c r="G45" s="17" t="str">
        <f>IFERROR(__xludf.DUMMYFUNCTION("""COMPUTED_VALUE"""),"farig.sadeque@bracu.ac.bd")</f>
        <v>farig.sadeque@bracu.ac.bd</v>
      </c>
    </row>
    <row r="46">
      <c r="A46" s="18" t="str">
        <f t="array" ref="A46">IF(ISBLANK(B46),,HYPERLINK("https://docs.google.com/spreadsheets/d/1aZ_8do2w3aA382MhZyJKG5amXZ6fpthJYoLsdM9x0gU/edit?gid="&amp;XLOOKUP(B46,ID___!A:A,ID___!B:B,"")&amp;"#gid="&amp;XLOOKUP(B46,ID___!A:A,ID___!B:B,"")&amp;"&amp;range=A1:J1","Click"))</f>
        <v>Click</v>
      </c>
      <c r="B46" s="19" t="str">
        <f>IFERROR(__xludf.DUMMYFUNCTION("""COMPUTED_VALUE"""),"FZN")</f>
        <v>FZN</v>
      </c>
      <c r="C46" s="17" t="str">
        <f>IFERROR(__xludf.DUMMYFUNCTION("""COMPUTED_VALUE"""),"Kh.Fardin Zubair Nafis")</f>
        <v>Kh.Fardin Zubair Nafis</v>
      </c>
      <c r="D46" s="16" t="str">
        <f>IFERROR(__xludf.DUMMYFUNCTION("""COMPUTED_VALUE"""),"Lecturer")</f>
        <v>Lecturer</v>
      </c>
      <c r="E46" s="16" t="str">
        <f>IFERROR(__xludf.DUMMYFUNCTION("""COMPUTED_VALUE"""),"Full Time")</f>
        <v>Full Time</v>
      </c>
      <c r="F46" s="16" t="str">
        <f>IFERROR(__xludf.DUMMYFUNCTION("""COMPUTED_VALUE"""),"4N155")</f>
        <v>4N155</v>
      </c>
      <c r="G46" s="17" t="str">
        <f>IFERROR(__xludf.DUMMYFUNCTION("""COMPUTED_VALUE"""),"fardin.zubair@bracu.ac.bd")</f>
        <v>fardin.zubair@bracu.ac.bd</v>
      </c>
    </row>
    <row r="47">
      <c r="A47" s="18" t="str">
        <f t="array" ref="A47">IF(ISBLANK(B47),,HYPERLINK("https://docs.google.com/spreadsheets/d/1aZ_8do2w3aA382MhZyJKG5amXZ6fpthJYoLsdM9x0gU/edit?gid="&amp;XLOOKUP(B47,ID___!A:A,ID___!B:B,"")&amp;"#gid="&amp;XLOOKUP(B47,ID___!A:A,ID___!B:B,"")&amp;"&amp;range=A1:J1","Click"))</f>
        <v>Click</v>
      </c>
      <c r="B47" s="19" t="str">
        <f>IFERROR(__xludf.DUMMYFUNCTION("""COMPUTED_VALUE"""),"GRA")</f>
        <v>GRA</v>
      </c>
      <c r="C47" s="17" t="str">
        <f>IFERROR(__xludf.DUMMYFUNCTION("""COMPUTED_VALUE"""),"Dr. Md. Golam Rabiul Alam")</f>
        <v>Dr. Md. Golam Rabiul Alam</v>
      </c>
      <c r="D47" s="16" t="str">
        <f>IFERROR(__xludf.DUMMYFUNCTION("""COMPUTED_VALUE"""),"Professor")</f>
        <v>Professor</v>
      </c>
      <c r="E47" s="16" t="str">
        <f>IFERROR(__xludf.DUMMYFUNCTION("""COMPUTED_VALUE"""),"Full Time")</f>
        <v>Full Time</v>
      </c>
      <c r="F47" s="16" t="str">
        <f>IFERROR(__xludf.DUMMYFUNCTION("""COMPUTED_VALUE"""),"4G23")</f>
        <v>4G23</v>
      </c>
      <c r="G47" s="17" t="str">
        <f>IFERROR(__xludf.DUMMYFUNCTION("""COMPUTED_VALUE"""),"rabiul.alam@bracu.ac.bd")</f>
        <v>rabiul.alam@bracu.ac.bd</v>
      </c>
    </row>
    <row r="48">
      <c r="A48" s="18" t="str">
        <f t="array" ref="A48">IF(ISBLANK(B48),,HYPERLINK("https://docs.google.com/spreadsheets/d/1aZ_8do2w3aA382MhZyJKG5amXZ6fpthJYoLsdM9x0gU/edit?gid="&amp;XLOOKUP(B48,ID___!A:A,ID___!B:B,"")&amp;"#gid="&amp;XLOOKUP(B48,ID___!A:A,ID___!B:B,"")&amp;"&amp;range=A1:J1","Click"))</f>
        <v>Click</v>
      </c>
      <c r="B48" s="19" t="str">
        <f>IFERROR(__xludf.DUMMYFUNCTION("""COMPUTED_VALUE"""),"HFN")</f>
        <v>HFN</v>
      </c>
      <c r="C48" s="17" t="str">
        <f>IFERROR(__xludf.DUMMYFUNCTION("""COMPUTED_VALUE"""),"Sheikh Araf Noshin")</f>
        <v>Sheikh Araf Noshin</v>
      </c>
      <c r="D48" s="16" t="str">
        <f>IFERROR(__xludf.DUMMYFUNCTION("""COMPUTED_VALUE"""),"Lecturer")</f>
        <v>Lecturer</v>
      </c>
      <c r="E48" s="16" t="str">
        <f>IFERROR(__xludf.DUMMYFUNCTION("""COMPUTED_VALUE"""),"Full Time")</f>
        <v>Full Time</v>
      </c>
      <c r="F48" s="16" t="str">
        <f>IFERROR(__xludf.DUMMYFUNCTION("""COMPUTED_VALUE"""),"4N144")</f>
        <v>4N144</v>
      </c>
      <c r="G48" s="17" t="str">
        <f>IFERROR(__xludf.DUMMYFUNCTION("""COMPUTED_VALUE"""),"araf.noshin@bracu.ac.bd")</f>
        <v>araf.noshin@bracu.ac.bd</v>
      </c>
    </row>
    <row r="49">
      <c r="A49" s="18" t="str">
        <f t="array" ref="A49">IF(ISBLANK(B49),,HYPERLINK("https://docs.google.com/spreadsheets/d/1aZ_8do2w3aA382MhZyJKG5amXZ6fpthJYoLsdM9x0gU/edit?gid="&amp;XLOOKUP(B49,ID___!A:A,ID___!B:B,"")&amp;"#gid="&amp;XLOOKUP(B49,ID___!A:A,ID___!B:B,"")&amp;"&amp;range=A1:J1","Click"))</f>
        <v>Click</v>
      </c>
      <c r="B49" s="19" t="str">
        <f>IFERROR(__xludf.DUMMYFUNCTION("""COMPUTED_VALUE"""),"HMH")</f>
        <v>HMH</v>
      </c>
      <c r="C49" s="17" t="str">
        <f>IFERROR(__xludf.DUMMYFUNCTION("""COMPUTED_VALUE"""),"Mir Hamidul Hussain")</f>
        <v>Mir Hamidul Hussain</v>
      </c>
      <c r="D49" s="16" t="str">
        <f>IFERROR(__xludf.DUMMYFUNCTION("""COMPUTED_VALUE"""),"Lecturer")</f>
        <v>Lecturer</v>
      </c>
      <c r="E49" s="16" t="str">
        <f>IFERROR(__xludf.DUMMYFUNCTION("""COMPUTED_VALUE"""),"Full Time")</f>
        <v>Full Time</v>
      </c>
      <c r="F49" s="16" t="str">
        <f>IFERROR(__xludf.DUMMYFUNCTION("""COMPUTED_VALUE"""),"4N167")</f>
        <v>4N167</v>
      </c>
      <c r="G49" s="17" t="str">
        <f>IFERROR(__xludf.DUMMYFUNCTION("""COMPUTED_VALUE"""),"hamidul.hussain@bracu.ac.bd")</f>
        <v>hamidul.hussain@bracu.ac.bd</v>
      </c>
    </row>
    <row r="50">
      <c r="A50" s="18" t="str">
        <f t="array" ref="A50">IF(ISBLANK(B50),,HYPERLINK("https://docs.google.com/spreadsheets/d/1aZ_8do2w3aA382MhZyJKG5amXZ6fpthJYoLsdM9x0gU/edit?gid="&amp;XLOOKUP(B50,ID___!A:A,ID___!B:B,"")&amp;"#gid="&amp;XLOOKUP(B50,ID___!A:A,ID___!B:B,"")&amp;"&amp;range=A1:J1","Click"))</f>
        <v>Click</v>
      </c>
      <c r="B50" s="19" t="str">
        <f>IFERROR(__xludf.DUMMYFUNCTION("""COMPUTED_VALUE"""),"IBA")</f>
        <v>IBA</v>
      </c>
      <c r="C50" s="17" t="str">
        <f>IFERROR(__xludf.DUMMYFUNCTION("""COMPUTED_VALUE"""),"Mr. Md. Imran Bin Azad")</f>
        <v>Mr. Md. Imran Bin Azad</v>
      </c>
      <c r="D50" s="16" t="str">
        <f>IFERROR(__xludf.DUMMYFUNCTION("""COMPUTED_VALUE"""),"Senior Lecturer")</f>
        <v>Senior Lecturer</v>
      </c>
      <c r="E50" s="16" t="str">
        <f>IFERROR(__xludf.DUMMYFUNCTION("""COMPUTED_VALUE"""),"Full Time")</f>
        <v>Full Time</v>
      </c>
      <c r="F50" s="16" t="str">
        <f>IFERROR(__xludf.DUMMYFUNCTION("""COMPUTED_VALUE"""),"4G02")</f>
        <v>4G02</v>
      </c>
      <c r="G50" s="17" t="str">
        <f>IFERROR(__xludf.DUMMYFUNCTION("""COMPUTED_VALUE"""),"imran.azad@bracu.ac.bd")</f>
        <v>imran.azad@bracu.ac.bd</v>
      </c>
    </row>
    <row r="51">
      <c r="A51" s="18" t="str">
        <f t="array" ref="A51">IF(ISBLANK(B51),,HYPERLINK("https://docs.google.com/spreadsheets/d/1aZ_8do2w3aA382MhZyJKG5amXZ6fpthJYoLsdM9x0gU/edit?gid="&amp;XLOOKUP(B51,ID___!A:A,ID___!B:B,"")&amp;"#gid="&amp;XLOOKUP(B51,ID___!A:A,ID___!B:B,"")&amp;"&amp;range=A1:J1","Click"))</f>
        <v>Click</v>
      </c>
      <c r="B51" s="19" t="str">
        <f>IFERROR(__xludf.DUMMYFUNCTION("""COMPUTED_VALUE"""),"IBU")</f>
        <v>IBU</v>
      </c>
      <c r="C51" s="17" t="str">
        <f>IFERROR(__xludf.DUMMYFUNCTION("""COMPUTED_VALUE"""),"Ms. Ipshita Bonhi Upoma")</f>
        <v>Ms. Ipshita Bonhi Upoma</v>
      </c>
      <c r="D51" s="16" t="str">
        <f>IFERROR(__xludf.DUMMYFUNCTION("""COMPUTED_VALUE"""),"Lecturer")</f>
        <v>Lecturer</v>
      </c>
      <c r="E51" s="16" t="str">
        <f>IFERROR(__xludf.DUMMYFUNCTION("""COMPUTED_VALUE"""),"Full Time")</f>
        <v>Full Time</v>
      </c>
      <c r="F51" s="16" t="str">
        <f>IFERROR(__xludf.DUMMYFUNCTION("""COMPUTED_VALUE"""),"4K78")</f>
        <v>4K78</v>
      </c>
      <c r="G51" s="17" t="str">
        <f>IFERROR(__xludf.DUMMYFUNCTION("""COMPUTED_VALUE"""),"ipshita.upoma@bracu.ac.bd")</f>
        <v>ipshita.upoma@bracu.ac.bd</v>
      </c>
    </row>
    <row r="52">
      <c r="A52" s="18" t="str">
        <f t="array" ref="A52">IF(ISBLANK(B52),,HYPERLINK("https://docs.google.com/spreadsheets/d/1aZ_8do2w3aA382MhZyJKG5amXZ6fpthJYoLsdM9x0gU/edit?gid="&amp;XLOOKUP(B52,ID___!A:A,ID___!B:B,"")&amp;"#gid="&amp;XLOOKUP(B52,ID___!A:A,ID___!B:B,"")&amp;"&amp;range=A1:J1","Click"))</f>
        <v>Click</v>
      </c>
      <c r="B52" s="19" t="str">
        <f>IFERROR(__xludf.DUMMYFUNCTION("""COMPUTED_VALUE"""),"ITTSC")</f>
        <v>ITTSC</v>
      </c>
      <c r="C52" s="17" t="str">
        <f>IFERROR(__xludf.DUMMYFUNCTION("""COMPUTED_VALUE"""),"Ittehad Saleh Chowdhury")</f>
        <v>Ittehad Saleh Chowdhury</v>
      </c>
      <c r="D52" s="16" t="str">
        <f>IFERROR(__xludf.DUMMYFUNCTION("""COMPUTED_VALUE"""),"Lecturer")</f>
        <v>Lecturer</v>
      </c>
      <c r="E52" s="16" t="str">
        <f>IFERROR(__xludf.DUMMYFUNCTION("""COMPUTED_VALUE"""),"Full Time")</f>
        <v>Full Time</v>
      </c>
      <c r="F52" s="16" t="str">
        <f>IFERROR(__xludf.DUMMYFUNCTION("""COMPUTED_VALUE"""),"4P196")</f>
        <v>4P196</v>
      </c>
      <c r="G52" s="17" t="str">
        <f>IFERROR(__xludf.DUMMYFUNCTION("""COMPUTED_VALUE"""),"ittehad.chowdhury@bracu.ac.bd")</f>
        <v>ittehad.chowdhury@bracu.ac.bd</v>
      </c>
    </row>
    <row r="53">
      <c r="A53" s="18" t="str">
        <f t="array" ref="A53">IF(ISBLANK(B53),,HYPERLINK("https://docs.google.com/spreadsheets/d/1aZ_8do2w3aA382MhZyJKG5amXZ6fpthJYoLsdM9x0gU/edit?gid="&amp;XLOOKUP(B53,ID___!A:A,ID___!B:B,"")&amp;"#gid="&amp;XLOOKUP(B53,ID___!A:A,ID___!B:B,"")&amp;"&amp;range=A1:J1","Click"))</f>
        <v>Click</v>
      </c>
      <c r="B53" s="19" t="str">
        <f>IFERROR(__xludf.DUMMYFUNCTION("""COMPUTED_VALUE"""),"KHR")</f>
        <v>KHR</v>
      </c>
      <c r="C53" s="17" t="str">
        <f>IFERROR(__xludf.DUMMYFUNCTION("""COMPUTED_VALUE"""),"Dr. Md. Khalilur Rahman")</f>
        <v>Dr. Md. Khalilur Rahman</v>
      </c>
      <c r="D53" s="16" t="str">
        <f>IFERROR(__xludf.DUMMYFUNCTION("""COMPUTED_VALUE"""),"Professor")</f>
        <v>Professor</v>
      </c>
      <c r="E53" s="16" t="str">
        <f>IFERROR(__xludf.DUMMYFUNCTION("""COMPUTED_VALUE"""),"Full Time")</f>
        <v>Full Time</v>
      </c>
      <c r="F53" s="16" t="str">
        <f>IFERROR(__xludf.DUMMYFUNCTION("""COMPUTED_VALUE"""),"4G08")</f>
        <v>4G08</v>
      </c>
      <c r="G53" s="17" t="str">
        <f>IFERROR(__xludf.DUMMYFUNCTION("""COMPUTED_VALUE"""),"khalilur@bracu.ac.bd")</f>
        <v>khalilur@bracu.ac.bd</v>
      </c>
    </row>
    <row r="54">
      <c r="A54" s="18" t="str">
        <f t="array" ref="A54">IF(ISBLANK(B54),,HYPERLINK("https://docs.google.com/spreadsheets/d/1aZ_8do2w3aA382MhZyJKG5amXZ6fpthJYoLsdM9x0gU/edit?gid="&amp;XLOOKUP(B54,ID___!A:A,ID___!B:B,"")&amp;"#gid="&amp;XLOOKUP(B54,ID___!A:A,ID___!B:B,"")&amp;"&amp;range=A1:J1","Click"))</f>
        <v>Click</v>
      </c>
      <c r="B54" s="19" t="str">
        <f>IFERROR(__xludf.DUMMYFUNCTION("""COMPUTED_VALUE"""),"KKP")</f>
        <v>KKP</v>
      </c>
      <c r="C54" s="17" t="str">
        <f>IFERROR(__xludf.DUMMYFUNCTION("""COMPUTED_VALUE"""),"Mr. Kabbya Kantam Patwary")</f>
        <v>Mr. Kabbya Kantam Patwary</v>
      </c>
      <c r="D54" s="16" t="str">
        <f>IFERROR(__xludf.DUMMYFUNCTION("""COMPUTED_VALUE"""),"Lecturer")</f>
        <v>Lecturer</v>
      </c>
      <c r="E54" s="16" t="str">
        <f>IFERROR(__xludf.DUMMYFUNCTION("""COMPUTED_VALUE"""),"Full Time")</f>
        <v>Full Time</v>
      </c>
      <c r="F54" s="16" t="str">
        <f>IFERROR(__xludf.DUMMYFUNCTION("""COMPUTED_VALUE"""),"4J57")</f>
        <v>4J57</v>
      </c>
      <c r="G54" s="17" t="str">
        <f>IFERROR(__xludf.DUMMYFUNCTION("""COMPUTED_VALUE"""),"kabbya.kantam@bracu.ac.bd")</f>
        <v>kabbya.kantam@bracu.ac.bd</v>
      </c>
    </row>
    <row r="55">
      <c r="A55" s="18" t="str">
        <f t="array" ref="A55">IF(ISBLANK(B55),,HYPERLINK("https://docs.google.com/spreadsheets/d/1aZ_8do2w3aA382MhZyJKG5amXZ6fpthJYoLsdM9x0gU/edit?gid="&amp;XLOOKUP(B55,ID___!A:A,ID___!B:B,"")&amp;"#gid="&amp;XLOOKUP(B55,ID___!A:A,ID___!B:B,"")&amp;"&amp;range=A1:J1","Click"))</f>
        <v>Click</v>
      </c>
      <c r="B55" s="19" t="str">
        <f>IFERROR(__xludf.DUMMYFUNCTION("""COMPUTED_VALUE"""),"KKS")</f>
        <v>KKS</v>
      </c>
      <c r="C55" s="17" t="str">
        <f>IFERROR(__xludf.DUMMYFUNCTION("""COMPUTED_VALUE"""),"Md. Khaliduzzaman Khan Samrat")</f>
        <v>Md. Khaliduzzaman Khan Samrat</v>
      </c>
      <c r="D55" s="16" t="str">
        <f>IFERROR(__xludf.DUMMYFUNCTION("""COMPUTED_VALUE"""),"Lecturer")</f>
        <v>Lecturer</v>
      </c>
      <c r="E55" s="16" t="str">
        <f>IFERROR(__xludf.DUMMYFUNCTION("""COMPUTED_VALUE"""),"Full Time")</f>
        <v>Full Time</v>
      </c>
      <c r="F55" s="16" t="str">
        <f>IFERROR(__xludf.DUMMYFUNCTION("""COMPUTED_VALUE"""),"4M122")</f>
        <v>4M122</v>
      </c>
      <c r="G55" s="17" t="str">
        <f>IFERROR(__xludf.DUMMYFUNCTION("""COMPUTED_VALUE"""),"md.khaliduzzaman@bracu.ac.bd")</f>
        <v>md.khaliduzzaman@bracu.ac.bd</v>
      </c>
    </row>
    <row r="56">
      <c r="A56" s="18" t="str">
        <f t="array" ref="A56">IF(ISBLANK(B56),,HYPERLINK("https://docs.google.com/spreadsheets/d/1aZ_8do2w3aA382MhZyJKG5amXZ6fpthJYoLsdM9x0gU/edit?gid="&amp;XLOOKUP(B56,ID___!A:A,ID___!B:B,"")&amp;"#gid="&amp;XLOOKUP(B56,ID___!A:A,ID___!B:B,"")&amp;"&amp;range=A1:J1","Click"))</f>
        <v>Click</v>
      </c>
      <c r="B56" s="19" t="str">
        <f>IFERROR(__xludf.DUMMYFUNCTION("""COMPUTED_VALUE"""),"KNI")</f>
        <v>KNI</v>
      </c>
      <c r="C56" s="17" t="str">
        <f>IFERROR(__xludf.DUMMYFUNCTION("""COMPUTED_VALUE"""),"Ms. Khondoker Nazia Iqbal")</f>
        <v>Ms. Khondoker Nazia Iqbal</v>
      </c>
      <c r="D56" s="16" t="str">
        <f>IFERROR(__xludf.DUMMYFUNCTION("""COMPUTED_VALUE"""),"Lecturer")</f>
        <v>Lecturer</v>
      </c>
      <c r="E56" s="16" t="str">
        <f>IFERROR(__xludf.DUMMYFUNCTION("""COMPUTED_VALUE"""),"Full Time")</f>
        <v>Full Time</v>
      </c>
      <c r="F56" s="16" t="str">
        <f>IFERROR(__xludf.DUMMYFUNCTION("""COMPUTED_VALUE"""),"4K86")</f>
        <v>4K86</v>
      </c>
      <c r="G56" s="17" t="str">
        <f>IFERROR(__xludf.DUMMYFUNCTION("""COMPUTED_VALUE"""),"nazia.iqbal@bracu.ac.bd")</f>
        <v>nazia.iqbal@bracu.ac.bd</v>
      </c>
    </row>
    <row r="57">
      <c r="A57" s="18" t="str">
        <f t="array" ref="A57">IF(ISBLANK(B57),,HYPERLINK("https://docs.google.com/spreadsheets/d/1aZ_8do2w3aA382MhZyJKG5amXZ6fpthJYoLsdM9x0gU/edit?gid="&amp;XLOOKUP(B57,ID___!A:A,ID___!B:B,"")&amp;"#gid="&amp;XLOOKUP(B57,ID___!A:A,ID___!B:B,"")&amp;"&amp;range=A1:J1","Click"))</f>
        <v>Click</v>
      </c>
      <c r="B57" s="19" t="str">
        <f>IFERROR(__xludf.DUMMYFUNCTION("""COMPUTED_VALUE"""),"KYK")</f>
        <v>KYK</v>
      </c>
      <c r="C57" s="17" t="str">
        <f>IFERROR(__xludf.DUMMYFUNCTION("""COMPUTED_VALUE"""),"Dr. Mohammad Kaykobad")</f>
        <v>Dr. Mohammad Kaykobad</v>
      </c>
      <c r="D57" s="16" t="str">
        <f>IFERROR(__xludf.DUMMYFUNCTION("""COMPUTED_VALUE"""),"Professor")</f>
        <v>Professor</v>
      </c>
      <c r="E57" s="16" t="str">
        <f>IFERROR(__xludf.DUMMYFUNCTION("""COMPUTED_VALUE"""),"Full Time")</f>
        <v>Full Time</v>
      </c>
      <c r="F57" s="16" t="str">
        <f>IFERROR(__xludf.DUMMYFUNCTION("""COMPUTED_VALUE"""),"4G11")</f>
        <v>4G11</v>
      </c>
      <c r="G57" s="17" t="str">
        <f>IFERROR(__xludf.DUMMYFUNCTION("""COMPUTED_VALUE"""),"kaykobad@bracu.ac.bd")</f>
        <v>kaykobad@bracu.ac.bd</v>
      </c>
    </row>
    <row r="58">
      <c r="A58" s="18" t="str">
        <f t="array" ref="A58">IF(ISBLANK(B58),,HYPERLINK("https://docs.google.com/spreadsheets/d/1aZ_8do2w3aA382MhZyJKG5amXZ6fpthJYoLsdM9x0gU/edit?gid="&amp;XLOOKUP(B58,ID___!A:A,ID___!B:B,"")&amp;"#gid="&amp;XLOOKUP(B58,ID___!A:A,ID___!B:B,"")&amp;"&amp;range=A1:J1","Click"))</f>
        <v>Click</v>
      </c>
      <c r="B58" s="19" t="str">
        <f>IFERROR(__xludf.DUMMYFUNCTION("""COMPUTED_VALUE"""),"KZMN")</f>
        <v>KZMN</v>
      </c>
      <c r="C58" s="17" t="str">
        <f>IFERROR(__xludf.DUMMYFUNCTION("""COMPUTED_VALUE"""),"Kazi Kamruzzaman Rabbi")</f>
        <v>Kazi Kamruzzaman Rabbi</v>
      </c>
      <c r="D58" s="16" t="str">
        <f>IFERROR(__xludf.DUMMYFUNCTION("""COMPUTED_VALUE"""),"Lecturer")</f>
        <v>Lecturer</v>
      </c>
      <c r="E58" s="16" t="str">
        <f>IFERROR(__xludf.DUMMYFUNCTION("""COMPUTED_VALUE"""),"Full Time")</f>
        <v>Full Time</v>
      </c>
      <c r="F58" s="16" t="str">
        <f>IFERROR(__xludf.DUMMYFUNCTION("""COMPUTED_VALUE"""),"4N135")</f>
        <v>4N135</v>
      </c>
      <c r="G58" s="17" t="str">
        <f>IFERROR(__xludf.DUMMYFUNCTION("""COMPUTED_VALUE"""),"kazi.kamruzzaman@bracu.ac.bd")</f>
        <v>kazi.kamruzzaman@bracu.ac.bd</v>
      </c>
    </row>
    <row r="59">
      <c r="A59" s="18" t="str">
        <f t="array" ref="A59">IF(ISBLANK(B59),,HYPERLINK("https://docs.google.com/spreadsheets/d/1aZ_8do2w3aA382MhZyJKG5amXZ6fpthJYoLsdM9x0gU/edit?gid="&amp;XLOOKUP(B59,ID___!A:A,ID___!B:B,"")&amp;"#gid="&amp;XLOOKUP(B59,ID___!A:A,ID___!B:B,"")&amp;"&amp;range=A1:J1","Click"))</f>
        <v>Click</v>
      </c>
      <c r="B59" s="19" t="str">
        <f>IFERROR(__xludf.DUMMYFUNCTION("""COMPUTED_VALUE"""),"LBBH")</f>
        <v>LBBH</v>
      </c>
      <c r="C59" s="17" t="str">
        <f>IFERROR(__xludf.DUMMYFUNCTION("""COMPUTED_VALUE"""),"Labib Hasan Khan")</f>
        <v>Labib Hasan Khan</v>
      </c>
      <c r="D59" s="16" t="str">
        <f>IFERROR(__xludf.DUMMYFUNCTION("""COMPUTED_VALUE"""),"Lecturer")</f>
        <v>Lecturer</v>
      </c>
      <c r="E59" s="16" t="str">
        <f>IFERROR(__xludf.DUMMYFUNCTION("""COMPUTED_VALUE"""),"Full Time")</f>
        <v>Full Time</v>
      </c>
      <c r="F59" s="16" t="str">
        <f>IFERROR(__xludf.DUMMYFUNCTION("""COMPUTED_VALUE"""),"4N136")</f>
        <v>4N136</v>
      </c>
      <c r="G59" s="17" t="str">
        <f>IFERROR(__xludf.DUMMYFUNCTION("""COMPUTED_VALUE"""),"labib.hasan@bracu.ac.bd")</f>
        <v>labib.hasan@bracu.ac.bd</v>
      </c>
    </row>
    <row r="60">
      <c r="A60" s="18" t="str">
        <f t="array" ref="A60">IF(ISBLANK(B60),,HYPERLINK("https://docs.google.com/spreadsheets/d/1aZ_8do2w3aA382MhZyJKG5amXZ6fpthJYoLsdM9x0gU/edit?gid="&amp;XLOOKUP(B60,ID___!A:A,ID___!B:B,"")&amp;"#gid="&amp;XLOOKUP(B60,ID___!A:A,ID___!B:B,"")&amp;"&amp;range=A1:J1","Click"))</f>
        <v>Click</v>
      </c>
      <c r="B60" s="19" t="str">
        <f>IFERROR(__xludf.DUMMYFUNCTION("""COMPUTED_VALUE"""),"LRK")</f>
        <v>LRK</v>
      </c>
      <c r="C60" s="17" t="str">
        <f>IFERROR(__xludf.DUMMYFUNCTION("""COMPUTED_VALUE"""),"Lara khanom")</f>
        <v>Lara khanom</v>
      </c>
      <c r="D60" s="16" t="str">
        <f>IFERROR(__xludf.DUMMYFUNCTION("""COMPUTED_VALUE"""),"Lecturer")</f>
        <v>Lecturer</v>
      </c>
      <c r="E60" s="16" t="str">
        <f>IFERROR(__xludf.DUMMYFUNCTION("""COMPUTED_VALUE"""),"Full Time")</f>
        <v>Full Time</v>
      </c>
      <c r="F60" s="16" t="str">
        <f>IFERROR(__xludf.DUMMYFUNCTION("""COMPUTED_VALUE"""),"4K74")</f>
        <v>4K74</v>
      </c>
      <c r="G60" s="17" t="str">
        <f>IFERROR(__xludf.DUMMYFUNCTION("""COMPUTED_VALUE"""),"lara.khanom@bracu.ac.bd")</f>
        <v>lara.khanom@bracu.ac.bd</v>
      </c>
    </row>
    <row r="61">
      <c r="A61" s="18" t="str">
        <f t="array" ref="A61">IF(ISBLANK(B61),,HYPERLINK("https://docs.google.com/spreadsheets/d/1aZ_8do2w3aA382MhZyJKG5amXZ6fpthJYoLsdM9x0gU/edit?gid="&amp;XLOOKUP(B61,ID___!A:A,ID___!B:B,"")&amp;"#gid="&amp;XLOOKUP(B61,ID___!A:A,ID___!B:B,"")&amp;"&amp;range=A1:J1","Click"))</f>
        <v>Click</v>
      </c>
      <c r="B61" s="19" t="str">
        <f>IFERROR(__xludf.DUMMYFUNCTION("""COMPUTED_VALUE"""),"MAHR")</f>
        <v>MAHR</v>
      </c>
      <c r="C61" s="17" t="str">
        <f>IFERROR(__xludf.DUMMYFUNCTION("""COMPUTED_VALUE"""),"Mahrin Tasfe")</f>
        <v>Mahrin Tasfe</v>
      </c>
      <c r="D61" s="16" t="str">
        <f>IFERROR(__xludf.DUMMYFUNCTION("""COMPUTED_VALUE"""),"Senior Lecturer")</f>
        <v>Senior Lecturer</v>
      </c>
      <c r="E61" s="16" t="str">
        <f>IFERROR(__xludf.DUMMYFUNCTION("""COMPUTED_VALUE"""),"Full Time")</f>
        <v>Full Time</v>
      </c>
      <c r="F61" s="16" t="str">
        <f>IFERROR(__xludf.DUMMYFUNCTION("""COMPUTED_VALUE"""),"4G30")</f>
        <v>4G30</v>
      </c>
      <c r="G61" s="17" t="str">
        <f>IFERROR(__xludf.DUMMYFUNCTION("""COMPUTED_VALUE"""),"mahrin.tasfe@bracu.ac.bd")</f>
        <v>mahrin.tasfe@bracu.ac.bd</v>
      </c>
    </row>
    <row r="62">
      <c r="A62" s="18" t="str">
        <f t="array" ref="A62">IF(ISBLANK(B62),,HYPERLINK("https://docs.google.com/spreadsheets/d/1aZ_8do2w3aA382MhZyJKG5amXZ6fpthJYoLsdM9x0gU/edit?gid="&amp;XLOOKUP(B62,ID___!A:A,ID___!B:B,"")&amp;"#gid="&amp;XLOOKUP(B62,ID___!A:A,ID___!B:B,"")&amp;"&amp;range=A1:J1","Click"))</f>
        <v>Click</v>
      </c>
      <c r="B62" s="19" t="str">
        <f>IFERROR(__xludf.DUMMYFUNCTION("""COMPUTED_VALUE"""),"MAHS")</f>
        <v>MAHS</v>
      </c>
      <c r="C62" s="17" t="str">
        <f>IFERROR(__xludf.DUMMYFUNCTION("""COMPUTED_VALUE"""),"Md Arif Hasan")</f>
        <v>Md Arif Hasan</v>
      </c>
      <c r="D62" s="16" t="str">
        <f>IFERROR(__xludf.DUMMYFUNCTION("""COMPUTED_VALUE"""),"Lecturer")</f>
        <v>Lecturer</v>
      </c>
      <c r="E62" s="16" t="str">
        <f>IFERROR(__xludf.DUMMYFUNCTION("""COMPUTED_VALUE"""),"Full Time")</f>
        <v>Full Time</v>
      </c>
      <c r="F62" s="16" t="str">
        <f>IFERROR(__xludf.DUMMYFUNCTION("""COMPUTED_VALUE"""),"4P176")</f>
        <v>4P176</v>
      </c>
      <c r="G62" s="17" t="str">
        <f>IFERROR(__xludf.DUMMYFUNCTION("""COMPUTED_VALUE"""),"arif.hasan@bracu.ac.bd")</f>
        <v>arif.hasan@bracu.ac.bd</v>
      </c>
    </row>
    <row r="63">
      <c r="A63" s="18" t="str">
        <f t="array" ref="A63">IF(ISBLANK(B63),,HYPERLINK("https://docs.google.com/spreadsheets/d/1aZ_8do2w3aA382MhZyJKG5amXZ6fpthJYoLsdM9x0gU/edit?gid="&amp;XLOOKUP(B63,ID___!A:A,ID___!B:B,"")&amp;"#gid="&amp;XLOOKUP(B63,ID___!A:A,ID___!B:B,"")&amp;"&amp;range=A1:J1","Click"))</f>
        <v>Click</v>
      </c>
      <c r="B63" s="19" t="str">
        <f>IFERROR(__xludf.DUMMYFUNCTION("""COMPUTED_VALUE"""),"MAJIJ")</f>
        <v>MAJIJ</v>
      </c>
      <c r="C63" s="17" t="str">
        <f>IFERROR(__xludf.DUMMYFUNCTION("""COMPUTED_VALUE"""),"Majisha Jahan Disha")</f>
        <v>Majisha Jahan Disha</v>
      </c>
      <c r="D63" s="16" t="str">
        <f>IFERROR(__xludf.DUMMYFUNCTION("""COMPUTED_VALUE"""),"Lecturer")</f>
        <v>Lecturer</v>
      </c>
      <c r="E63" s="16" t="str">
        <f>IFERROR(__xludf.DUMMYFUNCTION("""COMPUTED_VALUE"""),"Full Time")</f>
        <v>Full Time</v>
      </c>
      <c r="F63" s="16" t="str">
        <f>IFERROR(__xludf.DUMMYFUNCTION("""COMPUTED_VALUE"""),"4K71")</f>
        <v>4K71</v>
      </c>
      <c r="G63" s="17" t="str">
        <f>IFERROR(__xludf.DUMMYFUNCTION("""COMPUTED_VALUE"""),"majisha.jahan@bracu.ac.bd")</f>
        <v>majisha.jahan@bracu.ac.bd</v>
      </c>
    </row>
    <row r="64">
      <c r="A64" s="18" t="str">
        <f t="array" ref="A64">IF(ISBLANK(B64),,HYPERLINK("https://docs.google.com/spreadsheets/d/1aZ_8do2w3aA382MhZyJKG5amXZ6fpthJYoLsdM9x0gU/edit?gid="&amp;XLOOKUP(B64,ID___!A:A,ID___!B:B,"")&amp;"#gid="&amp;XLOOKUP(B64,ID___!A:A,ID___!B:B,"")&amp;"&amp;range=A1:J1","Click"))</f>
        <v>Click</v>
      </c>
      <c r="B64" s="19" t="str">
        <f>IFERROR(__xludf.DUMMYFUNCTION("""COMPUTED_VALUE"""),"MAO")</f>
        <v>MAO</v>
      </c>
      <c r="C64" s="17" t="str">
        <f>IFERROR(__xludf.DUMMYFUNCTION("""COMPUTED_VALUE"""),"Mirza Abdullah Al Noman")</f>
        <v>Mirza Abdullah Al Noman</v>
      </c>
      <c r="D64" s="16" t="str">
        <f>IFERROR(__xludf.DUMMYFUNCTION("""COMPUTED_VALUE"""),"Lecturer")</f>
        <v>Lecturer</v>
      </c>
      <c r="E64" s="16" t="str">
        <f>IFERROR(__xludf.DUMMYFUNCTION("""COMPUTED_VALUE"""),"Full Time")</f>
        <v>Full Time</v>
      </c>
      <c r="F64" s="16" t="str">
        <f>IFERROR(__xludf.DUMMYFUNCTION("""COMPUTED_VALUE"""),"4N162")</f>
        <v>4N162</v>
      </c>
      <c r="G64" s="17" t="str">
        <f>IFERROR(__xludf.DUMMYFUNCTION("""COMPUTED_VALUE"""),"mirza.abdullah@bracu.ac.bd")</f>
        <v>mirza.abdullah@bracu.ac.bd</v>
      </c>
    </row>
    <row r="65">
      <c r="A65" s="18" t="str">
        <f t="array" ref="A65">IF(ISBLANK(B65),,HYPERLINK("https://docs.google.com/spreadsheets/d/1aZ_8do2w3aA382MhZyJKG5amXZ6fpthJYoLsdM9x0gU/edit?gid="&amp;XLOOKUP(B65,ID___!A:A,ID___!B:B,"")&amp;"#gid="&amp;XLOOKUP(B65,ID___!A:A,ID___!B:B,"")&amp;"&amp;range=A1:J1","Click"))</f>
        <v>Click</v>
      </c>
      <c r="B65" s="19" t="str">
        <f>IFERROR(__xludf.DUMMYFUNCTION("""COMPUTED_VALUE"""),"MAU")</f>
        <v>MAU</v>
      </c>
      <c r="C65" s="17" t="str">
        <f>IFERROR(__xludf.DUMMYFUNCTION("""COMPUTED_VALUE"""),"Marshia Nujhat")</f>
        <v>Marshia Nujhat</v>
      </c>
      <c r="D65" s="16" t="str">
        <f>IFERROR(__xludf.DUMMYFUNCTION("""COMPUTED_VALUE"""),"Lecturer")</f>
        <v>Lecturer</v>
      </c>
      <c r="E65" s="16" t="str">
        <f>IFERROR(__xludf.DUMMYFUNCTION("""COMPUTED_VALUE"""),"Full Time")</f>
        <v>Full Time</v>
      </c>
      <c r="F65" s="16" t="str">
        <f>IFERROR(__xludf.DUMMYFUNCTION("""COMPUTED_VALUE"""),"4K85")</f>
        <v>4K85</v>
      </c>
      <c r="G65" s="17" t="str">
        <f>IFERROR(__xludf.DUMMYFUNCTION("""COMPUTED_VALUE"""),"marshia.nujhat@bracu.ac.bd")</f>
        <v>marshia.nujhat@bracu.ac.bd</v>
      </c>
    </row>
    <row r="66">
      <c r="A66" s="18" t="str">
        <f t="array" ref="A66">IF(ISBLANK(B66),,HYPERLINK("https://docs.google.com/spreadsheets/d/1aZ_8do2w3aA382MhZyJKG5amXZ6fpthJYoLsdM9x0gU/edit?gid="&amp;XLOOKUP(B66,ID___!A:A,ID___!B:B,"")&amp;"#gid="&amp;XLOOKUP(B66,ID___!A:A,ID___!B:B,"")&amp;"&amp;range=A1:J1","Click"))</f>
        <v>Click</v>
      </c>
      <c r="B66" s="19" t="str">
        <f>IFERROR(__xludf.DUMMYFUNCTION("""COMPUTED_VALUE"""),"MDF")</f>
        <v>MDF</v>
      </c>
      <c r="C66" s="17" t="str">
        <f>IFERROR(__xludf.DUMMYFUNCTION("""COMPUTED_VALUE"""),"Mr. Mohammad Fahim")</f>
        <v>Mr. Mohammad Fahim</v>
      </c>
      <c r="D66" s="16" t="str">
        <f>IFERROR(__xludf.DUMMYFUNCTION("""COMPUTED_VALUE"""),"Lecturer")</f>
        <v>Lecturer</v>
      </c>
      <c r="E66" s="16" t="str">
        <f>IFERROR(__xludf.DUMMYFUNCTION("""COMPUTED_VALUE"""),"Full Time")</f>
        <v>Full Time</v>
      </c>
      <c r="F66" s="16" t="str">
        <f>IFERROR(__xludf.DUMMYFUNCTION("""COMPUTED_VALUE"""),"4J52")</f>
        <v>4J52</v>
      </c>
      <c r="G66" s="17" t="str">
        <f>IFERROR(__xludf.DUMMYFUNCTION("""COMPUTED_VALUE"""),"mohammad.fahim@bracu.ac.bd")</f>
        <v>mohammad.fahim@bracu.ac.bd</v>
      </c>
    </row>
    <row r="67">
      <c r="A67" s="18" t="str">
        <f t="array" ref="A67">IF(ISBLANK(B67),,HYPERLINK("https://docs.google.com/spreadsheets/d/1aZ_8do2w3aA382MhZyJKG5amXZ6fpthJYoLsdM9x0gU/edit?gid="&amp;XLOOKUP(B67,ID___!A:A,ID___!B:B,"")&amp;"#gid="&amp;XLOOKUP(B67,ID___!A:A,ID___!B:B,"")&amp;"&amp;range=A1:J1","Click"))</f>
        <v>Click</v>
      </c>
      <c r="B67" s="19" t="str">
        <f>IFERROR(__xludf.DUMMYFUNCTION("""COMPUTED_VALUE"""),"MHDE")</f>
        <v>MHDE</v>
      </c>
      <c r="C67" s="17" t="str">
        <f>IFERROR(__xludf.DUMMYFUNCTION("""COMPUTED_VALUE"""),"Mehedi Hasan Emo")</f>
        <v>Mehedi Hasan Emo</v>
      </c>
      <c r="D67" s="16" t="str">
        <f>IFERROR(__xludf.DUMMYFUNCTION("""COMPUTED_VALUE"""),"Lecturer")</f>
        <v>Lecturer</v>
      </c>
      <c r="E67" s="16" t="str">
        <f>IFERROR(__xludf.DUMMYFUNCTION("""COMPUTED_VALUE"""),"Full Time")</f>
        <v>Full Time</v>
      </c>
      <c r="F67" s="16" t="str">
        <f>IFERROR(__xludf.DUMMYFUNCTION("""COMPUTED_VALUE"""),"4M134")</f>
        <v>4M134</v>
      </c>
      <c r="G67" s="17" t="str">
        <f>IFERROR(__xludf.DUMMYFUNCTION("""COMPUTED_VALUE"""),"mehedi.emo@bracu.ac.bd")</f>
        <v>mehedi.emo@bracu.ac.bd</v>
      </c>
    </row>
    <row r="68">
      <c r="A68" s="18" t="str">
        <f t="array" ref="A68">IF(ISBLANK(B68),,HYPERLINK("https://docs.google.com/spreadsheets/d/1aZ_8do2w3aA382MhZyJKG5amXZ6fpthJYoLsdM9x0gU/edit?gid="&amp;XLOOKUP(B68,ID___!A:A,ID___!B:B,"")&amp;"#gid="&amp;XLOOKUP(B68,ID___!A:A,ID___!B:B,"")&amp;"&amp;range=A1:J1","Click"))</f>
        <v>Click</v>
      </c>
      <c r="B68" s="19" t="str">
        <f>IFERROR(__xludf.DUMMYFUNCTION("""COMPUTED_VALUE"""),"MIH")</f>
        <v>MIH</v>
      </c>
      <c r="C68" s="17" t="str">
        <f>IFERROR(__xludf.DUMMYFUNCTION("""COMPUTED_VALUE"""),"Dr. Muhammad Iqbal Hossain")</f>
        <v>Dr. Muhammad Iqbal Hossain</v>
      </c>
      <c r="D68" s="16" t="str">
        <f>IFERROR(__xludf.DUMMYFUNCTION("""COMPUTED_VALUE"""),"Associate Professor")</f>
        <v>Associate Professor</v>
      </c>
      <c r="E68" s="16" t="str">
        <f>IFERROR(__xludf.DUMMYFUNCTION("""COMPUTED_VALUE"""),"Full Time")</f>
        <v>Full Time</v>
      </c>
      <c r="F68" s="16" t="str">
        <f>IFERROR(__xludf.DUMMYFUNCTION("""COMPUTED_VALUE"""),"4G22")</f>
        <v>4G22</v>
      </c>
      <c r="G68" s="17" t="str">
        <f>IFERROR(__xludf.DUMMYFUNCTION("""COMPUTED_VALUE"""),"iqbal.hossain@bracu.ac.bd")</f>
        <v>iqbal.hossain@bracu.ac.bd</v>
      </c>
    </row>
    <row r="69">
      <c r="A69" s="18" t="str">
        <f t="array" ref="A69">IF(ISBLANK(B69),,HYPERLINK("https://docs.google.com/spreadsheets/d/1aZ_8do2w3aA382MhZyJKG5amXZ6fpthJYoLsdM9x0gU/edit?gid="&amp;XLOOKUP(B69,ID___!A:A,ID___!B:B,"")&amp;"#gid="&amp;XLOOKUP(B69,ID___!A:A,ID___!B:B,"")&amp;"&amp;range=A1:J1","Click"))</f>
        <v>Click</v>
      </c>
      <c r="B69" s="19" t="str">
        <f>IFERROR(__xludf.DUMMYFUNCTION("""COMPUTED_VALUE"""),"MMM")</f>
        <v>MMM</v>
      </c>
      <c r="C69" s="17" t="str">
        <f>IFERROR(__xludf.DUMMYFUNCTION("""COMPUTED_VALUE"""),"Mr. Moin Mostakim")</f>
        <v>Mr. Moin Mostakim</v>
      </c>
      <c r="D69" s="16" t="str">
        <f>IFERROR(__xludf.DUMMYFUNCTION("""COMPUTED_VALUE"""),"Senior Lecturer")</f>
        <v>Senior Lecturer</v>
      </c>
      <c r="E69" s="16" t="str">
        <f>IFERROR(__xludf.DUMMYFUNCTION("""COMPUTED_VALUE"""),"Full Time")</f>
        <v>Full Time</v>
      </c>
      <c r="F69" s="16" t="str">
        <f>IFERROR(__xludf.DUMMYFUNCTION("""COMPUTED_VALUE"""),"4G02")</f>
        <v>4G02</v>
      </c>
      <c r="G69" s="17" t="str">
        <f>IFERROR(__xludf.DUMMYFUNCTION("""COMPUTED_VALUE"""),"mostakim@bracu.ac.bd")</f>
        <v>mostakim@bracu.ac.bd</v>
      </c>
    </row>
    <row r="70">
      <c r="A70" s="18" t="str">
        <f t="array" ref="A70">IF(ISBLANK(B70),,HYPERLINK("https://docs.google.com/spreadsheets/d/1aZ_8do2w3aA382MhZyJKG5amXZ6fpthJYoLsdM9x0gU/edit?gid="&amp;XLOOKUP(B70,ID___!A:A,ID___!B:B,"")&amp;"#gid="&amp;XLOOKUP(B70,ID___!A:A,ID___!B:B,"")&amp;"&amp;range=A1:J1","Click"))</f>
        <v>Click</v>
      </c>
      <c r="B70" s="19" t="str">
        <f>IFERROR(__xludf.DUMMYFUNCTION("""COMPUTED_VALUE"""),"MNP")</f>
        <v>MNP</v>
      </c>
      <c r="C70" s="17" t="str">
        <f>IFERROR(__xludf.DUMMYFUNCTION("""COMPUTED_VALUE"""),"Mushfique Nasir Probor")</f>
        <v>Mushfique Nasir Probor</v>
      </c>
      <c r="D70" s="16" t="str">
        <f>IFERROR(__xludf.DUMMYFUNCTION("""COMPUTED_VALUE"""),"Lecturer")</f>
        <v>Lecturer</v>
      </c>
      <c r="E70" s="16" t="str">
        <f>IFERROR(__xludf.DUMMYFUNCTION("""COMPUTED_VALUE"""),"Full Time")</f>
        <v>Full Time</v>
      </c>
      <c r="F70" s="16" t="str">
        <f>IFERROR(__xludf.DUMMYFUNCTION("""COMPUTED_VALUE"""),"4L90")</f>
        <v>4L90</v>
      </c>
      <c r="G70" s="17" t="str">
        <f>IFERROR(__xludf.DUMMYFUNCTION("""COMPUTED_VALUE"""),"mushfique.nasir@bracu.ac.bd")</f>
        <v>mushfique.nasir@bracu.ac.bd</v>
      </c>
    </row>
    <row r="71">
      <c r="A71" s="18" t="str">
        <f t="array" ref="A71">IF(ISBLANK(B71),,HYPERLINK("https://docs.google.com/spreadsheets/d/1aZ_8do2w3aA382MhZyJKG5amXZ6fpthJYoLsdM9x0gU/edit?gid="&amp;XLOOKUP(B71,ID___!A:A,ID___!B:B,"")&amp;"#gid="&amp;XLOOKUP(B71,ID___!A:A,ID___!B:B,"")&amp;"&amp;range=A1:J1","Click"))</f>
        <v>Click</v>
      </c>
      <c r="B71" s="19" t="str">
        <f>IFERROR(__xludf.DUMMYFUNCTION("""COMPUTED_VALUE"""),"MNY")</f>
        <v>MNY</v>
      </c>
      <c r="C71" s="17" t="str">
        <f>IFERROR(__xludf.DUMMYFUNCTION("""COMPUTED_VALUE"""),"Dr. Muhammad Nur Yanhaona")</f>
        <v>Dr. Muhammad Nur Yanhaona</v>
      </c>
      <c r="D71" s="16" t="str">
        <f>IFERROR(__xludf.DUMMYFUNCTION("""COMPUTED_VALUE"""),"Associate Professor")</f>
        <v>Associate Professor</v>
      </c>
      <c r="E71" s="16" t="str">
        <f>IFERROR(__xludf.DUMMYFUNCTION("""COMPUTED_VALUE"""),"Full Time")</f>
        <v>Full Time</v>
      </c>
      <c r="F71" s="16" t="str">
        <f>IFERROR(__xludf.DUMMYFUNCTION("""COMPUTED_VALUE"""),"4G06")</f>
        <v>4G06</v>
      </c>
      <c r="G71" s="17" t="str">
        <f>IFERROR(__xludf.DUMMYFUNCTION("""COMPUTED_VALUE"""),"nur.yanhaona@bracu.ac.bd")</f>
        <v>nur.yanhaona@bracu.ac.bd</v>
      </c>
    </row>
    <row r="72">
      <c r="A72" s="18" t="str">
        <f t="array" ref="A72">IF(ISBLANK(B72),,HYPERLINK("https://docs.google.com/spreadsheets/d/1aZ_8do2w3aA382MhZyJKG5amXZ6fpthJYoLsdM9x0gU/edit?gid="&amp;XLOOKUP(B72,ID___!A:A,ID___!B:B,"")&amp;"#gid="&amp;XLOOKUP(B72,ID___!A:A,ID___!B:B,"")&amp;"&amp;range=A1:J1","Click"))</f>
        <v>Click</v>
      </c>
      <c r="B72" s="19" t="str">
        <f>IFERROR(__xludf.DUMMYFUNCTION("""COMPUTED_VALUE"""),"MOM")</f>
        <v>MOM</v>
      </c>
      <c r="C72" s="17" t="str">
        <f>IFERROR(__xludf.DUMMYFUNCTION("""COMPUTED_VALUE"""),"Md. Moynul Asik Moni")</f>
        <v>Md. Moynul Asik Moni</v>
      </c>
      <c r="D72" s="16" t="str">
        <f>IFERROR(__xludf.DUMMYFUNCTION("""COMPUTED_VALUE"""),"Lecturer")</f>
        <v>Lecturer</v>
      </c>
      <c r="E72" s="16" t="str">
        <f>IFERROR(__xludf.DUMMYFUNCTION("""COMPUTED_VALUE"""),"Full Time")</f>
        <v>Full Time</v>
      </c>
      <c r="F72" s="16" t="str">
        <f>IFERROR(__xludf.DUMMYFUNCTION("""COMPUTED_VALUE"""),"4N158")</f>
        <v>4N158</v>
      </c>
      <c r="G72" s="17" t="str">
        <f>IFERROR(__xludf.DUMMYFUNCTION("""COMPUTED_VALUE"""),"moynul.moni@bracu.ac.bd")</f>
        <v>moynul.moni@bracu.ac.bd</v>
      </c>
    </row>
    <row r="73">
      <c r="A73" s="18" t="str">
        <f t="array" ref="A73">IF(ISBLANK(B73),,HYPERLINK("https://docs.google.com/spreadsheets/d/1aZ_8do2w3aA382MhZyJKG5amXZ6fpthJYoLsdM9x0gU/edit?gid="&amp;XLOOKUP(B73,ID___!A:A,ID___!B:B,"")&amp;"#gid="&amp;XLOOKUP(B73,ID___!A:A,ID___!B:B,"")&amp;"&amp;range=A1:J1","Click"))</f>
        <v>Click</v>
      </c>
      <c r="B73" s="19" t="str">
        <f>IFERROR(__xludf.DUMMYFUNCTION("""COMPUTED_VALUE"""),"MRIA")</f>
        <v>MRIA</v>
      </c>
      <c r="C73" s="17" t="str">
        <f>IFERROR(__xludf.DUMMYFUNCTION("""COMPUTED_VALUE"""),"Ummay Maria  Muna")</f>
        <v>Ummay Maria  Muna</v>
      </c>
      <c r="D73" s="16" t="str">
        <f>IFERROR(__xludf.DUMMYFUNCTION("""COMPUTED_VALUE"""),"Lecturer")</f>
        <v>Lecturer</v>
      </c>
      <c r="E73" s="16" t="str">
        <f>IFERROR(__xludf.DUMMYFUNCTION("""COMPUTED_VALUE"""),"Full Time")</f>
        <v>Full Time</v>
      </c>
      <c r="F73" s="16" t="str">
        <f>IFERROR(__xludf.DUMMYFUNCTION("""COMPUTED_VALUE"""),"4P180")</f>
        <v>4P180</v>
      </c>
      <c r="G73" s="17" t="str">
        <f>IFERROR(__xludf.DUMMYFUNCTION("""COMPUTED_VALUE"""),"maria.muna@bracu.ac.bd")</f>
        <v>maria.muna@bracu.ac.bd</v>
      </c>
    </row>
    <row r="74">
      <c r="A74" s="18" t="str">
        <f t="array" ref="A74">IF(ISBLANK(B74),,HYPERLINK("https://docs.google.com/spreadsheets/d/1aZ_8do2w3aA382MhZyJKG5amXZ6fpthJYoLsdM9x0gU/edit?gid="&amp;XLOOKUP(B74,ID___!A:A,ID___!B:B,"")&amp;"#gid="&amp;XLOOKUP(B74,ID___!A:A,ID___!B:B,"")&amp;"&amp;range=A1:J1","Click"))</f>
        <v>Click</v>
      </c>
      <c r="B74" s="19" t="str">
        <f>IFERROR(__xludf.DUMMYFUNCTION("""COMPUTED_VALUE"""),"MSA")</f>
        <v>MSA</v>
      </c>
      <c r="C74" s="17" t="str">
        <f>IFERROR(__xludf.DUMMYFUNCTION("""COMPUTED_VALUE"""),"Dr. Matin Saad Abdullah")</f>
        <v>Dr. Matin Saad Abdullah</v>
      </c>
      <c r="D74" s="16" t="str">
        <f>IFERROR(__xludf.DUMMYFUNCTION("""COMPUTED_VALUE"""),"Professor")</f>
        <v>Professor</v>
      </c>
      <c r="E74" s="16" t="str">
        <f>IFERROR(__xludf.DUMMYFUNCTION("""COMPUTED_VALUE"""),"Full Time")</f>
        <v>Full Time</v>
      </c>
      <c r="F74" s="16" t="str">
        <f>IFERROR(__xludf.DUMMYFUNCTION("""COMPUTED_VALUE"""),"4G04")</f>
        <v>4G04</v>
      </c>
      <c r="G74" s="17" t="str">
        <f>IFERROR(__xludf.DUMMYFUNCTION("""COMPUTED_VALUE"""),"mabdullah@bracu.ac.bd")</f>
        <v>mabdullah@bracu.ac.bd</v>
      </c>
    </row>
    <row r="75">
      <c r="A75" s="18" t="str">
        <f t="array" ref="A75">IF(ISBLANK(B75),,HYPERLINK("https://docs.google.com/spreadsheets/d/1aZ_8do2w3aA382MhZyJKG5amXZ6fpthJYoLsdM9x0gU/edit?gid="&amp;XLOOKUP(B75,ID___!A:A,ID___!B:B,"")&amp;"#gid="&amp;XLOOKUP(B75,ID___!A:A,ID___!B:B,"")&amp;"&amp;range=A1:J1","Click"))</f>
        <v>Click</v>
      </c>
      <c r="B75" s="19" t="str">
        <f>IFERROR(__xludf.DUMMYFUNCTION("""COMPUTED_VALUE"""),"MSAH")</f>
        <v>MSAH</v>
      </c>
      <c r="C75" s="17" t="str">
        <f>IFERROR(__xludf.DUMMYFUNCTION("""COMPUTED_VALUE"""),"Dr. Md. Sakir Hossain")</f>
        <v>Dr. Md. Sakir Hossain</v>
      </c>
      <c r="D75" s="16" t="str">
        <f>IFERROR(__xludf.DUMMYFUNCTION("""COMPUTED_VALUE"""),"Associate Professor")</f>
        <v>Associate Professor</v>
      </c>
      <c r="E75" s="16" t="str">
        <f>IFERROR(__xludf.DUMMYFUNCTION("""COMPUTED_VALUE"""),"Full Time")</f>
        <v>Full Time</v>
      </c>
      <c r="F75" s="16" t="str">
        <f>IFERROR(__xludf.DUMMYFUNCTION("""COMPUTED_VALUE"""),"4G17")</f>
        <v>4G17</v>
      </c>
      <c r="G75" s="17" t="str">
        <f>IFERROR(__xludf.DUMMYFUNCTION("""COMPUTED_VALUE"""),"sakir.hossain@bracu.ac.bd")</f>
        <v>sakir.hossain@bracu.ac.bd</v>
      </c>
    </row>
    <row r="76">
      <c r="A76" s="18" t="str">
        <f t="array" ref="A76">IF(ISBLANK(B76),,HYPERLINK("https://docs.google.com/spreadsheets/d/1aZ_8do2w3aA382MhZyJKG5amXZ6fpthJYoLsdM9x0gU/edit?gid="&amp;XLOOKUP(B76,ID___!A:A,ID___!B:B,"")&amp;"#gid="&amp;XLOOKUP(B76,ID___!A:A,ID___!B:B,"")&amp;"&amp;range=A1:J1","Click"))</f>
        <v>Click</v>
      </c>
      <c r="B76" s="19" t="str">
        <f>IFERROR(__xludf.DUMMYFUNCTION("""COMPUTED_VALUE"""),"MSI")</f>
        <v>MSI</v>
      </c>
      <c r="C76" s="17" t="str">
        <f>IFERROR(__xludf.DUMMYFUNCTION("""COMPUTED_VALUE"""),"Mr. Md. Saiful Islam")</f>
        <v>Mr. Md. Saiful Islam</v>
      </c>
      <c r="D76" s="16" t="str">
        <f>IFERROR(__xludf.DUMMYFUNCTION("""COMPUTED_VALUE"""),"Senior Lecturer")</f>
        <v>Senior Lecturer</v>
      </c>
      <c r="E76" s="16" t="str">
        <f>IFERROR(__xludf.DUMMYFUNCTION("""COMPUTED_VALUE"""),"Full Time")</f>
        <v>Full Time</v>
      </c>
      <c r="F76" s="16" t="str">
        <f>IFERROR(__xludf.DUMMYFUNCTION("""COMPUTED_VALUE"""),"4G12")</f>
        <v>4G12</v>
      </c>
      <c r="G76" s="17" t="str">
        <f>IFERROR(__xludf.DUMMYFUNCTION("""COMPUTED_VALUE"""),"md.saiful.islam@bracu.ac.bd")</f>
        <v>md.saiful.islam@bracu.ac.bd</v>
      </c>
    </row>
    <row r="77">
      <c r="A77" s="18" t="str">
        <f t="array" ref="A77">IF(ISBLANK(B77),,HYPERLINK("https://docs.google.com/spreadsheets/d/1aZ_8do2w3aA382MhZyJKG5amXZ6fpthJYoLsdM9x0gU/edit?gid="&amp;XLOOKUP(B77,ID___!A:A,ID___!B:B,"")&amp;"#gid="&amp;XLOOKUP(B77,ID___!A:A,ID___!B:B,"")&amp;"&amp;range=A1:J1","Click"))</f>
        <v>Click</v>
      </c>
      <c r="B77" s="19" t="str">
        <f>IFERROR(__xludf.DUMMYFUNCTION("""COMPUTED_VALUE"""),"MSMA")</f>
        <v>MSMA</v>
      </c>
      <c r="C77" s="17" t="str">
        <f>IFERROR(__xludf.DUMMYFUNCTION("""COMPUTED_VALUE"""),"Mr. Md. Shamim Mia")</f>
        <v>Mr. Md. Shamim Mia</v>
      </c>
      <c r="D77" s="16" t="str">
        <f>IFERROR(__xludf.DUMMYFUNCTION("""COMPUTED_VALUE"""),"Lecturer")</f>
        <v>Lecturer</v>
      </c>
      <c r="E77" s="16" t="str">
        <f>IFERROR(__xludf.DUMMYFUNCTION("""COMPUTED_VALUE"""),"Full Time")</f>
        <v>Full Time</v>
      </c>
      <c r="F77" s="16" t="str">
        <f>IFERROR(__xludf.DUMMYFUNCTION("""COMPUTED_VALUE"""),"4M110")</f>
        <v>4M110</v>
      </c>
      <c r="G77" s="17" t="str">
        <f>IFERROR(__xludf.DUMMYFUNCTION("""COMPUTED_VALUE"""),"shamim.mia@bracu.ac.bd")</f>
        <v>shamim.mia@bracu.ac.bd</v>
      </c>
    </row>
    <row r="78">
      <c r="A78" s="18" t="str">
        <f t="array" ref="A78">IF(ISBLANK(B78),,HYPERLINK("https://docs.google.com/spreadsheets/d/1aZ_8do2w3aA382MhZyJKG5amXZ6fpthJYoLsdM9x0gU/edit?gid="&amp;XLOOKUP(B78,ID___!A:A,ID___!B:B,"")&amp;"#gid="&amp;XLOOKUP(B78,ID___!A:A,ID___!B:B,"")&amp;"&amp;range=A1:J1","Click"))</f>
        <v>Click</v>
      </c>
      <c r="B78" s="19" t="str">
        <f>IFERROR(__xludf.DUMMYFUNCTION("""COMPUTED_VALUE"""),"MTSM")</f>
        <v>MTSM</v>
      </c>
      <c r="C78" s="17" t="str">
        <f>IFERROR(__xludf.DUMMYFUNCTION("""COMPUTED_VALUE"""),"MD. MUHTASIM MAHMUD")</f>
        <v>MD. MUHTASIM MAHMUD</v>
      </c>
      <c r="D78" s="16" t="str">
        <f>IFERROR(__xludf.DUMMYFUNCTION("""COMPUTED_VALUE"""),"Lecturer")</f>
        <v>Lecturer</v>
      </c>
      <c r="E78" s="16" t="str">
        <f>IFERROR(__xludf.DUMMYFUNCTION("""COMPUTED_VALUE"""),"Full Time")</f>
        <v>Full Time</v>
      </c>
      <c r="F78" s="16" t="str">
        <f>IFERROR(__xludf.DUMMYFUNCTION("""COMPUTED_VALUE"""),"4M99")</f>
        <v>4M99</v>
      </c>
      <c r="G78" s="17" t="str">
        <f>IFERROR(__xludf.DUMMYFUNCTION("""COMPUTED_VALUE"""),"muhtasim.mahmud@bracu.ac.bd")</f>
        <v>muhtasim.mahmud@bracu.ac.bd</v>
      </c>
    </row>
    <row r="79">
      <c r="A79" s="18" t="str">
        <f t="array" ref="A79">IF(ISBLANK(B79),,HYPERLINK("https://docs.google.com/spreadsheets/d/1aZ_8do2w3aA382MhZyJKG5amXZ6fpthJYoLsdM9x0gU/edit?gid="&amp;XLOOKUP(B79,ID___!A:A,ID___!B:B,"")&amp;"#gid="&amp;XLOOKUP(B79,ID___!A:A,ID___!B:B,"")&amp;"&amp;range=A1:J1","Click"))</f>
        <v>Click</v>
      </c>
      <c r="B79" s="19" t="str">
        <f>IFERROR(__xludf.DUMMYFUNCTION("""COMPUTED_VALUE"""),"MUNR")</f>
        <v>MUNR</v>
      </c>
      <c r="C79" s="17" t="str">
        <f>IFERROR(__xludf.DUMMYFUNCTION("""COMPUTED_VALUE"""),"A B M Muntasir Rahman")</f>
        <v>A B M Muntasir Rahman</v>
      </c>
      <c r="D79" s="16" t="str">
        <f>IFERROR(__xludf.DUMMYFUNCTION("""COMPUTED_VALUE"""),"Lecturer")</f>
        <v>Lecturer</v>
      </c>
      <c r="E79" s="16" t="str">
        <f>IFERROR(__xludf.DUMMYFUNCTION("""COMPUTED_VALUE"""),"Full Time")</f>
        <v>Full Time</v>
      </c>
      <c r="F79" s="16" t="str">
        <f>IFERROR(__xludf.DUMMYFUNCTION("""COMPUTED_VALUE"""),"4L95")</f>
        <v>4L95</v>
      </c>
      <c r="G79" s="17" t="str">
        <f>IFERROR(__xludf.DUMMYFUNCTION("""COMPUTED_VALUE"""),"abm.muntasir@bracu.ac.bd")</f>
        <v>abm.muntasir@bracu.ac.bd</v>
      </c>
    </row>
    <row r="80">
      <c r="A80" s="18" t="str">
        <f t="array" ref="A80">IF(ISBLANK(B80),,HYPERLINK("https://docs.google.com/spreadsheets/d/1aZ_8do2w3aA382MhZyJKG5amXZ6fpthJYoLsdM9x0gU/edit?gid="&amp;XLOOKUP(B80,ID___!A:A,ID___!B:B,"")&amp;"#gid="&amp;XLOOKUP(B80,ID___!A:A,ID___!B:B,"")&amp;"&amp;range=A1:J1","Click"))</f>
        <v>Click</v>
      </c>
      <c r="B80" s="19" t="str">
        <f>IFERROR(__xludf.DUMMYFUNCTION("""COMPUTED_VALUE"""),"MVH")</f>
        <v>MVH</v>
      </c>
      <c r="C80" s="17" t="str">
        <f>IFERROR(__xludf.DUMMYFUNCTION("""COMPUTED_VALUE"""),"Mohammad Naveed Hossain")</f>
        <v>Mohammad Naveed Hossain</v>
      </c>
      <c r="D80" s="16" t="str">
        <f>IFERROR(__xludf.DUMMYFUNCTION("""COMPUTED_VALUE"""),"Lecturer")</f>
        <v>Lecturer</v>
      </c>
      <c r="E80" s="16" t="str">
        <f>IFERROR(__xludf.DUMMYFUNCTION("""COMPUTED_VALUE"""),"Full Time")</f>
        <v>Full Time</v>
      </c>
      <c r="F80" s="16" t="str">
        <f>IFERROR(__xludf.DUMMYFUNCTION("""COMPUTED_VALUE"""),"4M113")</f>
        <v>4M113</v>
      </c>
      <c r="G80" s="17" t="str">
        <f>IFERROR(__xludf.DUMMYFUNCTION("""COMPUTED_VALUE"""),"mohammad.naveed@bracu.ac.bd")</f>
        <v>mohammad.naveed@bracu.ac.bd</v>
      </c>
    </row>
    <row r="81">
      <c r="A81" s="18" t="str">
        <f t="array" ref="A81">IF(ISBLANK(B81),,HYPERLINK("https://docs.google.com/spreadsheets/d/1aZ_8do2w3aA382MhZyJKG5amXZ6fpthJYoLsdM9x0gU/edit?gid="&amp;XLOOKUP(B81,ID___!A:A,ID___!B:B,"")&amp;"#gid="&amp;XLOOKUP(B81,ID___!A:A,ID___!B:B,"")&amp;"&amp;range=A1:J1","Click"))</f>
        <v>Click</v>
      </c>
      <c r="B81" s="19" t="str">
        <f>IFERROR(__xludf.DUMMYFUNCTION("""COMPUTED_VALUE"""),"MZG")</f>
        <v>MZG</v>
      </c>
      <c r="C81" s="17" t="str">
        <f>IFERROR(__xludf.DUMMYFUNCTION("""COMPUTED_VALUE"""),"Ahmed Mayeesha Reza Agomoni")</f>
        <v>Ahmed Mayeesha Reza Agomoni</v>
      </c>
      <c r="D81" s="16" t="str">
        <f>IFERROR(__xludf.DUMMYFUNCTION("""COMPUTED_VALUE"""),"Lecturer")</f>
        <v>Lecturer</v>
      </c>
      <c r="E81" s="16" t="str">
        <f>IFERROR(__xludf.DUMMYFUNCTION("""COMPUTED_VALUE"""),"Full Time")</f>
        <v>Full Time</v>
      </c>
      <c r="F81" s="16" t="str">
        <f>IFERROR(__xludf.DUMMYFUNCTION("""COMPUTED_VALUE"""),"4L87")</f>
        <v>4L87</v>
      </c>
      <c r="G81" s="17" t="str">
        <f>IFERROR(__xludf.DUMMYFUNCTION("""COMPUTED_VALUE"""),"ahmed.mayeesha@bracu.ac.bd")</f>
        <v>ahmed.mayeesha@bracu.ac.bd</v>
      </c>
    </row>
    <row r="82">
      <c r="A82" s="18" t="str">
        <f t="array" ref="A82">IF(ISBLANK(B82),,HYPERLINK("https://docs.google.com/spreadsheets/d/1aZ_8do2w3aA382MhZyJKG5amXZ6fpthJYoLsdM9x0gU/edit?gid="&amp;XLOOKUP(B82,ID___!A:A,ID___!B:B,"")&amp;"#gid="&amp;XLOOKUP(B82,ID___!A:A,ID___!B:B,"")&amp;"&amp;range=A1:J1","Click"))</f>
        <v>Click</v>
      </c>
      <c r="B82" s="19" t="str">
        <f>IFERROR(__xludf.DUMMYFUNCTION("""COMPUTED_VALUE"""),"NAFR")</f>
        <v>NAFR</v>
      </c>
      <c r="C82" s="17" t="str">
        <f>IFERROR(__xludf.DUMMYFUNCTION("""COMPUTED_VALUE"""),"Md Nafiu Rahman")</f>
        <v>Md Nafiu Rahman</v>
      </c>
      <c r="D82" s="16" t="str">
        <f>IFERROR(__xludf.DUMMYFUNCTION("""COMPUTED_VALUE"""),"Lecturer")</f>
        <v>Lecturer</v>
      </c>
      <c r="E82" s="16" t="str">
        <f>IFERROR(__xludf.DUMMYFUNCTION("""COMPUTED_VALUE"""),"Full Time")</f>
        <v>Full Time</v>
      </c>
      <c r="F82" s="16" t="str">
        <f>IFERROR(__xludf.DUMMYFUNCTION("""COMPUTED_VALUE"""),"4N138")</f>
        <v>4N138</v>
      </c>
      <c r="G82" s="17" t="str">
        <f>IFERROR(__xludf.DUMMYFUNCTION("""COMPUTED_VALUE"""),"nafiu.rahman@bracu.ac.bd")</f>
        <v>nafiu.rahman@bracu.ac.bd</v>
      </c>
    </row>
    <row r="83">
      <c r="A83" s="18" t="str">
        <f t="array" ref="A83">IF(ISBLANK(B83),,HYPERLINK("https://docs.google.com/spreadsheets/d/1aZ_8do2w3aA382MhZyJKG5amXZ6fpthJYoLsdM9x0gU/edit?gid="&amp;XLOOKUP(B83,ID___!A:A,ID___!B:B,"")&amp;"#gid="&amp;XLOOKUP(B83,ID___!A:A,ID___!B:B,"")&amp;"&amp;range=A1:J1","Click"))</f>
        <v>Click</v>
      </c>
      <c r="B83" s="19" t="str">
        <f>IFERROR(__xludf.DUMMYFUNCTION("""COMPUTED_VALUE"""),"NAST")</f>
        <v>NAST</v>
      </c>
      <c r="C83" s="17" t="str">
        <f>IFERROR(__xludf.DUMMYFUNCTION("""COMPUTED_VALUE"""),"Nazmus Sakib Touhid")</f>
        <v>Nazmus Sakib Touhid</v>
      </c>
      <c r="D83" s="16" t="str">
        <f>IFERROR(__xludf.DUMMYFUNCTION("""COMPUTED_VALUE"""),"Lecturer")</f>
        <v>Lecturer</v>
      </c>
      <c r="E83" s="16" t="str">
        <f>IFERROR(__xludf.DUMMYFUNCTION("""COMPUTED_VALUE"""),"Full Time")</f>
        <v>Full Time</v>
      </c>
      <c r="F83" s="16" t="str">
        <f>IFERROR(__xludf.DUMMYFUNCTION("""COMPUTED_VALUE"""),"4P195")</f>
        <v>4P195</v>
      </c>
      <c r="G83" s="17" t="str">
        <f>IFERROR(__xludf.DUMMYFUNCTION("""COMPUTED_VALUE"""),"nazmus.touhid@bracu.ac.bd")</f>
        <v>nazmus.touhid@bracu.ac.bd</v>
      </c>
    </row>
    <row r="84">
      <c r="A84" s="18" t="str">
        <f t="array" ref="A84">IF(ISBLANK(B84),,HYPERLINK("https://docs.google.com/spreadsheets/d/1aZ_8do2w3aA382MhZyJKG5amXZ6fpthJYoLsdM9x0gU/edit?gid="&amp;XLOOKUP(B84,ID___!A:A,ID___!B:B,"")&amp;"#gid="&amp;XLOOKUP(B84,ID___!A:A,ID___!B:B,"")&amp;"&amp;range=A1:J1","Click"))</f>
        <v>Click</v>
      </c>
      <c r="B84" s="19" t="str">
        <f>IFERROR(__xludf.DUMMYFUNCTION("""COMPUTED_VALUE"""),"NDT")</f>
        <v>NDT</v>
      </c>
      <c r="C84" s="17" t="str">
        <f>IFERROR(__xludf.DUMMYFUNCTION("""COMPUTED_VALUE"""),"NIRJHOR DATTA")</f>
        <v>NIRJHOR DATTA</v>
      </c>
      <c r="D84" s="16" t="str">
        <f>IFERROR(__xludf.DUMMYFUNCTION("""COMPUTED_VALUE"""),"Lecturer")</f>
        <v>Lecturer</v>
      </c>
      <c r="E84" s="16" t="str">
        <f>IFERROR(__xludf.DUMMYFUNCTION("""COMPUTED_VALUE"""),"Full Time")</f>
        <v>Full Time</v>
      </c>
      <c r="F84" s="16" t="str">
        <f>IFERROR(__xludf.DUMMYFUNCTION("""COMPUTED_VALUE"""),"4M132")</f>
        <v>4M132</v>
      </c>
      <c r="G84" s="17" t="str">
        <f>IFERROR(__xludf.DUMMYFUNCTION("""COMPUTED_VALUE"""),"nirjhor.datta@bracu.ac.bd")</f>
        <v>nirjhor.datta@bracu.ac.bd</v>
      </c>
    </row>
    <row r="85">
      <c r="A85" s="18" t="str">
        <f t="array" ref="A85">IF(ISBLANK(B85),,HYPERLINK("https://docs.google.com/spreadsheets/d/1aZ_8do2w3aA382MhZyJKG5amXZ6fpthJYoLsdM9x0gU/edit?gid="&amp;XLOOKUP(B85,ID___!A:A,ID___!B:B,"")&amp;"#gid="&amp;XLOOKUP(B85,ID___!A:A,ID___!B:B,"")&amp;"&amp;range=A1:J1","Click"))</f>
        <v>Click</v>
      </c>
      <c r="B85" s="19" t="str">
        <f>IFERROR(__xludf.DUMMYFUNCTION("""COMPUTED_VALUE"""),"NLAM")</f>
        <v>NLAM</v>
      </c>
      <c r="C85" s="17" t="str">
        <f>IFERROR(__xludf.DUMMYFUNCTION("""COMPUTED_VALUE"""),"Namirul Islam")</f>
        <v>Namirul Islam</v>
      </c>
      <c r="D85" s="16" t="str">
        <f>IFERROR(__xludf.DUMMYFUNCTION("""COMPUTED_VALUE"""),"Lecturer")</f>
        <v>Lecturer</v>
      </c>
      <c r="E85" s="16" t="str">
        <f>IFERROR(__xludf.DUMMYFUNCTION("""COMPUTED_VALUE"""),"Full Time")</f>
        <v>Full Time</v>
      </c>
      <c r="F85" s="16" t="str">
        <f>IFERROR(__xludf.DUMMYFUNCTION("""COMPUTED_VALUE"""),"4N163")</f>
        <v>4N163</v>
      </c>
      <c r="G85" s="17" t="str">
        <f>IFERROR(__xludf.DUMMYFUNCTION("""COMPUTED_VALUE"""),"namirul.islam@bracu.ac.bd")</f>
        <v>namirul.islam@bracu.ac.bd</v>
      </c>
    </row>
    <row r="86">
      <c r="A86" s="18" t="str">
        <f t="array" ref="A86">IF(ISBLANK(B86),,HYPERLINK("https://docs.google.com/spreadsheets/d/1aZ_8do2w3aA382MhZyJKG5amXZ6fpthJYoLsdM9x0gU/edit?gid="&amp;XLOOKUP(B86,ID___!A:A,ID___!B:B,"")&amp;"#gid="&amp;XLOOKUP(B86,ID___!A:A,ID___!B:B,"")&amp;"&amp;range=A1:J1","Click"))</f>
        <v>Click</v>
      </c>
      <c r="B86" s="19" t="str">
        <f>IFERROR(__xludf.DUMMYFUNCTION("""COMPUTED_VALUE"""),"NLH")</f>
        <v>NLH</v>
      </c>
      <c r="C86" s="17" t="str">
        <f>IFERROR(__xludf.DUMMYFUNCTION("""COMPUTED_VALUE"""),"Niloy Farhan")</f>
        <v>Niloy Farhan</v>
      </c>
      <c r="D86" s="16" t="str">
        <f>IFERROR(__xludf.DUMMYFUNCTION("""COMPUTED_VALUE"""),"Lecturer")</f>
        <v>Lecturer</v>
      </c>
      <c r="E86" s="16" t="str">
        <f>IFERROR(__xludf.DUMMYFUNCTION("""COMPUTED_VALUE"""),"Full Time")</f>
        <v>Full Time</v>
      </c>
      <c r="F86" s="16" t="str">
        <f>IFERROR(__xludf.DUMMYFUNCTION("""COMPUTED_VALUE"""),"4M123")</f>
        <v>4M123</v>
      </c>
      <c r="G86" s="17" t="str">
        <f>IFERROR(__xludf.DUMMYFUNCTION("""COMPUTED_VALUE"""),"niloy.farhan@bracu.ac.bd")</f>
        <v>niloy.farhan@bracu.ac.bd</v>
      </c>
    </row>
    <row r="87">
      <c r="A87" s="18" t="str">
        <f t="array" ref="A87">IF(ISBLANK(B87),,HYPERLINK("https://docs.google.com/spreadsheets/d/1aZ_8do2w3aA382MhZyJKG5amXZ6fpthJYoLsdM9x0gU/edit?gid="&amp;XLOOKUP(B87,ID___!A:A,ID___!B:B,"")&amp;"#gid="&amp;XLOOKUP(B87,ID___!A:A,ID___!B:B,"")&amp;"&amp;range=A1:J1","Click"))</f>
        <v>Click</v>
      </c>
      <c r="B87" s="19" t="str">
        <f>IFERROR(__xludf.DUMMYFUNCTION("""COMPUTED_VALUE"""),"NNC")</f>
        <v>NNC</v>
      </c>
      <c r="C87" s="17" t="str">
        <f>IFERROR(__xludf.DUMMYFUNCTION("""COMPUTED_VALUE"""),"Ms. Najeefa Nikhat Choudhury")</f>
        <v>Ms. Najeefa Nikhat Choudhury</v>
      </c>
      <c r="D87" s="16" t="str">
        <f>IFERROR(__xludf.DUMMYFUNCTION("""COMPUTED_VALUE"""),"Senior Lecturer")</f>
        <v>Senior Lecturer</v>
      </c>
      <c r="E87" s="16" t="str">
        <f>IFERROR(__xludf.DUMMYFUNCTION("""COMPUTED_VALUE"""),"Full Time")</f>
        <v>Full Time</v>
      </c>
      <c r="F87" s="16" t="str">
        <f>IFERROR(__xludf.DUMMYFUNCTION("""COMPUTED_VALUE"""),"4G30")</f>
        <v>4G30</v>
      </c>
      <c r="G87" s="17" t="str">
        <f>IFERROR(__xludf.DUMMYFUNCTION("""COMPUTED_VALUE"""),"najeefa.chy@bracu.ac.bd")</f>
        <v>najeefa.chy@bracu.ac.bd</v>
      </c>
    </row>
    <row r="88">
      <c r="A88" s="18" t="str">
        <f t="array" ref="A88">IF(ISBLANK(B88),,HYPERLINK("https://docs.google.com/spreadsheets/d/1aZ_8do2w3aA382MhZyJKG5amXZ6fpthJYoLsdM9x0gU/edit?gid="&amp;XLOOKUP(B88,ID___!A:A,ID___!B:B,"")&amp;"#gid="&amp;XLOOKUP(B88,ID___!A:A,ID___!B:B,"")&amp;"&amp;range=A1:J1","Click"))</f>
        <v>Click</v>
      </c>
      <c r="B88" s="19" t="str">
        <f>IFERROR(__xludf.DUMMYFUNCTION("""COMPUTED_VALUE"""),"NTR")</f>
        <v>NTR</v>
      </c>
      <c r="C88" s="17" t="str">
        <f>IFERROR(__xludf.DUMMYFUNCTION("""COMPUTED_VALUE"""),"Ms. Narzu Tarannum")</f>
        <v>Ms. Narzu Tarannum</v>
      </c>
      <c r="D88" s="16" t="str">
        <f>IFERROR(__xludf.DUMMYFUNCTION("""COMPUTED_VALUE"""),"Lecturer")</f>
        <v>Lecturer</v>
      </c>
      <c r="E88" s="16" t="str">
        <f>IFERROR(__xludf.DUMMYFUNCTION("""COMPUTED_VALUE"""),"Full Time")</f>
        <v>Full Time</v>
      </c>
      <c r="F88" s="16" t="str">
        <f>IFERROR(__xludf.DUMMYFUNCTION("""COMPUTED_VALUE"""),"4G21")</f>
        <v>4G21</v>
      </c>
      <c r="G88" s="17" t="str">
        <f>IFERROR(__xludf.DUMMYFUNCTION("""COMPUTED_VALUE"""),"narzu.tarannum@bracu.ac.bd")</f>
        <v>narzu.tarannum@bracu.ac.bd</v>
      </c>
    </row>
    <row r="89">
      <c r="A89" s="18" t="str">
        <f t="array" ref="A89">IF(ISBLANK(B89),,HYPERLINK("https://docs.google.com/spreadsheets/d/1aZ_8do2w3aA382MhZyJKG5amXZ6fpthJYoLsdM9x0gU/edit?gid="&amp;XLOOKUP(B89,ID___!A:A,ID___!B:B,"")&amp;"#gid="&amp;XLOOKUP(B89,ID___!A:A,ID___!B:B,"")&amp;"&amp;range=A1:J1","Click"))</f>
        <v>Click</v>
      </c>
      <c r="B89" s="19" t="str">
        <f>IFERROR(__xludf.DUMMYFUNCTION("""COMPUTED_VALUE"""),"NZRF")</f>
        <v>NZRF</v>
      </c>
      <c r="C89" s="17" t="str">
        <f>IFERROR(__xludf.DUMMYFUNCTION("""COMPUTED_VALUE"""),"Niaz Ashraf Khan")</f>
        <v>Niaz Ashraf Khan</v>
      </c>
      <c r="D89" s="16" t="str">
        <f>IFERROR(__xludf.DUMMYFUNCTION("""COMPUTED_VALUE"""),"Senior Lecturer")</f>
        <v>Senior Lecturer</v>
      </c>
      <c r="E89" s="16" t="str">
        <f>IFERROR(__xludf.DUMMYFUNCTION("""COMPUTED_VALUE"""),"Full Time")</f>
        <v>Full Time</v>
      </c>
      <c r="F89" s="16" t="str">
        <f>IFERROR(__xludf.DUMMYFUNCTION("""COMPUTED_VALUE"""),"4M125")</f>
        <v>4M125</v>
      </c>
      <c r="G89" s="17" t="str">
        <f>IFERROR(__xludf.DUMMYFUNCTION("""COMPUTED_VALUE"""),"niaz.ashraf@bracu.ac.bd")</f>
        <v>niaz.ashraf@bracu.ac.bd</v>
      </c>
    </row>
    <row r="90">
      <c r="A90" s="18" t="str">
        <f t="array" ref="A90">IF(ISBLANK(B90),,HYPERLINK("https://docs.google.com/spreadsheets/d/1aZ_8do2w3aA382MhZyJKG5amXZ6fpthJYoLsdM9x0gU/edit?gid="&amp;XLOOKUP(B90,ID___!A:A,ID___!B:B,"")&amp;"#gid="&amp;XLOOKUP(B90,ID___!A:A,ID___!B:B,"")&amp;"&amp;range=A1:J1","Click"))</f>
        <v>Click</v>
      </c>
      <c r="B90" s="19" t="str">
        <f>IFERROR(__xludf.DUMMYFUNCTION("""COMPUTED_VALUE"""),"NZU")</f>
        <v>NZU</v>
      </c>
      <c r="C90" s="17" t="str">
        <f>IFERROR(__xludf.DUMMYFUNCTION("""COMPUTED_VALUE"""),"Nazmul Islam")</f>
        <v>Nazmul Islam</v>
      </c>
      <c r="D90" s="16" t="str">
        <f>IFERROR(__xludf.DUMMYFUNCTION("""COMPUTED_VALUE"""),"Lecturer")</f>
        <v>Lecturer</v>
      </c>
      <c r="E90" s="16" t="str">
        <f>IFERROR(__xludf.DUMMYFUNCTION("""COMPUTED_VALUE"""),"Full Time")</f>
        <v>Full Time</v>
      </c>
      <c r="F90" s="16" t="str">
        <f>IFERROR(__xludf.DUMMYFUNCTION("""COMPUTED_VALUE"""),"4M121")</f>
        <v>4M121</v>
      </c>
      <c r="G90" s="17" t="str">
        <f>IFERROR(__xludf.DUMMYFUNCTION("""COMPUTED_VALUE"""),"nazmul.islam1@bracu.ac.bd")</f>
        <v>nazmul.islam1@bracu.ac.bd</v>
      </c>
    </row>
    <row r="91">
      <c r="A91" s="18" t="str">
        <f t="array" ref="A91">IF(ISBLANK(B91),,HYPERLINK("https://docs.google.com/spreadsheets/d/1aZ_8do2w3aA382MhZyJKG5amXZ6fpthJYoLsdM9x0gU/edit?gid="&amp;XLOOKUP(B91,ID___!A:A,ID___!B:B,"")&amp;"#gid="&amp;XLOOKUP(B91,ID___!A:A,ID___!B:B,"")&amp;"&amp;range=A1:J1","Click"))</f>
        <v>Click</v>
      </c>
      <c r="B91" s="19" t="str">
        <f>IFERROR(__xludf.DUMMYFUNCTION("""COMPUTED_VALUE"""),"PBK")</f>
        <v>PBK</v>
      </c>
      <c r="C91" s="17" t="str">
        <f>IFERROR(__xludf.DUMMYFUNCTION("""COMPUTED_VALUE"""),"Mr. Partha Bhoumik")</f>
        <v>Mr. Partha Bhoumik</v>
      </c>
      <c r="D91" s="16" t="str">
        <f>IFERROR(__xludf.DUMMYFUNCTION("""COMPUTED_VALUE"""),"Lecturer")</f>
        <v>Lecturer</v>
      </c>
      <c r="E91" s="16" t="str">
        <f>IFERROR(__xludf.DUMMYFUNCTION("""COMPUTED_VALUE"""),"Full Time")</f>
        <v>Full Time</v>
      </c>
      <c r="F91" s="16" t="str">
        <f>IFERROR(__xludf.DUMMYFUNCTION("""COMPUTED_VALUE"""),"4M108")</f>
        <v>4M108</v>
      </c>
      <c r="G91" s="17" t="str">
        <f>IFERROR(__xludf.DUMMYFUNCTION("""COMPUTED_VALUE"""),"partha.bhoumik@bracu.ac.bd")</f>
        <v>partha.bhoumik@bracu.ac.bd</v>
      </c>
    </row>
    <row r="92">
      <c r="A92" s="18" t="str">
        <f t="array" ref="A92">IF(ISBLANK(B92),,HYPERLINK("https://docs.google.com/spreadsheets/d/1aZ_8do2w3aA382MhZyJKG5amXZ6fpthJYoLsdM9x0gU/edit?gid="&amp;XLOOKUP(B92,ID___!A:A,ID___!B:B,"")&amp;"#gid="&amp;XLOOKUP(B92,ID___!A:A,ID___!B:B,"")&amp;"&amp;range=A1:J1","Click"))</f>
        <v>Click</v>
      </c>
      <c r="B92" s="19" t="str">
        <f>IFERROR(__xludf.DUMMYFUNCTION("""COMPUTED_VALUE"""),"PDS")</f>
        <v>PDS</v>
      </c>
      <c r="C92" s="17" t="str">
        <f>IFERROR(__xludf.DUMMYFUNCTION("""COMPUTED_VALUE"""),"Mr. Purbayan Das")</f>
        <v>Mr. Purbayan Das</v>
      </c>
      <c r="D92" s="16" t="str">
        <f>IFERROR(__xludf.DUMMYFUNCTION("""COMPUTED_VALUE"""),"Lecturer")</f>
        <v>Lecturer</v>
      </c>
      <c r="E92" s="16" t="str">
        <f>IFERROR(__xludf.DUMMYFUNCTION("""COMPUTED_VALUE"""),"Full Time")</f>
        <v>Full Time</v>
      </c>
      <c r="F92" s="16" t="str">
        <f>IFERROR(__xludf.DUMMYFUNCTION("""COMPUTED_VALUE"""),"4N140")</f>
        <v>4N140</v>
      </c>
      <c r="G92" s="17" t="str">
        <f>IFERROR(__xludf.DUMMYFUNCTION("""COMPUTED_VALUE"""),"purbayan.das@bracu.ac.bd")</f>
        <v>purbayan.das@bracu.ac.bd</v>
      </c>
    </row>
    <row r="93">
      <c r="A93" s="18" t="str">
        <f t="array" ref="A93">IF(ISBLANK(B93),,HYPERLINK("https://docs.google.com/spreadsheets/d/1aZ_8do2w3aA382MhZyJKG5amXZ6fpthJYoLsdM9x0gU/edit?gid="&amp;XLOOKUP(B93,ID___!A:A,ID___!B:B,"")&amp;"#gid="&amp;XLOOKUP(B93,ID___!A:A,ID___!B:B,"")&amp;"&amp;range=A1:J1","Click"))</f>
        <v>Click</v>
      </c>
      <c r="B93" s="19" t="str">
        <f>IFERROR(__xludf.DUMMYFUNCTION("""COMPUTED_VALUE"""),"PLN")</f>
        <v>PLN</v>
      </c>
      <c r="C93" s="17" t="str">
        <f>IFERROR(__xludf.DUMMYFUNCTION("""COMPUTED_VALUE"""),"Pollock Nag")</f>
        <v>Pollock Nag</v>
      </c>
      <c r="D93" s="16" t="str">
        <f>IFERROR(__xludf.DUMMYFUNCTION("""COMPUTED_VALUE"""),"Lecturer")</f>
        <v>Lecturer</v>
      </c>
      <c r="E93" s="16" t="str">
        <f>IFERROR(__xludf.DUMMYFUNCTION("""COMPUTED_VALUE"""),"Full Time")</f>
        <v>Full Time</v>
      </c>
      <c r="F93" s="16" t="str">
        <f>IFERROR(__xludf.DUMMYFUNCTION("""COMPUTED_VALUE"""),"4M101")</f>
        <v>4M101</v>
      </c>
      <c r="G93" s="17" t="str">
        <f>IFERROR(__xludf.DUMMYFUNCTION("""COMPUTED_VALUE"""),"pollock.nag@bracu.ac.bd")</f>
        <v>pollock.nag@bracu.ac.bd</v>
      </c>
    </row>
    <row r="94">
      <c r="A94" s="18" t="str">
        <f t="array" ref="A94">IF(ISBLANK(B94),,HYPERLINK("https://docs.google.com/spreadsheets/d/1aZ_8do2w3aA382MhZyJKG5amXZ6fpthJYoLsdM9x0gU/edit?gid="&amp;XLOOKUP(B94,ID___!A:A,ID___!B:B,"")&amp;"#gid="&amp;XLOOKUP(B94,ID___!A:A,ID___!B:B,"")&amp;"&amp;range=A1:J1","Click"))</f>
        <v>Click</v>
      </c>
      <c r="B94" s="19" t="str">
        <f>IFERROR(__xludf.DUMMYFUNCTION("""COMPUTED_VALUE"""),"PSMD")</f>
        <v>PSMD</v>
      </c>
      <c r="C94" s="17" t="str">
        <f>IFERROR(__xludf.DUMMYFUNCTION("""COMPUTED_VALUE"""),"Prothito Shovon Majumder")</f>
        <v>Prothito Shovon Majumder</v>
      </c>
      <c r="D94" s="16" t="str">
        <f>IFERROR(__xludf.DUMMYFUNCTION("""COMPUTED_VALUE"""),"Lecturer")</f>
        <v>Lecturer</v>
      </c>
      <c r="E94" s="16" t="str">
        <f>IFERROR(__xludf.DUMMYFUNCTION("""COMPUTED_VALUE"""),"Full Time")</f>
        <v>Full Time</v>
      </c>
      <c r="F94" s="16" t="str">
        <f>IFERROR(__xludf.DUMMYFUNCTION("""COMPUTED_VALUE"""),"4M115")</f>
        <v>4M115</v>
      </c>
      <c r="G94" s="17" t="str">
        <f>IFERROR(__xludf.DUMMYFUNCTION("""COMPUTED_VALUE"""),"prothito.shovon@bracu.ac.bd")</f>
        <v>prothito.shovon@bracu.ac.bd</v>
      </c>
    </row>
    <row r="95">
      <c r="A95" s="18" t="str">
        <f t="array" ref="A95">IF(ISBLANK(B95),,HYPERLINK("https://docs.google.com/spreadsheets/d/1aZ_8do2w3aA382MhZyJKG5amXZ6fpthJYoLsdM9x0gU/edit?gid="&amp;XLOOKUP(B95,ID___!A:A,ID___!B:B,"")&amp;"#gid="&amp;XLOOKUP(B95,ID___!A:A,ID___!B:B,"")&amp;"&amp;range=A1:J1","Click"))</f>
        <v>Click</v>
      </c>
      <c r="B95" s="19" t="str">
        <f>IFERROR(__xludf.DUMMYFUNCTION("""COMPUTED_VALUE"""),"QUZA")</f>
        <v>QUZA</v>
      </c>
      <c r="C95" s="17" t="str">
        <f>IFERROR(__xludf.DUMMYFUNCTION("""COMPUTED_VALUE"""),"Quazi Ashikur Rahman")</f>
        <v>Quazi Ashikur Rahman</v>
      </c>
      <c r="D95" s="16" t="str">
        <f>IFERROR(__xludf.DUMMYFUNCTION("""COMPUTED_VALUE"""),"Lecturer")</f>
        <v>Lecturer</v>
      </c>
      <c r="E95" s="16" t="str">
        <f>IFERROR(__xludf.DUMMYFUNCTION("""COMPUTED_VALUE"""),"Full Time")</f>
        <v>Full Time</v>
      </c>
      <c r="F95" s="16" t="str">
        <f>IFERROR(__xludf.DUMMYFUNCTION("""COMPUTED_VALUE"""),"4M120")</f>
        <v>4M120</v>
      </c>
      <c r="G95" s="17" t="str">
        <f>IFERROR(__xludf.DUMMYFUNCTION("""COMPUTED_VALUE"""),"quazi.ashikur@bracu.ac.bd")</f>
        <v>quazi.ashikur@bracu.ac.bd</v>
      </c>
    </row>
    <row r="96">
      <c r="A96" s="18" t="str">
        <f t="array" ref="A96">IF(ISBLANK(B96),,HYPERLINK("https://docs.google.com/spreadsheets/d/1aZ_8do2w3aA382MhZyJKG5amXZ6fpthJYoLsdM9x0gU/edit?gid="&amp;XLOOKUP(B96,ID___!A:A,ID___!B:B,"")&amp;"#gid="&amp;XLOOKUP(B96,ID___!A:A,ID___!B:B,"")&amp;"&amp;range=A1:J1","Click"))</f>
        <v>Click</v>
      </c>
      <c r="B96" s="19" t="str">
        <f>IFERROR(__xludf.DUMMYFUNCTION("""COMPUTED_VALUE"""),"RAHA")</f>
        <v>RAHA</v>
      </c>
      <c r="C96" s="17" t="str">
        <f>IFERROR(__xludf.DUMMYFUNCTION("""COMPUTED_VALUE"""),"Farzana Reefat Raha")</f>
        <v>Farzana Reefat Raha</v>
      </c>
      <c r="D96" s="16" t="str">
        <f>IFERROR(__xludf.DUMMYFUNCTION("""COMPUTED_VALUE"""),"Lecturer")</f>
        <v>Lecturer</v>
      </c>
      <c r="E96" s="16" t="str">
        <f>IFERROR(__xludf.DUMMYFUNCTION("""COMPUTED_VALUE"""),"Full Time")</f>
        <v>Full Time</v>
      </c>
      <c r="F96" s="16" t="str">
        <f>IFERROR(__xludf.DUMMYFUNCTION("""COMPUTED_VALUE"""),"4P178")</f>
        <v>4P178</v>
      </c>
      <c r="G96" s="17" t="str">
        <f>IFERROR(__xludf.DUMMYFUNCTION("""COMPUTED_VALUE"""),"reefat.raha@bracu.ac.bd")</f>
        <v>reefat.raha@bracu.ac.bd</v>
      </c>
    </row>
    <row r="97">
      <c r="A97" s="18" t="str">
        <f t="array" ref="A97">IF(ISBLANK(B97),,HYPERLINK("https://docs.google.com/spreadsheets/d/1aZ_8do2w3aA382MhZyJKG5amXZ6fpthJYoLsdM9x0gU/edit?gid="&amp;XLOOKUP(B97,ID___!A:A,ID___!B:B,"")&amp;"#gid="&amp;XLOOKUP(B97,ID___!A:A,ID___!B:B,"")&amp;"&amp;range=A1:J1","Click"))</f>
        <v>Click</v>
      </c>
      <c r="B97" s="19" t="str">
        <f>IFERROR(__xludf.DUMMYFUNCTION("""COMPUTED_VALUE"""),"RAK")</f>
        <v>RAK</v>
      </c>
      <c r="C97" s="17" t="str">
        <f>IFERROR(__xludf.DUMMYFUNCTION("""COMPUTED_VALUE"""),"Mr. Rubayat Ahmed Khan")</f>
        <v>Mr. Rubayat Ahmed Khan</v>
      </c>
      <c r="D97" s="16" t="str">
        <f>IFERROR(__xludf.DUMMYFUNCTION("""COMPUTED_VALUE"""),"Senior Lecturer")</f>
        <v>Senior Lecturer</v>
      </c>
      <c r="E97" s="16" t="str">
        <f>IFERROR(__xludf.DUMMYFUNCTION("""COMPUTED_VALUE"""),"Full Time")</f>
        <v>Full Time</v>
      </c>
      <c r="F97" s="16" t="str">
        <f>IFERROR(__xludf.DUMMYFUNCTION("""COMPUTED_VALUE"""),"4G12")</f>
        <v>4G12</v>
      </c>
      <c r="G97" s="17" t="str">
        <f>IFERROR(__xludf.DUMMYFUNCTION("""COMPUTED_VALUE"""),"rubayat.ahmed@bracu.ac.bd")</f>
        <v>rubayat.ahmed@bracu.ac.bd</v>
      </c>
    </row>
    <row r="98">
      <c r="A98" s="18" t="str">
        <f t="array" ref="A98">IF(ISBLANK(B98),,HYPERLINK("https://docs.google.com/spreadsheets/d/1aZ_8do2w3aA382MhZyJKG5amXZ6fpthJYoLsdM9x0gU/edit?gid="&amp;XLOOKUP(B98,ID___!A:A,ID___!B:B,"")&amp;"#gid="&amp;XLOOKUP(B98,ID___!A:A,ID___!B:B,"")&amp;"&amp;range=A1:J1","Click"))</f>
        <v>Click</v>
      </c>
      <c r="B98" s="19" t="str">
        <f>IFERROR(__xludf.DUMMYFUNCTION("""COMPUTED_VALUE"""),"RAS")</f>
        <v>RAS</v>
      </c>
      <c r="C98" s="17" t="str">
        <f>IFERROR(__xludf.DUMMYFUNCTION("""COMPUTED_VALUE"""),"Md. Rasel Mia")</f>
        <v>Md. Rasel Mia</v>
      </c>
      <c r="D98" s="16" t="str">
        <f>IFERROR(__xludf.DUMMYFUNCTION("""COMPUTED_VALUE"""),"Lecturer")</f>
        <v>Lecturer</v>
      </c>
      <c r="E98" s="16" t="str">
        <f>IFERROR(__xludf.DUMMYFUNCTION("""COMPUTED_VALUE"""),"Full Time")</f>
        <v>Full Time</v>
      </c>
      <c r="F98" s="16" t="str">
        <f>IFERROR(__xludf.DUMMYFUNCTION("""COMPUTED_VALUE"""),"4N149")</f>
        <v>4N149</v>
      </c>
      <c r="G98" s="17" t="str">
        <f>IFERROR(__xludf.DUMMYFUNCTION("""COMPUTED_VALUE"""),"rasel.mia@bracu.ac.bd")</f>
        <v>rasel.mia@bracu.ac.bd</v>
      </c>
    </row>
    <row r="99">
      <c r="A99" s="18" t="str">
        <f t="array" ref="A99">IF(ISBLANK(B99),,HYPERLINK("https://docs.google.com/spreadsheets/d/1aZ_8do2w3aA382MhZyJKG5amXZ6fpthJYoLsdM9x0gU/edit?gid="&amp;XLOOKUP(B99,ID___!A:A,ID___!B:B,"")&amp;"#gid="&amp;XLOOKUP(B99,ID___!A:A,ID___!B:B,"")&amp;"&amp;range=A1:J1","Click"))</f>
        <v>Click</v>
      </c>
      <c r="B99" s="19" t="str">
        <f>IFERROR(__xludf.DUMMYFUNCTION("""COMPUTED_VALUE"""),"RBR")</f>
        <v>RBR</v>
      </c>
      <c r="C99" s="17" t="str">
        <f>IFERROR(__xludf.DUMMYFUNCTION("""COMPUTED_VALUE"""),"Mr. Rakin Bin Rabbani")</f>
        <v>Mr. Rakin Bin Rabbani</v>
      </c>
      <c r="D99" s="16" t="str">
        <f>IFERROR(__xludf.DUMMYFUNCTION("""COMPUTED_VALUE"""),"Lecturer")</f>
        <v>Lecturer</v>
      </c>
      <c r="E99" s="16" t="str">
        <f>IFERROR(__xludf.DUMMYFUNCTION("""COMPUTED_VALUE"""),"Full Time")</f>
        <v>Full Time</v>
      </c>
      <c r="F99" s="16" t="str">
        <f>IFERROR(__xludf.DUMMYFUNCTION("""COMPUTED_VALUE"""),"4J60")</f>
        <v>4J60</v>
      </c>
      <c r="G99" s="17" t="str">
        <f>IFERROR(__xludf.DUMMYFUNCTION("""COMPUTED_VALUE"""),"rakin.rabbani@bracu.ac.bd")</f>
        <v>rakin.rabbani@bracu.ac.bd</v>
      </c>
    </row>
    <row r="100">
      <c r="A100" s="18" t="str">
        <f t="array" ref="A100">IF(ISBLANK(B100),,HYPERLINK("https://docs.google.com/spreadsheets/d/1aZ_8do2w3aA382MhZyJKG5amXZ6fpthJYoLsdM9x0gU/edit?gid="&amp;XLOOKUP(B100,ID___!A:A,ID___!B:B,"")&amp;"#gid="&amp;XLOOKUP(B100,ID___!A:A,ID___!B:B,"")&amp;"&amp;range=A1:J1","Click"))</f>
        <v>Click</v>
      </c>
      <c r="B100" s="19" t="str">
        <f>IFERROR(__xludf.DUMMYFUNCTION("""COMPUTED_VALUE"""),"RDW")</f>
        <v>RDW</v>
      </c>
      <c r="C100" s="17" t="str">
        <f>IFERROR(__xludf.DUMMYFUNCTION("""COMPUTED_VALUE"""),"Redowanul Akbar")</f>
        <v>Redowanul Akbar</v>
      </c>
      <c r="D100" s="16" t="str">
        <f>IFERROR(__xludf.DUMMYFUNCTION("""COMPUTED_VALUE"""),"Lecturer")</f>
        <v>Lecturer</v>
      </c>
      <c r="E100" s="16" t="str">
        <f>IFERROR(__xludf.DUMMYFUNCTION("""COMPUTED_VALUE"""),"Full Time")</f>
        <v>Full Time</v>
      </c>
      <c r="F100" s="16" t="str">
        <f>IFERROR(__xludf.DUMMYFUNCTION("""COMPUTED_VALUE"""),"4J56")</f>
        <v>4J56</v>
      </c>
      <c r="G100" s="17" t="str">
        <f>IFERROR(__xludf.DUMMYFUNCTION("""COMPUTED_VALUE"""),"redowanul.akbar@bracu.ac.bd")</f>
        <v>redowanul.akbar@bracu.ac.bd</v>
      </c>
    </row>
    <row r="101">
      <c r="A101" s="18" t="str">
        <f t="array" ref="A101">IF(ISBLANK(B101),,HYPERLINK("https://docs.google.com/spreadsheets/d/1aZ_8do2w3aA382MhZyJKG5amXZ6fpthJYoLsdM9x0gU/edit?gid="&amp;XLOOKUP(B101,ID___!A:A,ID___!B:B,"")&amp;"#gid="&amp;XLOOKUP(B101,ID___!A:A,ID___!B:B,"")&amp;"&amp;range=A1:J1","Click"))</f>
        <v>Click</v>
      </c>
      <c r="B101" s="19" t="str">
        <f>IFERROR(__xludf.DUMMYFUNCTION("""COMPUTED_VALUE"""),"RFF")</f>
        <v>RFF</v>
      </c>
      <c r="C101" s="17" t="str">
        <f>IFERROR(__xludf.DUMMYFUNCTION("""COMPUTED_VALUE"""),"Rafid Ahnaf")</f>
        <v>Rafid Ahnaf</v>
      </c>
      <c r="D101" s="16" t="str">
        <f>IFERROR(__xludf.DUMMYFUNCTION("""COMPUTED_VALUE"""),"Lecturer")</f>
        <v>Lecturer</v>
      </c>
      <c r="E101" s="16" t="str">
        <f>IFERROR(__xludf.DUMMYFUNCTION("""COMPUTED_VALUE"""),"Full Time")</f>
        <v>Full Time</v>
      </c>
      <c r="F101" s="16" t="str">
        <f>IFERROR(__xludf.DUMMYFUNCTION("""COMPUTED_VALUE"""),"4M133")</f>
        <v>4M133</v>
      </c>
      <c r="G101" s="17" t="str">
        <f>IFERROR(__xludf.DUMMYFUNCTION("""COMPUTED_VALUE"""),"rafid.ahnaf@bracu.ac.bd")</f>
        <v>rafid.ahnaf@bracu.ac.bd</v>
      </c>
    </row>
    <row r="102">
      <c r="A102" s="18" t="str">
        <f t="array" ref="A102">IF(ISBLANK(B102),,HYPERLINK("https://docs.google.com/spreadsheets/d/1aZ_8do2w3aA382MhZyJKG5amXZ6fpthJYoLsdM9x0gU/edit?gid="&amp;XLOOKUP(B102,ID___!A:A,ID___!B:B,"")&amp;"#gid="&amp;XLOOKUP(B102,ID___!A:A,ID___!B:B,"")&amp;"&amp;range=A1:J1","Click"))</f>
        <v>Click</v>
      </c>
      <c r="B102" s="19" t="str">
        <f>IFERROR(__xludf.DUMMYFUNCTION("""COMPUTED_VALUE"""),"RFR")</f>
        <v>RFR</v>
      </c>
      <c r="C102" s="17" t="str">
        <f>IFERROR(__xludf.DUMMYFUNCTION("""COMPUTED_VALUE"""),"Md. Rifat Rahman")</f>
        <v>Md. Rifat Rahman</v>
      </c>
      <c r="D102" s="16" t="str">
        <f>IFERROR(__xludf.DUMMYFUNCTION("""COMPUTED_VALUE"""),"Lecturer")</f>
        <v>Lecturer</v>
      </c>
      <c r="E102" s="16" t="str">
        <f>IFERROR(__xludf.DUMMYFUNCTION("""COMPUTED_VALUE"""),"Full Time")</f>
        <v>Full Time</v>
      </c>
      <c r="F102" s="16" t="str">
        <f>IFERROR(__xludf.DUMMYFUNCTION("""COMPUTED_VALUE"""),"4N164")</f>
        <v>4N164</v>
      </c>
      <c r="G102" s="17" t="str">
        <f>IFERROR(__xludf.DUMMYFUNCTION("""COMPUTED_VALUE"""),"rifat.rahman@bracu.ac.bd")</f>
        <v>rifat.rahman@bracu.ac.bd</v>
      </c>
    </row>
    <row r="103">
      <c r="A103" s="18" t="str">
        <f t="array" ref="A103">IF(ISBLANK(B103),,HYPERLINK("https://docs.google.com/spreadsheets/d/1aZ_8do2w3aA382MhZyJKG5amXZ6fpthJYoLsdM9x0gU/edit?gid="&amp;XLOOKUP(B103,ID___!A:A,ID___!B:B,"")&amp;"#gid="&amp;XLOOKUP(B103,ID___!A:A,ID___!B:B,"")&amp;"&amp;range=A1:J1","Click"))</f>
        <v>Click</v>
      </c>
      <c r="B103" s="19" t="str">
        <f>IFERROR(__xludf.DUMMYFUNCTION("""COMPUTED_VALUE"""),"RFTS")</f>
        <v>RFTS</v>
      </c>
      <c r="C103" s="17" t="str">
        <f>IFERROR(__xludf.DUMMYFUNCTION("""COMPUTED_VALUE"""),"Rifa Tasfiya")</f>
        <v>Rifa Tasfiya</v>
      </c>
      <c r="D103" s="16" t="str">
        <f>IFERROR(__xludf.DUMMYFUNCTION("""COMPUTED_VALUE"""),"Lecturer")</f>
        <v>Lecturer</v>
      </c>
      <c r="E103" s="16" t="str">
        <f>IFERROR(__xludf.DUMMYFUNCTION("""COMPUTED_VALUE"""),"Full Time")</f>
        <v>Full Time</v>
      </c>
      <c r="F103" s="16" t="str">
        <f>IFERROR(__xludf.DUMMYFUNCTION("""COMPUTED_VALUE"""),"4K69")</f>
        <v>4K69</v>
      </c>
      <c r="G103" s="17" t="str">
        <f>IFERROR(__xludf.DUMMYFUNCTION("""COMPUTED_VALUE"""),"rifa.tasfiya@bracu.ac.bd")</f>
        <v>rifa.tasfiya@bracu.ac.bd</v>
      </c>
    </row>
    <row r="104">
      <c r="A104" s="18" t="str">
        <f t="array" ref="A104">IF(ISBLANK(B104),,HYPERLINK("https://docs.google.com/spreadsheets/d/1aZ_8do2w3aA382MhZyJKG5amXZ6fpthJYoLsdM9x0gU/edit?gid="&amp;XLOOKUP(B104,ID___!A:A,ID___!B:B,"")&amp;"#gid="&amp;XLOOKUP(B104,ID___!A:A,ID___!B:B,"")&amp;"&amp;range=A1:J1","Click"))</f>
        <v>Click</v>
      </c>
      <c r="B104" s="19" t="str">
        <f>IFERROR(__xludf.DUMMYFUNCTION("""COMPUTED_VALUE"""),"RHD")</f>
        <v>RHD</v>
      </c>
      <c r="C104" s="17" t="str">
        <f>IFERROR(__xludf.DUMMYFUNCTION("""COMPUTED_VALUE"""),"Imran Zahid")</f>
        <v>Imran Zahid</v>
      </c>
      <c r="D104" s="16" t="str">
        <f>IFERROR(__xludf.DUMMYFUNCTION("""COMPUTED_VALUE"""),"Lecturer")</f>
        <v>Lecturer</v>
      </c>
      <c r="E104" s="16" t="str">
        <f>IFERROR(__xludf.DUMMYFUNCTION("""COMPUTED_VALUE"""),"Full Time")</f>
        <v>Full Time</v>
      </c>
      <c r="F104" s="16" t="str">
        <f>IFERROR(__xludf.DUMMYFUNCTION("""COMPUTED_VALUE"""),"4M127")</f>
        <v>4M127</v>
      </c>
      <c r="G104" s="17" t="str">
        <f>IFERROR(__xludf.DUMMYFUNCTION("""COMPUTED_VALUE"""),"imran.zahid@bracu.ac.bd")</f>
        <v>imran.zahid@bracu.ac.bd</v>
      </c>
    </row>
    <row r="105">
      <c r="A105" s="18" t="str">
        <f t="array" ref="A105">IF(ISBLANK(B105),,HYPERLINK("https://docs.google.com/spreadsheets/d/1aZ_8do2w3aA382MhZyJKG5amXZ6fpthJYoLsdM9x0gU/edit?gid="&amp;XLOOKUP(B105,ID___!A:A,ID___!B:B,"")&amp;"#gid="&amp;XLOOKUP(B105,ID___!A:A,ID___!B:B,"")&amp;"&amp;range=A1:J1","Click"))</f>
        <v>Click</v>
      </c>
      <c r="B105" s="19" t="str">
        <f>IFERROR(__xludf.DUMMYFUNCTION("""COMPUTED_VALUE"""),"RKBM")</f>
        <v>RKBM</v>
      </c>
      <c r="C105" s="17" t="str">
        <f>IFERROR(__xludf.DUMMYFUNCTION("""COMPUTED_VALUE"""),"Mohammad Rakibul Hasan Mahin")</f>
        <v>Mohammad Rakibul Hasan Mahin</v>
      </c>
      <c r="D105" s="16" t="str">
        <f>IFERROR(__xludf.DUMMYFUNCTION("""COMPUTED_VALUE"""),"Lecturer")</f>
        <v>Lecturer</v>
      </c>
      <c r="E105" s="16" t="str">
        <f>IFERROR(__xludf.DUMMYFUNCTION("""COMPUTED_VALUE"""),"Full Time")</f>
        <v>Full Time</v>
      </c>
      <c r="F105" s="16" t="str">
        <f>IFERROR(__xludf.DUMMYFUNCTION("""COMPUTED_VALUE"""),"4L92")</f>
        <v>4L92</v>
      </c>
      <c r="G105" s="17" t="str">
        <f>IFERROR(__xludf.DUMMYFUNCTION("""COMPUTED_VALUE"""),"mohammad.rakibul@bracu.ac.bd")</f>
        <v>mohammad.rakibul@bracu.ac.bd</v>
      </c>
    </row>
    <row r="106">
      <c r="A106" s="18" t="str">
        <f t="array" ref="A106">IF(ISBLANK(B106),,HYPERLINK("https://docs.google.com/spreadsheets/d/1aZ_8do2w3aA382MhZyJKG5amXZ6fpthJYoLsdM9x0gU/edit?gid="&amp;XLOOKUP(B106,ID___!A:A,ID___!B:B,"")&amp;"#gid="&amp;XLOOKUP(B106,ID___!A:A,ID___!B:B,"")&amp;"&amp;range=A1:J1","Click"))</f>
        <v>Click</v>
      </c>
      <c r="B106" s="19" t="str">
        <f>IFERROR(__xludf.DUMMYFUNCTION("""COMPUTED_VALUE"""),"RKBR")</f>
        <v>RKBR</v>
      </c>
      <c r="C106" s="17" t="str">
        <f>IFERROR(__xludf.DUMMYFUNCTION("""COMPUTED_VALUE"""),"Rakib  Kibria")</f>
        <v>Rakib  Kibria</v>
      </c>
      <c r="D106" s="16" t="str">
        <f>IFERROR(__xludf.DUMMYFUNCTION("""COMPUTED_VALUE"""),"Lecturer")</f>
        <v>Lecturer</v>
      </c>
      <c r="E106" s="16" t="str">
        <f>IFERROR(__xludf.DUMMYFUNCTION("""COMPUTED_VALUE"""),"Full Time")</f>
        <v>Full Time</v>
      </c>
      <c r="F106" s="16" t="str">
        <f>IFERROR(__xludf.DUMMYFUNCTION("""COMPUTED_VALUE"""),"4P175")</f>
        <v>4P175</v>
      </c>
      <c r="G106" s="17" t="str">
        <f>IFERROR(__xludf.DUMMYFUNCTION("""COMPUTED_VALUE"""),"rakib.kibria@bracu.ac.bd")</f>
        <v>rakib.kibria@bracu.ac.bd</v>
      </c>
    </row>
    <row r="107">
      <c r="A107" s="18" t="str">
        <f t="array" ref="A107">IF(ISBLANK(B107),,HYPERLINK("https://docs.google.com/spreadsheets/d/1aZ_8do2w3aA382MhZyJKG5amXZ6fpthJYoLsdM9x0gU/edit?gid="&amp;XLOOKUP(B107,ID___!A:A,ID___!B:B,"")&amp;"#gid="&amp;XLOOKUP(B107,ID___!A:A,ID___!B:B,"")&amp;"&amp;range=A1:J1","Click"))</f>
        <v>Click</v>
      </c>
      <c r="B107" s="19" t="str">
        <f>IFERROR(__xludf.DUMMYFUNCTION("""COMPUTED_VALUE"""),"RKN")</f>
        <v>RKN</v>
      </c>
      <c r="C107" s="14" t="str">
        <f>IFERROR(__xludf.DUMMYFUNCTION("""COMPUTED_VALUE"""),"Raisul Kabir News")</f>
        <v>Raisul Kabir News</v>
      </c>
      <c r="D107" s="16" t="str">
        <f>IFERROR(__xludf.DUMMYFUNCTION("""COMPUTED_VALUE"""),"Lecturer")</f>
        <v>Lecturer</v>
      </c>
      <c r="E107" s="16" t="str">
        <f>IFERROR(__xludf.DUMMYFUNCTION("""COMPUTED_VALUE"""),"Full Time")</f>
        <v>Full Time</v>
      </c>
      <c r="F107" s="16" t="str">
        <f>IFERROR(__xludf.DUMMYFUNCTION("""COMPUTED_VALUE"""),"4L94")</f>
        <v>4L94</v>
      </c>
      <c r="G107" s="17" t="str">
        <f>IFERROR(__xludf.DUMMYFUNCTION("""COMPUTED_VALUE"""),"raisul.kabir@bracu.ac.bd")</f>
        <v>raisul.kabir@bracu.ac.bd</v>
      </c>
    </row>
    <row r="108">
      <c r="A108" s="18" t="str">
        <f t="array" ref="A108">IF(ISBLANK(B108),,HYPERLINK("https://docs.google.com/spreadsheets/d/1aZ_8do2w3aA382MhZyJKG5amXZ6fpthJYoLsdM9x0gU/edit?gid="&amp;XLOOKUP(B108,ID___!A:A,ID___!B:B,"")&amp;"#gid="&amp;XLOOKUP(B108,ID___!A:A,ID___!B:B,"")&amp;"&amp;range=A1:J1","Click"))</f>
        <v>Click</v>
      </c>
      <c r="B108" s="19" t="str">
        <f>IFERROR(__xludf.DUMMYFUNCTION("""COMPUTED_VALUE"""),"RRH")</f>
        <v>RRH</v>
      </c>
      <c r="C108" s="17" t="str">
        <f>IFERROR(__xludf.DUMMYFUNCTION("""COMPUTED_VALUE"""),"Mr. Rafeed Rahman")</f>
        <v>Mr. Rafeed Rahman</v>
      </c>
      <c r="D108" s="16" t="str">
        <f>IFERROR(__xludf.DUMMYFUNCTION("""COMPUTED_VALUE"""),"Senior Lecturer")</f>
        <v>Senior Lecturer</v>
      </c>
      <c r="E108" s="16" t="str">
        <f>IFERROR(__xludf.DUMMYFUNCTION("""COMPUTED_VALUE"""),"Full Time")</f>
        <v>Full Time</v>
      </c>
      <c r="F108" s="16" t="str">
        <f>IFERROR(__xludf.DUMMYFUNCTION("""COMPUTED_VALUE"""),"4J64")</f>
        <v>4J64</v>
      </c>
      <c r="G108" s="17" t="str">
        <f>IFERROR(__xludf.DUMMYFUNCTION("""COMPUTED_VALUE"""),"rahman.rafeed@bracu.ac.bd")</f>
        <v>rahman.rafeed@bracu.ac.bd</v>
      </c>
    </row>
    <row r="109">
      <c r="A109" s="18" t="str">
        <f t="array" ref="A109">IF(ISBLANK(B109),,HYPERLINK("https://docs.google.com/spreadsheets/d/1aZ_8do2w3aA382MhZyJKG5amXZ6fpthJYoLsdM9x0gU/edit?gid="&amp;XLOOKUP(B109,ID___!A:A,ID___!B:B,"")&amp;"#gid="&amp;XLOOKUP(B109,ID___!A:A,ID___!B:B,"")&amp;"&amp;range=A1:J1","Click"))</f>
        <v>Click</v>
      </c>
      <c r="B109" s="19" t="str">
        <f>IFERROR(__xludf.DUMMYFUNCTION("""COMPUTED_VALUE"""),"RSS")</f>
        <v>RSS</v>
      </c>
      <c r="C109" s="17" t="str">
        <f>IFERROR(__xludf.DUMMYFUNCTION("""COMPUTED_VALUE"""),"Rafiad Sadat Shahir")</f>
        <v>Rafiad Sadat Shahir</v>
      </c>
      <c r="D109" s="16" t="str">
        <f>IFERROR(__xludf.DUMMYFUNCTION("""COMPUTED_VALUE"""),"Lecturer")</f>
        <v>Lecturer</v>
      </c>
      <c r="E109" s="16" t="str">
        <f>IFERROR(__xludf.DUMMYFUNCTION("""COMPUTED_VALUE"""),"Full Time")</f>
        <v>Full Time</v>
      </c>
      <c r="F109" s="16" t="str">
        <f>IFERROR(__xludf.DUMMYFUNCTION("""COMPUTED_VALUE"""),"4N154")</f>
        <v>4N154</v>
      </c>
      <c r="G109" s="17" t="str">
        <f>IFERROR(__xludf.DUMMYFUNCTION("""COMPUTED_VALUE"""),"rafiad.shahir@bracu.ac.bd")</f>
        <v>rafiad.shahir@bracu.ac.bd</v>
      </c>
    </row>
    <row r="110">
      <c r="A110" s="18" t="str">
        <f t="array" ref="A110">IF(ISBLANK(B110),,HYPERLINK("https://docs.google.com/spreadsheets/d/1aZ_8do2w3aA382MhZyJKG5amXZ6fpthJYoLsdM9x0gU/edit?gid="&amp;XLOOKUP(B110,ID___!A:A,ID___!B:B,"")&amp;"#gid="&amp;XLOOKUP(B110,ID___!A:A,ID___!B:B,"")&amp;"&amp;range=A1:J1","Click"))</f>
        <v>Click</v>
      </c>
      <c r="B110" s="19" t="str">
        <f>IFERROR(__xludf.DUMMYFUNCTION("""COMPUTED_VALUE"""),"SADA")</f>
        <v>SADA</v>
      </c>
      <c r="C110" s="17" t="str">
        <f>IFERROR(__xludf.DUMMYFUNCTION("""COMPUTED_VALUE"""),"Sadif Ahmed")</f>
        <v>Sadif Ahmed</v>
      </c>
      <c r="D110" s="16" t="str">
        <f>IFERROR(__xludf.DUMMYFUNCTION("""COMPUTED_VALUE"""),"Lecturer")</f>
        <v>Lecturer</v>
      </c>
      <c r="E110" s="16" t="str">
        <f>IFERROR(__xludf.DUMMYFUNCTION("""COMPUTED_VALUE"""),"Full Time")</f>
        <v>Full Time</v>
      </c>
      <c r="F110" s="16" t="str">
        <f>IFERROR(__xludf.DUMMYFUNCTION("""COMPUTED_VALUE"""),"4P197")</f>
        <v>4P197</v>
      </c>
      <c r="G110" s="17" t="str">
        <f>IFERROR(__xludf.DUMMYFUNCTION("""COMPUTED_VALUE"""),"sadif.ahmed@bracu.ac.bd")</f>
        <v>sadif.ahmed@bracu.ac.bd</v>
      </c>
    </row>
    <row r="111">
      <c r="A111" s="18" t="str">
        <f t="array" ref="A111">IF(ISBLANK(B111),,HYPERLINK("https://docs.google.com/spreadsheets/d/1aZ_8do2w3aA382MhZyJKG5amXZ6fpthJYoLsdM9x0gU/edit?gid="&amp;XLOOKUP(B111,ID___!A:A,ID___!B:B,"")&amp;"#gid="&amp;XLOOKUP(B111,ID___!A:A,ID___!B:B,"")&amp;"&amp;range=A1:J1","Click"))</f>
        <v>Click</v>
      </c>
      <c r="B111" s="19" t="str">
        <f>IFERROR(__xludf.DUMMYFUNCTION("""COMPUTED_VALUE"""),"SADF")</f>
        <v>SADF</v>
      </c>
      <c r="C111" s="17" t="str">
        <f>IFERROR(__xludf.DUMMYFUNCTION("""COMPUTED_VALUE"""),"Saadat Rafid Ahmed")</f>
        <v>Saadat Rafid Ahmed</v>
      </c>
      <c r="D111" s="16" t="str">
        <f>IFERROR(__xludf.DUMMYFUNCTION("""COMPUTED_VALUE"""),"Lecturer")</f>
        <v>Lecturer</v>
      </c>
      <c r="E111" s="16" t="str">
        <f>IFERROR(__xludf.DUMMYFUNCTION("""COMPUTED_VALUE"""),"Full Time")</f>
        <v>Full Time</v>
      </c>
      <c r="F111" s="16" t="str">
        <f>IFERROR(__xludf.DUMMYFUNCTION("""COMPUTED_VALUE"""),"4J51")</f>
        <v>4J51</v>
      </c>
      <c r="G111" s="17" t="str">
        <f>IFERROR(__xludf.DUMMYFUNCTION("""COMPUTED_VALUE"""),"saadat.ahmed@bracu.ac.bd")</f>
        <v>saadat.ahmed@bracu.ac.bd</v>
      </c>
    </row>
    <row r="112">
      <c r="A112" s="18" t="str">
        <f t="array" ref="A112">IF(ISBLANK(B112),,HYPERLINK("https://docs.google.com/spreadsheets/d/1aZ_8do2w3aA382MhZyJKG5amXZ6fpthJYoLsdM9x0gU/edit?gid="&amp;XLOOKUP(B112,ID___!A:A,ID___!B:B,"")&amp;"#gid="&amp;XLOOKUP(B112,ID___!A:A,ID___!B:B,"")&amp;"&amp;range=A1:J1","Click"))</f>
        <v>Click</v>
      </c>
      <c r="B112" s="19" t="str">
        <f>IFERROR(__xludf.DUMMYFUNCTION("""COMPUTED_VALUE"""),"SBHN")</f>
        <v>SBHN</v>
      </c>
      <c r="C112" s="17" t="str">
        <f>IFERROR(__xludf.DUMMYFUNCTION("""COMPUTED_VALUE"""),"Mr. Md Sabbir Hossain")</f>
        <v>Mr. Md Sabbir Hossain</v>
      </c>
      <c r="D112" s="16" t="str">
        <f>IFERROR(__xludf.DUMMYFUNCTION("""COMPUTED_VALUE"""),"Lecturer")</f>
        <v>Lecturer</v>
      </c>
      <c r="E112" s="16" t="str">
        <f>IFERROR(__xludf.DUMMYFUNCTION("""COMPUTED_VALUE"""),"Full Time")</f>
        <v>Full Time</v>
      </c>
      <c r="F112" s="16" t="str">
        <f>IFERROR(__xludf.DUMMYFUNCTION("""COMPUTED_VALUE"""),"4J54")</f>
        <v>4J54</v>
      </c>
      <c r="G112" s="17" t="str">
        <f>IFERROR(__xludf.DUMMYFUNCTION("""COMPUTED_VALUE"""),"sabbir.hossain@bracu.ac.bd")</f>
        <v>sabbir.hossain@bracu.ac.bd</v>
      </c>
    </row>
    <row r="113">
      <c r="A113" s="18" t="str">
        <f t="array" ref="A113">IF(ISBLANK(B113),,HYPERLINK("https://docs.google.com/spreadsheets/d/1aZ_8do2w3aA382MhZyJKG5amXZ6fpthJYoLsdM9x0gU/edit?gid="&amp;XLOOKUP(B113,ID___!A:A,ID___!B:B,"")&amp;"#gid="&amp;XLOOKUP(B113,ID___!A:A,ID___!B:B,"")&amp;"&amp;range=A1:J1","Click"))</f>
        <v>Click</v>
      </c>
      <c r="B113" s="19" t="str">
        <f>IFERROR(__xludf.DUMMYFUNCTION("""COMPUTED_VALUE"""),"SDAS")</f>
        <v>SDAS</v>
      </c>
      <c r="C113" s="17" t="str">
        <f>IFERROR(__xludf.DUMMYFUNCTION("""COMPUTED_VALUE"""),"Sowmitra Das")</f>
        <v>Sowmitra Das</v>
      </c>
      <c r="D113" s="16" t="str">
        <f>IFERROR(__xludf.DUMMYFUNCTION("""COMPUTED_VALUE"""),"Senior Lecturer")</f>
        <v>Senior Lecturer</v>
      </c>
      <c r="E113" s="16" t="str">
        <f>IFERROR(__xludf.DUMMYFUNCTION("""COMPUTED_VALUE"""),"Full Time")</f>
        <v>Full Time</v>
      </c>
      <c r="F113" s="16" t="str">
        <f>IFERROR(__xludf.DUMMYFUNCTION("""COMPUTED_VALUE"""),"4N142")</f>
        <v>4N142</v>
      </c>
      <c r="G113" s="17" t="str">
        <f>IFERROR(__xludf.DUMMYFUNCTION("""COMPUTED_VALUE"""),"sowmitra.das@bracu.ac.bd")</f>
        <v>sowmitra.das@bracu.ac.bd</v>
      </c>
    </row>
    <row r="114">
      <c r="A114" s="18" t="str">
        <f t="array" ref="A114">IF(ISBLANK(B114),,HYPERLINK("https://docs.google.com/spreadsheets/d/1aZ_8do2w3aA382MhZyJKG5amXZ6fpthJYoLsdM9x0gU/edit?gid="&amp;XLOOKUP(B114,ID___!A:A,ID___!B:B,"")&amp;"#gid="&amp;XLOOKUP(B114,ID___!A:A,ID___!B:B,"")&amp;"&amp;range=A1:J1","Click"))</f>
        <v>Click</v>
      </c>
      <c r="B114" s="19" t="str">
        <f>IFERROR(__xludf.DUMMYFUNCTION("""COMPUTED_VALUE"""),"SDF")</f>
        <v>SDF</v>
      </c>
      <c r="C114" s="17" t="str">
        <f>IFERROR(__xludf.DUMMYFUNCTION("""COMPUTED_VALUE"""),"Dr. Md Sadek Ferdous")</f>
        <v>Dr. Md Sadek Ferdous</v>
      </c>
      <c r="D114" s="16" t="str">
        <f>IFERROR(__xludf.DUMMYFUNCTION("""COMPUTED_VALUE"""),"Professor")</f>
        <v>Professor</v>
      </c>
      <c r="E114" s="16" t="str">
        <f>IFERROR(__xludf.DUMMYFUNCTION("""COMPUTED_VALUE"""),"Full Time")</f>
        <v>Full Time</v>
      </c>
      <c r="F114" s="16" t="str">
        <f>IFERROR(__xludf.DUMMYFUNCTION("""COMPUTED_VALUE"""),"4G10")</f>
        <v>4G10</v>
      </c>
      <c r="G114" s="17" t="str">
        <f>IFERROR(__xludf.DUMMYFUNCTION("""COMPUTED_VALUE"""),"sadek.ferdous@bracu.ac.bd")</f>
        <v>sadek.ferdous@bracu.ac.bd</v>
      </c>
    </row>
    <row r="115">
      <c r="A115" s="18" t="str">
        <f t="array" ref="A115">IF(ISBLANK(B115),,HYPERLINK("https://docs.google.com/spreadsheets/d/1aZ_8do2w3aA382MhZyJKG5amXZ6fpthJYoLsdM9x0gU/edit?gid="&amp;XLOOKUP(B115,ID___!A:A,ID___!B:B,"")&amp;"#gid="&amp;XLOOKUP(B115,ID___!A:A,ID___!B:B,"")&amp;"&amp;range=A1:J1","Click"))</f>
        <v>Click</v>
      </c>
      <c r="B115" s="19" t="str">
        <f>IFERROR(__xludf.DUMMYFUNCTION("""COMPUTED_VALUE"""),"SDL")</f>
        <v>SDL</v>
      </c>
      <c r="C115" s="17" t="str">
        <f>IFERROR(__xludf.DUMMYFUNCTION("""COMPUTED_VALUE"""),"Shadmin Sultana")</f>
        <v>Shadmin Sultana</v>
      </c>
      <c r="D115" s="16" t="str">
        <f>IFERROR(__xludf.DUMMYFUNCTION("""COMPUTED_VALUE"""),"Lecturer")</f>
        <v>Lecturer</v>
      </c>
      <c r="E115" s="16" t="str">
        <f>IFERROR(__xludf.DUMMYFUNCTION("""COMPUTED_VALUE"""),"Full Time")</f>
        <v>Full Time</v>
      </c>
      <c r="F115" s="16" t="str">
        <f>IFERROR(__xludf.DUMMYFUNCTION("""COMPUTED_VALUE"""),"4N157")</f>
        <v>4N157</v>
      </c>
      <c r="G115" s="17" t="str">
        <f>IFERROR(__xludf.DUMMYFUNCTION("""COMPUTED_VALUE"""),"shadmin.sultana@bracu.ac.bd")</f>
        <v>shadmin.sultana@bracu.ac.bd</v>
      </c>
    </row>
    <row r="116">
      <c r="A116" s="18" t="str">
        <f t="array" ref="A116">IF(ISBLANK(B116),,HYPERLINK("https://docs.google.com/spreadsheets/d/1aZ_8do2w3aA382MhZyJKG5amXZ6fpthJYoLsdM9x0gU/edit?gid="&amp;XLOOKUP(B116,ID___!A:A,ID___!B:B,"")&amp;"#gid="&amp;XLOOKUP(B116,ID___!A:A,ID___!B:B,"")&amp;"&amp;range=A1:J1","Click"))</f>
        <v>Click</v>
      </c>
      <c r="B116" s="19" t="str">
        <f>IFERROR(__xludf.DUMMYFUNCTION("""COMPUTED_VALUE"""),"SDQ")</f>
        <v>SDQ</v>
      </c>
      <c r="C116" s="17" t="str">
        <f>IFERROR(__xludf.DUMMYFUNCTION("""COMPUTED_VALUE"""),"Mr. Md. Saiful Bari Siddiqui")</f>
        <v>Mr. Md. Saiful Bari Siddiqui</v>
      </c>
      <c r="D116" s="16" t="str">
        <f>IFERROR(__xludf.DUMMYFUNCTION("""COMPUTED_VALUE"""),"Senior Lecturer")</f>
        <v>Senior Lecturer</v>
      </c>
      <c r="E116" s="16" t="str">
        <f>IFERROR(__xludf.DUMMYFUNCTION("""COMPUTED_VALUE"""),"Full Time")</f>
        <v>Full Time</v>
      </c>
      <c r="F116" s="16" t="str">
        <f>IFERROR(__xludf.DUMMYFUNCTION("""COMPUTED_VALUE"""),"4N152")</f>
        <v>4N152</v>
      </c>
      <c r="G116" s="17" t="str">
        <f>IFERROR(__xludf.DUMMYFUNCTION("""COMPUTED_VALUE"""),"saiful.bari@bracu.ac.bd")</f>
        <v>saiful.bari@bracu.ac.bd</v>
      </c>
    </row>
    <row r="117">
      <c r="A117" s="18" t="str">
        <f t="array" ref="A117">IF(ISBLANK(B117),,HYPERLINK("https://docs.google.com/spreadsheets/d/1aZ_8do2w3aA382MhZyJKG5amXZ6fpthJYoLsdM9x0gU/edit?gid="&amp;XLOOKUP(B117,ID___!A:A,ID___!B:B,"")&amp;"#gid="&amp;XLOOKUP(B117,ID___!A:A,ID___!B:B,"")&amp;"&amp;range=A1:J1","Click"))</f>
        <v>Click</v>
      </c>
      <c r="B117" s="19" t="str">
        <f>IFERROR(__xludf.DUMMYFUNCTION("""COMPUTED_VALUE"""),"SDS")</f>
        <v>SDS</v>
      </c>
      <c r="C117" s="17" t="str">
        <f>IFERROR(__xludf.DUMMYFUNCTION("""COMPUTED_VALUE"""),"Mr. Shadman Shahriar")</f>
        <v>Mr. Shadman Shahriar</v>
      </c>
      <c r="D117" s="16" t="str">
        <f>IFERROR(__xludf.DUMMYFUNCTION("""COMPUTED_VALUE"""),"Lecturer")</f>
        <v>Lecturer</v>
      </c>
      <c r="E117" s="16" t="str">
        <f>IFERROR(__xludf.DUMMYFUNCTION("""COMPUTED_VALUE"""),"Full Time")</f>
        <v>Full Time</v>
      </c>
      <c r="F117" s="16" t="str">
        <f>IFERROR(__xludf.DUMMYFUNCTION("""COMPUTED_VALUE"""),"4N143")</f>
        <v>4N143</v>
      </c>
      <c r="G117" s="17" t="str">
        <f>IFERROR(__xludf.DUMMYFUNCTION("""COMPUTED_VALUE"""),"shadman.shahriar@bracu.ac.bd")</f>
        <v>shadman.shahriar@bracu.ac.bd</v>
      </c>
    </row>
    <row r="118">
      <c r="A118" s="18" t="str">
        <f t="array" ref="A118">IF(ISBLANK(B118),,HYPERLINK("https://docs.google.com/spreadsheets/d/1aZ_8do2w3aA382MhZyJKG5amXZ6fpthJYoLsdM9x0gU/edit?gid="&amp;XLOOKUP(B118,ID___!A:A,ID___!B:B,"")&amp;"#gid="&amp;XLOOKUP(B118,ID___!A:A,ID___!B:B,"")&amp;"&amp;range=A1:J1","Click"))</f>
        <v>Click</v>
      </c>
      <c r="B118" s="19" t="str">
        <f>IFERROR(__xludf.DUMMYFUNCTION("""COMPUTED_VALUE"""),"SDU")</f>
        <v>SDU</v>
      </c>
      <c r="C118" s="17" t="str">
        <f>IFERROR(__xludf.DUMMYFUNCTION("""COMPUTED_VALUE"""),"Shomen Kundu")</f>
        <v>Shomen Kundu</v>
      </c>
      <c r="D118" s="16" t="str">
        <f>IFERROR(__xludf.DUMMYFUNCTION("""COMPUTED_VALUE"""),"Lecturer")</f>
        <v>Lecturer</v>
      </c>
      <c r="E118" s="16" t="str">
        <f>IFERROR(__xludf.DUMMYFUNCTION("""COMPUTED_VALUE"""),"Full Time")</f>
        <v>Full Time</v>
      </c>
      <c r="F118" s="16" t="str">
        <f>IFERROR(__xludf.DUMMYFUNCTION("""COMPUTED_VALUE"""),"4N148")</f>
        <v>4N148</v>
      </c>
      <c r="G118" s="17" t="str">
        <f>IFERROR(__xludf.DUMMYFUNCTION("""COMPUTED_VALUE"""),"shomen.kundu@bracu.ac.bd")</f>
        <v>shomen.kundu@bracu.ac.bd</v>
      </c>
    </row>
    <row r="119">
      <c r="A119" s="18" t="str">
        <f t="array" ref="A119">IF(ISBLANK(B119),,HYPERLINK("https://docs.google.com/spreadsheets/d/1aZ_8do2w3aA382MhZyJKG5amXZ6fpthJYoLsdM9x0gU/edit?gid="&amp;XLOOKUP(B119,ID___!A:A,ID___!B:B,"")&amp;"#gid="&amp;XLOOKUP(B119,ID___!A:A,ID___!B:B,"")&amp;"&amp;range=A1:J1","Click"))</f>
        <v>Click</v>
      </c>
      <c r="B119" s="19" t="str">
        <f>IFERROR(__xludf.DUMMYFUNCTION("""COMPUTED_VALUE"""),"SHAH")</f>
        <v>SHAH</v>
      </c>
      <c r="C119" s="17" t="str">
        <f>IFERROR(__xludf.DUMMYFUNCTION("""COMPUTED_VALUE"""),"Asif Shahriar")</f>
        <v>Asif Shahriar</v>
      </c>
      <c r="D119" s="16" t="str">
        <f>IFERROR(__xludf.DUMMYFUNCTION("""COMPUTED_VALUE"""),"Lecturer")</f>
        <v>Lecturer</v>
      </c>
      <c r="E119" s="16" t="str">
        <f>IFERROR(__xludf.DUMMYFUNCTION("""COMPUTED_VALUE"""),"Full Time")</f>
        <v>Full Time</v>
      </c>
      <c r="F119" s="16" t="str">
        <f>IFERROR(__xludf.DUMMYFUNCTION("""COMPUTED_VALUE"""),"4M124")</f>
        <v>4M124</v>
      </c>
      <c r="G119" s="17" t="str">
        <f>IFERROR(__xludf.DUMMYFUNCTION("""COMPUTED_VALUE"""),"asif.shahriar@bracu.ac.bd")</f>
        <v>asif.shahriar@bracu.ac.bd</v>
      </c>
    </row>
    <row r="120">
      <c r="A120" s="18" t="str">
        <f t="array" ref="A120">IF(ISBLANK(B120),,HYPERLINK("https://docs.google.com/spreadsheets/d/1aZ_8do2w3aA382MhZyJKG5amXZ6fpthJYoLsdM9x0gU/edit?gid="&amp;XLOOKUP(B120,ID___!A:A,ID___!B:B,"")&amp;"#gid="&amp;XLOOKUP(B120,ID___!A:A,ID___!B:B,"")&amp;"&amp;range=A1:J1","Click"))</f>
        <v>Click</v>
      </c>
      <c r="B120" s="19" t="str">
        <f>IFERROR(__xludf.DUMMYFUNCTION("""COMPUTED_VALUE"""),"SHBK")</f>
        <v>SHBK</v>
      </c>
      <c r="C120" s="17" t="str">
        <f>IFERROR(__xludf.DUMMYFUNCTION("""COMPUTED_VALUE"""),"Sahib Kowsar")</f>
        <v>Sahib Kowsar</v>
      </c>
      <c r="D120" s="16" t="str">
        <f>IFERROR(__xludf.DUMMYFUNCTION("""COMPUTED_VALUE"""),"Lecturer")</f>
        <v>Lecturer</v>
      </c>
      <c r="E120" s="16" t="str">
        <f>IFERROR(__xludf.DUMMYFUNCTION("""COMPUTED_VALUE"""),"Full Time")</f>
        <v>Full Time</v>
      </c>
      <c r="F120" s="16" t="str">
        <f>IFERROR(__xludf.DUMMYFUNCTION("""COMPUTED_VALUE"""),"4L91")</f>
        <v>4L91</v>
      </c>
      <c r="G120" s="17" t="str">
        <f>IFERROR(__xludf.DUMMYFUNCTION("""COMPUTED_VALUE"""),"sahib.kowsar@bracu.ac.bd")</f>
        <v>sahib.kowsar@bracu.ac.bd</v>
      </c>
    </row>
    <row r="121">
      <c r="A121" s="18" t="str">
        <f t="array" ref="A121">IF(ISBLANK(B121),,HYPERLINK("https://docs.google.com/spreadsheets/d/1aZ_8do2w3aA382MhZyJKG5amXZ6fpthJYoLsdM9x0gU/edit?gid="&amp;XLOOKUP(B121,ID___!A:A,ID___!B:B,"")&amp;"#gid="&amp;XLOOKUP(B121,ID___!A:A,ID___!B:B,"")&amp;"&amp;range=A1:J1","Click"))</f>
        <v>Click</v>
      </c>
      <c r="B121" s="19" t="str">
        <f>IFERROR(__xludf.DUMMYFUNCTION("""COMPUTED_VALUE"""),"SHRR")</f>
        <v>SHRR</v>
      </c>
      <c r="C121" s="17" t="str">
        <f>IFERROR(__xludf.DUMMYFUNCTION("""COMPUTED_VALUE"""),"Mr. Shahriar Rahman Rana")</f>
        <v>Mr. Shahriar Rahman Rana</v>
      </c>
      <c r="D121" s="16" t="str">
        <f>IFERROR(__xludf.DUMMYFUNCTION("""COMPUTED_VALUE"""),"Lecturer")</f>
        <v>Lecturer</v>
      </c>
      <c r="E121" s="16" t="str">
        <f>IFERROR(__xludf.DUMMYFUNCTION("""COMPUTED_VALUE"""),"Full Time")</f>
        <v>Full Time</v>
      </c>
      <c r="F121" s="16" t="str">
        <f>IFERROR(__xludf.DUMMYFUNCTION("""COMPUTED_VALUE"""),"4M105")</f>
        <v>4M105</v>
      </c>
      <c r="G121" s="17" t="str">
        <f>IFERROR(__xludf.DUMMYFUNCTION("""COMPUTED_VALUE"""),"shahriar.rahman@bracu.ac.bd")</f>
        <v>shahriar.rahman@bracu.ac.bd</v>
      </c>
    </row>
    <row r="122">
      <c r="A122" s="18" t="str">
        <f t="array" ref="A122">IF(ISBLANK(B122),,HYPERLINK("https://docs.google.com/spreadsheets/d/1aZ_8do2w3aA382MhZyJKG5amXZ6fpthJYoLsdM9x0gU/edit?gid="&amp;XLOOKUP(B122,ID___!A:A,ID___!B:B,"")&amp;"#gid="&amp;XLOOKUP(B122,ID___!A:A,ID___!B:B,"")&amp;"&amp;range=A1:J1","Click"))</f>
        <v>Click</v>
      </c>
      <c r="B122" s="19" t="str">
        <f>IFERROR(__xludf.DUMMYFUNCTION("""COMPUTED_VALUE"""),"SKIB")</f>
        <v>SKIB</v>
      </c>
      <c r="C122" s="17" t="str">
        <f>IFERROR(__xludf.DUMMYFUNCTION("""COMPUTED_VALUE"""),"Nazmus Sakib Ahmed")</f>
        <v>Nazmus Sakib Ahmed</v>
      </c>
      <c r="D122" s="16" t="str">
        <f>IFERROR(__xludf.DUMMYFUNCTION("""COMPUTED_VALUE"""),"Lecturer")</f>
        <v>Lecturer</v>
      </c>
      <c r="E122" s="16" t="str">
        <f>IFERROR(__xludf.DUMMYFUNCTION("""COMPUTED_VALUE"""),"Full Time")</f>
        <v>Full Time</v>
      </c>
      <c r="F122" s="16" t="str">
        <f>IFERROR(__xludf.DUMMYFUNCTION("""COMPUTED_VALUE"""),"4P174")</f>
        <v>4P174</v>
      </c>
      <c r="G122" s="17" t="str">
        <f>IFERROR(__xludf.DUMMYFUNCTION("""COMPUTED_VALUE"""),"nazmus.sakib@bracu.ac.bd")</f>
        <v>nazmus.sakib@bracu.ac.bd</v>
      </c>
    </row>
    <row r="123">
      <c r="A123" s="18" t="str">
        <f t="array" ref="A123">IF(ISBLANK(B123),,HYPERLINK("https://docs.google.com/spreadsheets/d/1aZ_8do2w3aA382MhZyJKG5amXZ6fpthJYoLsdM9x0gU/edit?gid="&amp;XLOOKUP(B123,ID___!A:A,ID___!B:B,"")&amp;"#gid="&amp;XLOOKUP(B123,ID___!A:A,ID___!B:B,"")&amp;"&amp;range=A1:J1","Click"))</f>
        <v>Click</v>
      </c>
      <c r="B123" s="19" t="str">
        <f>IFERROR(__xludf.DUMMYFUNCTION("""COMPUTED_VALUE"""),"SKZ")</f>
        <v>SKZ</v>
      </c>
      <c r="C123" s="17" t="str">
        <f>IFERROR(__xludf.DUMMYFUNCTION("""COMPUTED_VALUE"""),"Dr. Sadia Hamid Kazi")</f>
        <v>Dr. Sadia Hamid Kazi</v>
      </c>
      <c r="D123" s="16" t="str">
        <f>IFERROR(__xludf.DUMMYFUNCTION("""COMPUTED_VALUE"""),"Associate Professor &amp; Chairperson")</f>
        <v>Associate Professor &amp; Chairperson</v>
      </c>
      <c r="E123" s="16" t="str">
        <f>IFERROR(__xludf.DUMMYFUNCTION("""COMPUTED_VALUE"""),"Full Time")</f>
        <v>Full Time</v>
      </c>
      <c r="F123" s="16" t="str">
        <f>IFERROR(__xludf.DUMMYFUNCTION("""COMPUTED_VALUE"""),"4G32")</f>
        <v>4G32</v>
      </c>
      <c r="G123" s="17" t="str">
        <f>IFERROR(__xludf.DUMMYFUNCTION("""COMPUTED_VALUE"""),"skazi@bracu.ac.bd")</f>
        <v>skazi@bracu.ac.bd</v>
      </c>
    </row>
    <row r="124">
      <c r="A124" s="18" t="str">
        <f t="array" ref="A124">IF(ISBLANK(B124),,HYPERLINK("https://docs.google.com/spreadsheets/d/1aZ_8do2w3aA382MhZyJKG5amXZ6fpthJYoLsdM9x0gU/edit?gid="&amp;XLOOKUP(B124,ID___!A:A,ID___!B:B,"")&amp;"#gid="&amp;XLOOKUP(B124,ID___!A:A,ID___!B:B,"")&amp;"&amp;range=A1:J1","Click"))</f>
        <v>Click</v>
      </c>
      <c r="B124" s="19" t="str">
        <f>IFERROR(__xludf.DUMMYFUNCTION("""COMPUTED_VALUE"""),"SMUR")</f>
        <v>SMUR</v>
      </c>
      <c r="C124" s="17" t="str">
        <f>IFERROR(__xludf.DUMMYFUNCTION("""COMPUTED_VALUE"""),"Samiur Rahman")</f>
        <v>Samiur Rahman</v>
      </c>
      <c r="D124" s="16" t="str">
        <f>IFERROR(__xludf.DUMMYFUNCTION("""COMPUTED_VALUE"""),"Lecturer")</f>
        <v>Lecturer</v>
      </c>
      <c r="E124" s="16" t="str">
        <f>IFERROR(__xludf.DUMMYFUNCTION("""COMPUTED_VALUE"""),"Full Time")</f>
        <v>Full Time</v>
      </c>
      <c r="F124" s="16" t="str">
        <f>IFERROR(__xludf.DUMMYFUNCTION("""COMPUTED_VALUE"""),"4J55")</f>
        <v>4J55</v>
      </c>
      <c r="G124" s="17" t="str">
        <f>IFERROR(__xludf.DUMMYFUNCTION("""COMPUTED_VALUE"""),"rahman.samiur@bracu.ac.bd")</f>
        <v>rahman.samiur@bracu.ac.bd</v>
      </c>
    </row>
    <row r="125">
      <c r="A125" s="18" t="str">
        <f t="array" ref="A125">IF(ISBLANK(B125),,HYPERLINK("https://docs.google.com/spreadsheets/d/1aZ_8do2w3aA382MhZyJKG5amXZ6fpthJYoLsdM9x0gU/edit?gid="&amp;XLOOKUP(B125,ID___!A:A,ID___!B:B,"")&amp;"#gid="&amp;XLOOKUP(B125,ID___!A:A,ID___!B:B,"")&amp;"&amp;range=A1:J1","Click"))</f>
        <v>Click</v>
      </c>
      <c r="B125" s="19" t="str">
        <f>IFERROR(__xludf.DUMMYFUNCTION("""COMPUTED_VALUE"""),"SMYA")</f>
        <v>SMYA</v>
      </c>
      <c r="C125" s="17" t="str">
        <f>IFERROR(__xludf.DUMMYFUNCTION("""COMPUTED_VALUE"""),"Sumaiya")</f>
        <v>Sumaiya</v>
      </c>
      <c r="D125" s="16" t="str">
        <f>IFERROR(__xludf.DUMMYFUNCTION("""COMPUTED_VALUE"""),"Lecturer")</f>
        <v>Lecturer</v>
      </c>
      <c r="E125" s="16" t="str">
        <f>IFERROR(__xludf.DUMMYFUNCTION("""COMPUTED_VALUE"""),"Full Time")</f>
        <v>Full Time</v>
      </c>
      <c r="F125" s="16" t="str">
        <f>IFERROR(__xludf.DUMMYFUNCTION("""COMPUTED_VALUE"""),"4K76")</f>
        <v>4K76</v>
      </c>
      <c r="G125" s="17" t="str">
        <f>IFERROR(__xludf.DUMMYFUNCTION("""COMPUTED_VALUE"""),"sumaiya@bracu.ac.bd")</f>
        <v>sumaiya@bracu.ac.bd</v>
      </c>
    </row>
    <row r="126">
      <c r="A126" s="18" t="str">
        <f t="array" ref="A126">IF(ISBLANK(B126),,HYPERLINK("https://docs.google.com/spreadsheets/d/1aZ_8do2w3aA382MhZyJKG5amXZ6fpthJYoLsdM9x0gU/edit?gid="&amp;XLOOKUP(B126,ID___!A:A,ID___!B:B,"")&amp;"#gid="&amp;XLOOKUP(B126,ID___!A:A,ID___!B:B,"")&amp;"&amp;range=A1:J1","Click"))</f>
        <v>Click</v>
      </c>
      <c r="B126" s="19" t="str">
        <f>IFERROR(__xludf.DUMMYFUNCTION("""COMPUTED_VALUE"""),"SOSB")</f>
        <v>SOSB</v>
      </c>
      <c r="C126" s="17" t="str">
        <f>IFERROR(__xludf.DUMMYFUNCTION("""COMPUTED_VALUE"""),"Soumya Swagata Biswas")</f>
        <v>Soumya Swagata Biswas</v>
      </c>
      <c r="D126" s="16" t="str">
        <f>IFERROR(__xludf.DUMMYFUNCTION("""COMPUTED_VALUE"""),"Lecturer")</f>
        <v>Lecturer</v>
      </c>
      <c r="E126" s="16" t="str">
        <f>IFERROR(__xludf.DUMMYFUNCTION("""COMPUTED_VALUE"""),"Full Time")</f>
        <v>Full Time</v>
      </c>
      <c r="F126" s="16" t="str">
        <f>IFERROR(__xludf.DUMMYFUNCTION("""COMPUTED_VALUE"""),"4P198")</f>
        <v>4P198</v>
      </c>
      <c r="G126" s="17" t="str">
        <f>IFERROR(__xludf.DUMMYFUNCTION("""COMPUTED_VALUE"""),"soumya.swagata@bracu.ac.bd")</f>
        <v>soumya.swagata@bracu.ac.bd</v>
      </c>
    </row>
    <row r="127">
      <c r="A127" s="18" t="str">
        <f t="array" ref="A127">IF(ISBLANK(B127),,HYPERLINK("https://docs.google.com/spreadsheets/d/1aZ_8do2w3aA382MhZyJKG5amXZ6fpthJYoLsdM9x0gU/edit?gid="&amp;XLOOKUP(B127,ID___!A:A,ID___!B:B,"")&amp;"#gid="&amp;XLOOKUP(B127,ID___!A:A,ID___!B:B,"")&amp;"&amp;range=A1:J1","Click"))</f>
        <v>Click</v>
      </c>
      <c r="B127" s="19" t="str">
        <f>IFERROR(__xludf.DUMMYFUNCTION("""COMPUTED_VALUE"""),"SRJ")</f>
        <v>SRJ</v>
      </c>
      <c r="C127" s="17" t="str">
        <f>IFERROR(__xludf.DUMMYFUNCTION("""COMPUTED_VALUE"""),"Ms. Mehnaz Seraj")</f>
        <v>Ms. Mehnaz Seraj</v>
      </c>
      <c r="D127" s="16" t="str">
        <f>IFERROR(__xludf.DUMMYFUNCTION("""COMPUTED_VALUE"""),"Senior Lecturer")</f>
        <v>Senior Lecturer</v>
      </c>
      <c r="E127" s="16" t="str">
        <f>IFERROR(__xludf.DUMMYFUNCTION("""COMPUTED_VALUE"""),"Full Time")</f>
        <v>Full Time</v>
      </c>
      <c r="F127" s="16" t="str">
        <f>IFERROR(__xludf.DUMMYFUNCTION("""COMPUTED_VALUE"""),"4G21")</f>
        <v>4G21</v>
      </c>
      <c r="G127" s="17" t="str">
        <f>IFERROR(__xludf.DUMMYFUNCTION("""COMPUTED_VALUE"""),"seraj.mehnaz@bracu.ac.bd")</f>
        <v>seraj.mehnaz@bracu.ac.bd</v>
      </c>
    </row>
    <row r="128">
      <c r="A128" s="18" t="str">
        <f t="array" ref="A128">IF(ISBLANK(B128),,HYPERLINK("https://docs.google.com/spreadsheets/d/1aZ_8do2w3aA382MhZyJKG5amXZ6fpthJYoLsdM9x0gU/edit?gid="&amp;XLOOKUP(B128,ID___!A:A,ID___!B:B,"")&amp;"#gid="&amp;XLOOKUP(B128,ID___!A:A,ID___!B:B,"")&amp;"&amp;range=A1:J1","Click"))</f>
        <v>Click</v>
      </c>
      <c r="B128" s="19" t="str">
        <f>IFERROR(__xludf.DUMMYFUNCTION("""COMPUTED_VALUE"""),"SRU")</f>
        <v>SRU</v>
      </c>
      <c r="C128" s="17" t="str">
        <f>IFERROR(__xludf.DUMMYFUNCTION("""COMPUTED_VALUE"""),"Mr. Shakir Rouf")</f>
        <v>Mr. Shakir Rouf</v>
      </c>
      <c r="D128" s="16" t="str">
        <f>IFERROR(__xludf.DUMMYFUNCTION("""COMPUTED_VALUE"""),"Lecturer")</f>
        <v>Lecturer</v>
      </c>
      <c r="E128" s="16" t="str">
        <f>IFERROR(__xludf.DUMMYFUNCTION("""COMPUTED_VALUE"""),"Full Time")</f>
        <v>Full Time</v>
      </c>
      <c r="F128" s="16" t="str">
        <f>IFERROR(__xludf.DUMMYFUNCTION("""COMPUTED_VALUE"""),"4J53")</f>
        <v>4J53</v>
      </c>
      <c r="G128" s="17" t="str">
        <f>IFERROR(__xludf.DUMMYFUNCTION("""COMPUTED_VALUE"""),"shakir.rouf@bracu.ac.bd")</f>
        <v>shakir.rouf@bracu.ac.bd</v>
      </c>
    </row>
    <row r="129">
      <c r="A129" s="18" t="str">
        <f t="array" ref="A129">IF(ISBLANK(B129),,HYPERLINK("https://docs.google.com/spreadsheets/d/1aZ_8do2w3aA382MhZyJKG5amXZ6fpthJYoLsdM9x0gU/edit?gid="&amp;XLOOKUP(B129,ID___!A:A,ID___!B:B,"")&amp;"#gid="&amp;XLOOKUP(B129,ID___!A:A,ID___!B:B,"")&amp;"&amp;range=A1:J1","Click"))</f>
        <v>Click</v>
      </c>
      <c r="B129" s="19" t="str">
        <f>IFERROR(__xludf.DUMMYFUNCTION("""COMPUTED_VALUE"""),"STNM")</f>
        <v>STNM</v>
      </c>
      <c r="C129" s="17" t="str">
        <f>IFERROR(__xludf.DUMMYFUNCTION("""COMPUTED_VALUE"""),"Sanjida Tasnim")</f>
        <v>Sanjida Tasnim</v>
      </c>
      <c r="D129" s="16" t="str">
        <f>IFERROR(__xludf.DUMMYFUNCTION("""COMPUTED_VALUE"""),"Lecturer")</f>
        <v>Lecturer</v>
      </c>
      <c r="E129" s="16" t="str">
        <f>IFERROR(__xludf.DUMMYFUNCTION("""COMPUTED_VALUE"""),"Full Time")</f>
        <v>Full Time</v>
      </c>
      <c r="F129" s="16" t="str">
        <f>IFERROR(__xludf.DUMMYFUNCTION("""COMPUTED_VALUE"""),"4K70")</f>
        <v>4K70</v>
      </c>
      <c r="G129" s="17" t="str">
        <f>IFERROR(__xludf.DUMMYFUNCTION("""COMPUTED_VALUE"""),"sanjida.tasnim@bracu.ac.bd")</f>
        <v>sanjida.tasnim@bracu.ac.bd</v>
      </c>
    </row>
    <row r="130">
      <c r="A130" s="18" t="str">
        <f t="array" ref="A130">IF(ISBLANK(B130),,HYPERLINK("https://docs.google.com/spreadsheets/d/1aZ_8do2w3aA382MhZyJKG5amXZ6fpthJYoLsdM9x0gU/edit?gid="&amp;XLOOKUP(B130,ID___!A:A,ID___!B:B,"")&amp;"#gid="&amp;XLOOKUP(B130,ID___!A:A,ID___!B:B,"")&amp;"&amp;range=A1:J1","Click"))</f>
        <v>Click</v>
      </c>
      <c r="B130" s="19" t="str">
        <f>IFERROR(__xludf.DUMMYFUNCTION("""COMPUTED_VALUE"""),"SUE")</f>
        <v>SUE</v>
      </c>
      <c r="C130" s="17" t="str">
        <f>IFERROR(__xludf.DUMMYFUNCTION("""COMPUTED_VALUE"""),"Sukarna Sarker")</f>
        <v>Sukarna Sarker</v>
      </c>
      <c r="D130" s="16" t="str">
        <f>IFERROR(__xludf.DUMMYFUNCTION("""COMPUTED_VALUE"""),"Lecturer")</f>
        <v>Lecturer</v>
      </c>
      <c r="E130" s="16" t="str">
        <f>IFERROR(__xludf.DUMMYFUNCTION("""COMPUTED_VALUE"""),"Full Time")</f>
        <v>Full Time</v>
      </c>
      <c r="F130" s="16" t="str">
        <f>IFERROR(__xludf.DUMMYFUNCTION("""COMPUTED_VALUE"""),"4K82")</f>
        <v>4K82</v>
      </c>
      <c r="G130" s="17" t="str">
        <f>IFERROR(__xludf.DUMMYFUNCTION("""COMPUTED_VALUE"""),"sukarna.sarkar@bracu.ac.bd")</f>
        <v>sukarna.sarkar@bracu.ac.bd</v>
      </c>
    </row>
    <row r="131">
      <c r="A131" s="18" t="str">
        <f t="array" ref="A131">IF(ISBLANK(B131),,HYPERLINK("https://docs.google.com/spreadsheets/d/1aZ_8do2w3aA382MhZyJKG5amXZ6fpthJYoLsdM9x0gU/edit?gid="&amp;XLOOKUP(B131,ID___!A:A,ID___!B:B,"")&amp;"#gid="&amp;XLOOKUP(B131,ID___!A:A,ID___!B:B,"")&amp;"&amp;range=A1:J1","Click"))</f>
        <v>Click</v>
      </c>
      <c r="B131" s="19" t="str">
        <f>IFERROR(__xludf.DUMMYFUNCTION("""COMPUTED_VALUE"""),"SULT")</f>
        <v>SULT</v>
      </c>
      <c r="C131" s="17" t="str">
        <f>IFERROR(__xludf.DUMMYFUNCTION("""COMPUTED_VALUE"""),"Md. Sultanul Arifin")</f>
        <v>Md. Sultanul Arifin</v>
      </c>
      <c r="D131" s="16" t="str">
        <f>IFERROR(__xludf.DUMMYFUNCTION("""COMPUTED_VALUE"""),"Lecturer")</f>
        <v>Lecturer</v>
      </c>
      <c r="E131" s="16" t="str">
        <f>IFERROR(__xludf.DUMMYFUNCTION("""COMPUTED_VALUE"""),"Full Time")</f>
        <v>Full Time</v>
      </c>
      <c r="F131" s="16" t="str">
        <f>IFERROR(__xludf.DUMMYFUNCTION("""COMPUTED_VALUE"""),"4M114")</f>
        <v>4M114</v>
      </c>
      <c r="G131" s="17" t="str">
        <f>IFERROR(__xludf.DUMMYFUNCTION("""COMPUTED_VALUE"""),"sultanul.arifin@bracu.ac.bd")</f>
        <v>sultanul.arifin@bracu.ac.bd</v>
      </c>
    </row>
    <row r="132">
      <c r="A132" s="18" t="str">
        <f t="array" ref="A132">IF(ISBLANK(B132),,HYPERLINK("https://docs.google.com/spreadsheets/d/1aZ_8do2w3aA382MhZyJKG5amXZ6fpthJYoLsdM9x0gU/edit?gid="&amp;XLOOKUP(B132,ID___!A:A,ID___!B:B,"")&amp;"#gid="&amp;XLOOKUP(B132,ID___!A:A,ID___!B:B,"")&amp;"&amp;range=A1:J1","Click"))</f>
        <v>Click</v>
      </c>
      <c r="B132" s="19" t="str">
        <f>IFERROR(__xludf.DUMMYFUNCTION("""COMPUTED_VALUE"""),"SVKG")</f>
        <v>SVKG</v>
      </c>
      <c r="C132" s="17" t="str">
        <f>IFERROR(__xludf.DUMMYFUNCTION("""COMPUTED_VALUE"""),"Souvik Ghosh")</f>
        <v>Souvik Ghosh</v>
      </c>
      <c r="D132" s="16" t="str">
        <f>IFERROR(__xludf.DUMMYFUNCTION("""COMPUTED_VALUE"""),"Lecturer")</f>
        <v>Lecturer</v>
      </c>
      <c r="E132" s="16" t="str">
        <f>IFERROR(__xludf.DUMMYFUNCTION("""COMPUTED_VALUE"""),"Full Time")</f>
        <v>Full Time</v>
      </c>
      <c r="F132" s="16" t="str">
        <f>IFERROR(__xludf.DUMMYFUNCTION("""COMPUTED_VALUE"""),"4M131")</f>
        <v>4M131</v>
      </c>
      <c r="G132" s="17" t="str">
        <f>IFERROR(__xludf.DUMMYFUNCTION("""COMPUTED_VALUE"""),"souvik.ghosh@bracu.ac.bd")</f>
        <v>souvik.ghosh@bracu.ac.bd</v>
      </c>
    </row>
    <row r="133">
      <c r="A133" s="18" t="str">
        <f t="array" ref="A133">IF(ISBLANK(B133),,HYPERLINK("https://docs.google.com/spreadsheets/d/1aZ_8do2w3aA382MhZyJKG5amXZ6fpthJYoLsdM9x0gU/edit?gid="&amp;XLOOKUP(B133,ID___!A:A,ID___!B:B,"")&amp;"#gid="&amp;XLOOKUP(B133,ID___!A:A,ID___!B:B,"")&amp;"&amp;range=A1:J1","Click"))</f>
        <v>Click</v>
      </c>
      <c r="B133" s="19" t="str">
        <f>IFERROR(__xludf.DUMMYFUNCTION("""COMPUTED_VALUE"""),"SWG")</f>
        <v>SWG</v>
      </c>
      <c r="C133" s="17" t="str">
        <f>IFERROR(__xludf.DUMMYFUNCTION("""COMPUTED_VALUE"""),"Mr. Swattic Ghose")</f>
        <v>Mr. Swattic Ghose</v>
      </c>
      <c r="D133" s="16" t="str">
        <f>IFERROR(__xludf.DUMMYFUNCTION("""COMPUTED_VALUE"""),"Lecturer")</f>
        <v>Lecturer</v>
      </c>
      <c r="E133" s="16" t="str">
        <f>IFERROR(__xludf.DUMMYFUNCTION("""COMPUTED_VALUE"""),"Full Time")</f>
        <v>Full Time</v>
      </c>
      <c r="F133" s="16" t="str">
        <f>IFERROR(__xludf.DUMMYFUNCTION("""COMPUTED_VALUE"""),"4M109")</f>
        <v>4M109</v>
      </c>
      <c r="G133" s="17" t="str">
        <f>IFERROR(__xludf.DUMMYFUNCTION("""COMPUTED_VALUE"""),"swattic.ghose@bracu.ac.bd")</f>
        <v>swattic.ghose@bracu.ac.bd</v>
      </c>
    </row>
    <row r="134">
      <c r="A134" s="18" t="str">
        <f t="array" ref="A134">IF(ISBLANK(B134),,HYPERLINK("https://docs.google.com/spreadsheets/d/1aZ_8do2w3aA382MhZyJKG5amXZ6fpthJYoLsdM9x0gU/edit?gid="&amp;XLOOKUP(B134,ID___!A:A,ID___!B:B,"")&amp;"#gid="&amp;XLOOKUP(B134,ID___!A:A,ID___!B:B,"")&amp;"&amp;range=A1:J1","Click"))</f>
        <v>Click</v>
      </c>
      <c r="B134" s="19" t="str">
        <f>IFERROR(__xludf.DUMMYFUNCTION("""COMPUTED_VALUE"""),"SWK")</f>
        <v>SWK</v>
      </c>
      <c r="C134" s="17" t="str">
        <f>IFERROR(__xludf.DUMMYFUNCTION("""COMPUTED_VALUE"""),"Dr. Swakkhar Shatabda")</f>
        <v>Dr. Swakkhar Shatabda</v>
      </c>
      <c r="D134" s="16" t="str">
        <f>IFERROR(__xludf.DUMMYFUNCTION("""COMPUTED_VALUE"""),"Professor")</f>
        <v>Professor</v>
      </c>
      <c r="E134" s="16" t="str">
        <f>IFERROR(__xludf.DUMMYFUNCTION("""COMPUTED_VALUE"""),"Full Time")</f>
        <v>Full Time</v>
      </c>
      <c r="F134" s="16" t="str">
        <f>IFERROR(__xludf.DUMMYFUNCTION("""COMPUTED_VALUE"""),"4G28")</f>
        <v>4G28</v>
      </c>
      <c r="G134" s="17" t="str">
        <f>IFERROR(__xludf.DUMMYFUNCTION("""COMPUTED_VALUE"""),"swakkhar.shatabda@bracu.ac.bd")</f>
        <v>swakkhar.shatabda@bracu.ac.bd</v>
      </c>
    </row>
    <row r="135">
      <c r="A135" s="18" t="str">
        <f t="array" ref="A135">IF(ISBLANK(B135),,HYPERLINK("https://docs.google.com/spreadsheets/d/1aZ_8do2w3aA382MhZyJKG5amXZ6fpthJYoLsdM9x0gU/edit?gid="&amp;XLOOKUP(B135,ID___!A:A,ID___!B:B,"")&amp;"#gid="&amp;XLOOKUP(B135,ID___!A:A,ID___!B:B,"")&amp;"&amp;range=A1:J1","Click"))</f>
        <v>Click</v>
      </c>
      <c r="B135" s="19" t="str">
        <f>IFERROR(__xludf.DUMMYFUNCTION("""COMPUTED_VALUE"""),"SWV")</f>
        <v>SWV</v>
      </c>
      <c r="C135" s="17" t="str">
        <f>IFERROR(__xludf.DUMMYFUNCTION("""COMPUTED_VALUE"""),"Showvik Biswas")</f>
        <v>Showvik Biswas</v>
      </c>
      <c r="D135" s="16" t="str">
        <f>IFERROR(__xludf.DUMMYFUNCTION("""COMPUTED_VALUE"""),"Lecturer")</f>
        <v>Lecturer</v>
      </c>
      <c r="E135" s="16" t="str">
        <f>IFERROR(__xludf.DUMMYFUNCTION("""COMPUTED_VALUE"""),"Full Time")</f>
        <v>Full Time</v>
      </c>
      <c r="F135" s="16" t="str">
        <f>IFERROR(__xludf.DUMMYFUNCTION("""COMPUTED_VALUE"""),"4M128")</f>
        <v>4M128</v>
      </c>
      <c r="G135" s="17" t="str">
        <f>IFERROR(__xludf.DUMMYFUNCTION("""COMPUTED_VALUE"""),"showvik.biswas@bracu.ac.bd")</f>
        <v>showvik.biswas@bracu.ac.bd</v>
      </c>
    </row>
    <row r="136">
      <c r="A136" s="18" t="str">
        <f t="array" ref="A136">IF(ISBLANK(B136),,HYPERLINK("https://docs.google.com/spreadsheets/d/1aZ_8do2w3aA382MhZyJKG5amXZ6fpthJYoLsdM9x0gU/edit?gid="&amp;XLOOKUP(B136,ID___!A:A,ID___!B:B,"")&amp;"#gid="&amp;XLOOKUP(B136,ID___!A:A,ID___!B:B,"")&amp;"&amp;range=A1:J1","Click"))</f>
        <v>Click</v>
      </c>
      <c r="B136" s="19" t="str">
        <f>IFERROR(__xludf.DUMMYFUNCTION("""COMPUTED_VALUE"""),"SZD")</f>
        <v>SZD</v>
      </c>
      <c r="C136" s="17" t="str">
        <f>IFERROR(__xludf.DUMMYFUNCTION("""COMPUTED_VALUE"""),"Md. Shazid Bin Mahbub")</f>
        <v>Md. Shazid Bin Mahbub</v>
      </c>
      <c r="D136" s="16" t="str">
        <f>IFERROR(__xludf.DUMMYFUNCTION("""COMPUTED_VALUE"""),"Lecturer")</f>
        <v>Lecturer</v>
      </c>
      <c r="E136" s="16" t="str">
        <f>IFERROR(__xludf.DUMMYFUNCTION("""COMPUTED_VALUE"""),"Full Time")</f>
        <v>Full Time</v>
      </c>
      <c r="F136" s="16" t="str">
        <f>IFERROR(__xludf.DUMMYFUNCTION("""COMPUTED_VALUE"""),"4J65")</f>
        <v>4J65</v>
      </c>
      <c r="G136" s="17" t="str">
        <f>IFERROR(__xludf.DUMMYFUNCTION("""COMPUTED_VALUE"""),"shazid.mahbub@bracu.ac.bd")</f>
        <v>shazid.mahbub@bracu.ac.bd</v>
      </c>
    </row>
    <row r="137">
      <c r="A137" s="18" t="str">
        <f t="array" ref="A137">IF(ISBLANK(B137),,HYPERLINK("https://docs.google.com/spreadsheets/d/1aZ_8do2w3aA382MhZyJKG5amXZ6fpthJYoLsdM9x0gU/edit?gid="&amp;XLOOKUP(B137,ID___!A:A,ID___!B:B,"")&amp;"#gid="&amp;XLOOKUP(B137,ID___!A:A,ID___!B:B,"")&amp;"&amp;range=A1:J1","Click"))</f>
        <v>Click</v>
      </c>
      <c r="B137" s="19" t="str">
        <f>IFERROR(__xludf.DUMMYFUNCTION("""COMPUTED_VALUE"""),"SZZ")</f>
        <v>SZZ</v>
      </c>
      <c r="C137" s="17" t="str">
        <f>IFERROR(__xludf.DUMMYFUNCTION("""COMPUTED_VALUE"""),"Sazzadul Islam")</f>
        <v>Sazzadul Islam</v>
      </c>
      <c r="D137" s="16" t="str">
        <f>IFERROR(__xludf.DUMMYFUNCTION("""COMPUTED_VALUE"""),"Lecturer")</f>
        <v>Lecturer</v>
      </c>
      <c r="E137" s="16" t="str">
        <f>IFERROR(__xludf.DUMMYFUNCTION("""COMPUTED_VALUE"""),"Full Time")</f>
        <v>Full Time</v>
      </c>
      <c r="F137" s="16" t="str">
        <f>IFERROR(__xludf.DUMMYFUNCTION("""COMPUTED_VALUE"""),"4N165")</f>
        <v>4N165</v>
      </c>
      <c r="G137" s="17" t="str">
        <f>IFERROR(__xludf.DUMMYFUNCTION("""COMPUTED_VALUE"""),"sazzadul.islam@bracu.ac.bd")</f>
        <v>sazzadul.islam@bracu.ac.bd</v>
      </c>
    </row>
    <row r="138">
      <c r="A138" s="18" t="str">
        <f t="array" ref="A138">IF(ISBLANK(B138),,HYPERLINK("https://docs.google.com/spreadsheets/d/1aZ_8do2w3aA382MhZyJKG5amXZ6fpthJYoLsdM9x0gU/edit?gid="&amp;XLOOKUP(B138,ID___!A:A,ID___!B:B,"")&amp;"#gid="&amp;XLOOKUP(B138,ID___!A:A,ID___!B:B,"")&amp;"&amp;range=A1:J1","Click"))</f>
        <v>Click</v>
      </c>
      <c r="B138" s="19" t="str">
        <f>IFERROR(__xludf.DUMMYFUNCTION("""COMPUTED_VALUE"""),"TAP")</f>
        <v>TAP</v>
      </c>
      <c r="C138" s="17" t="str">
        <f>IFERROR(__xludf.DUMMYFUNCTION("""COMPUTED_VALUE"""),"Ms. Tasnim Ahsan Prome")</f>
        <v>Ms. Tasnim Ahsan Prome</v>
      </c>
      <c r="D138" s="16" t="str">
        <f>IFERROR(__xludf.DUMMYFUNCTION("""COMPUTED_VALUE"""),"Lecturer")</f>
        <v>Lecturer</v>
      </c>
      <c r="E138" s="16" t="str">
        <f>IFERROR(__xludf.DUMMYFUNCTION("""COMPUTED_VALUE"""),"Full Time")</f>
        <v>Full Time</v>
      </c>
      <c r="F138" s="16" t="str">
        <f>IFERROR(__xludf.DUMMYFUNCTION("""COMPUTED_VALUE"""),"4K83")</f>
        <v>4K83</v>
      </c>
      <c r="G138" s="17" t="str">
        <f>IFERROR(__xludf.DUMMYFUNCTION("""COMPUTED_VALUE"""),"tasnim.ahsan@bracu.ac.bd")</f>
        <v>tasnim.ahsan@bracu.ac.bd</v>
      </c>
    </row>
    <row r="139">
      <c r="A139" s="18" t="str">
        <f t="array" ref="A139">IF(ISBLANK(B139),,HYPERLINK("https://docs.google.com/spreadsheets/d/1aZ_8do2w3aA382MhZyJKG5amXZ6fpthJYoLsdM9x0gU/edit?gid="&amp;XLOOKUP(B139,ID___!A:A,ID___!B:B,"")&amp;"#gid="&amp;XLOOKUP(B139,ID___!A:A,ID___!B:B,"")&amp;"&amp;range=A1:J1","Click"))</f>
        <v>Click</v>
      </c>
      <c r="B139" s="19" t="str">
        <f>IFERROR(__xludf.DUMMYFUNCTION("""COMPUTED_VALUE"""),"TAV")</f>
        <v>TAV</v>
      </c>
      <c r="C139" s="17" t="str">
        <f>IFERROR(__xludf.DUMMYFUNCTION("""COMPUTED_VALUE"""),"Tarvir Anjum Aditto")</f>
        <v>Tarvir Anjum Aditto</v>
      </c>
      <c r="D139" s="16" t="str">
        <f>IFERROR(__xludf.DUMMYFUNCTION("""COMPUTED_VALUE"""),"Lecturer")</f>
        <v>Lecturer</v>
      </c>
      <c r="E139" s="16" t="str">
        <f>IFERROR(__xludf.DUMMYFUNCTION("""COMPUTED_VALUE"""),"Full Time")</f>
        <v>Full Time</v>
      </c>
      <c r="F139" s="16" t="str">
        <f>IFERROR(__xludf.DUMMYFUNCTION("""COMPUTED_VALUE"""),"4N159")</f>
        <v>4N159</v>
      </c>
      <c r="G139" s="17" t="str">
        <f>IFERROR(__xludf.DUMMYFUNCTION("""COMPUTED_VALUE"""),"tarvir.anjum@bracu.ac.bd")</f>
        <v>tarvir.anjum@bracu.ac.bd</v>
      </c>
    </row>
    <row r="140">
      <c r="A140" s="18" t="str">
        <f t="array" ref="A140">IF(ISBLANK(B140),,HYPERLINK("https://docs.google.com/spreadsheets/d/1aZ_8do2w3aA382MhZyJKG5amXZ6fpthJYoLsdM9x0gU/edit?gid="&amp;XLOOKUP(B140,ID___!A:A,ID___!B:B,"")&amp;"#gid="&amp;XLOOKUP(B140,ID___!A:A,ID___!B:B,"")&amp;"&amp;range=A1:J1","Click"))</f>
        <v>Click</v>
      </c>
      <c r="B140" s="19" t="str">
        <f>IFERROR(__xludf.DUMMYFUNCTION("""COMPUTED_VALUE"""),"TAW")</f>
        <v>TAW</v>
      </c>
      <c r="C140" s="17" t="str">
        <f>IFERROR(__xludf.DUMMYFUNCTION("""COMPUTED_VALUE"""),"Mr. Md. Tawhid Anwar")</f>
        <v>Mr. Md. Tawhid Anwar</v>
      </c>
      <c r="D140" s="16" t="str">
        <f>IFERROR(__xludf.DUMMYFUNCTION("""COMPUTED_VALUE"""),"Senior Lecturer")</f>
        <v>Senior Lecturer</v>
      </c>
      <c r="E140" s="16" t="str">
        <f>IFERROR(__xludf.DUMMYFUNCTION("""COMPUTED_VALUE"""),"Full Time")</f>
        <v>Full Time</v>
      </c>
      <c r="F140" s="16" t="str">
        <f>IFERROR(__xludf.DUMMYFUNCTION("""COMPUTED_VALUE"""),"4G03")</f>
        <v>4G03</v>
      </c>
      <c r="G140" s="17" t="str">
        <f>IFERROR(__xludf.DUMMYFUNCTION("""COMPUTED_VALUE"""),"tawhid.anwar@bracu.ac.bd")</f>
        <v>tawhid.anwar@bracu.ac.bd</v>
      </c>
    </row>
    <row r="141">
      <c r="A141" s="18" t="str">
        <f t="array" ref="A141">IF(ISBLANK(B141),,HYPERLINK("https://docs.google.com/spreadsheets/d/1aZ_8do2w3aA382MhZyJKG5amXZ6fpthJYoLsdM9x0gU/edit?gid="&amp;XLOOKUP(B141,ID___!A:A,ID___!B:B,"")&amp;"#gid="&amp;XLOOKUP(B141,ID___!A:A,ID___!B:B,"")&amp;"&amp;range=A1:J1","Click"))</f>
        <v>Click</v>
      </c>
      <c r="B141" s="19" t="str">
        <f>IFERROR(__xludf.DUMMYFUNCTION("""COMPUTED_VALUE"""),"THL")</f>
        <v>THL</v>
      </c>
      <c r="C141" s="17" t="str">
        <f>IFERROR(__xludf.DUMMYFUNCTION("""COMPUTED_VALUE"""),"Mohammad Tahsin Alam")</f>
        <v>Mohammad Tahsin Alam</v>
      </c>
      <c r="D141" s="16" t="str">
        <f>IFERROR(__xludf.DUMMYFUNCTION("""COMPUTED_VALUE"""),"Lecturer")</f>
        <v>Lecturer</v>
      </c>
      <c r="E141" s="16" t="str">
        <f>IFERROR(__xludf.DUMMYFUNCTION("""COMPUTED_VALUE"""),"Full Time")</f>
        <v>Full Time</v>
      </c>
      <c r="F141" s="16" t="str">
        <f>IFERROR(__xludf.DUMMYFUNCTION("""COMPUTED_VALUE"""),"4N166")</f>
        <v>4N166</v>
      </c>
      <c r="G141" s="17" t="str">
        <f>IFERROR(__xludf.DUMMYFUNCTION("""COMPUTED_VALUE"""),"tahsin.alam@bracu.ac.bd")</f>
        <v>tahsin.alam@bracu.ac.bd</v>
      </c>
    </row>
    <row r="142">
      <c r="A142" s="18" t="str">
        <f t="array" ref="A142">IF(ISBLANK(B142),,HYPERLINK("https://docs.google.com/spreadsheets/d/1aZ_8do2w3aA382MhZyJKG5amXZ6fpthJYoLsdM9x0gU/edit?gid="&amp;XLOOKUP(B142,ID___!A:A,ID___!B:B,"")&amp;"#gid="&amp;XLOOKUP(B142,ID___!A:A,ID___!B:B,"")&amp;"&amp;range=A1:J1","Click"))</f>
        <v>Click</v>
      </c>
      <c r="B142" s="19" t="str">
        <f>IFERROR(__xludf.DUMMYFUNCTION("""COMPUTED_VALUE"""),"TLQ")</f>
        <v>TLQ</v>
      </c>
      <c r="C142" s="17" t="str">
        <f>IFERROR(__xludf.DUMMYFUNCTION("""COMPUTED_VALUE"""),"Dr. Taiabul Haque")</f>
        <v>Dr. Taiabul Haque</v>
      </c>
      <c r="D142" s="16" t="str">
        <f>IFERROR(__xludf.DUMMYFUNCTION("""COMPUTED_VALUE"""),"Associate Professor")</f>
        <v>Associate Professor</v>
      </c>
      <c r="E142" s="16" t="str">
        <f>IFERROR(__xludf.DUMMYFUNCTION("""COMPUTED_VALUE"""),"Full Time")</f>
        <v>Full Time</v>
      </c>
      <c r="F142" s="16" t="str">
        <f>IFERROR(__xludf.DUMMYFUNCTION("""COMPUTED_VALUE"""),"4G01")</f>
        <v>4G01</v>
      </c>
      <c r="G142" s="17" t="str">
        <f>IFERROR(__xludf.DUMMYFUNCTION("""COMPUTED_VALUE"""),"taiabul.haque@bracu.ac.bd")</f>
        <v>taiabul.haque@bracu.ac.bd</v>
      </c>
    </row>
    <row r="143">
      <c r="A143" s="18" t="str">
        <f t="array" ref="A143">IF(ISBLANK(B143),,HYPERLINK("https://docs.google.com/spreadsheets/d/1aZ_8do2w3aA382MhZyJKG5amXZ6fpthJYoLsdM9x0gU/edit?gid="&amp;XLOOKUP(B143,ID___!A:A,ID___!B:B,"")&amp;"#gid="&amp;XLOOKUP(B143,ID___!A:A,ID___!B:B,"")&amp;"&amp;range=A1:J1","Click"))</f>
        <v>Click</v>
      </c>
      <c r="B143" s="19" t="str">
        <f>IFERROR(__xludf.DUMMYFUNCTION("""COMPUTED_VALUE"""),"TMD")</f>
        <v>TMD</v>
      </c>
      <c r="C143" s="17" t="str">
        <f>IFERROR(__xludf.DUMMYFUNCTION("""COMPUTED_VALUE"""),"Mr. Tamkin Mahmud Tan")</f>
        <v>Mr. Tamkin Mahmud Tan</v>
      </c>
      <c r="D143" s="16" t="str">
        <f>IFERROR(__xludf.DUMMYFUNCTION("""COMPUTED_VALUE"""),"Lecturer")</f>
        <v>Lecturer</v>
      </c>
      <c r="E143" s="16" t="str">
        <f>IFERROR(__xludf.DUMMYFUNCTION("""COMPUTED_VALUE"""),"Full Time")</f>
        <v>Full Time</v>
      </c>
      <c r="F143" s="16" t="str">
        <f>IFERROR(__xludf.DUMMYFUNCTION("""COMPUTED_VALUE"""),"4J62")</f>
        <v>4J62</v>
      </c>
      <c r="G143" s="17" t="str">
        <f>IFERROR(__xludf.DUMMYFUNCTION("""COMPUTED_VALUE"""),"tamkin.mahmud@bracu.ac.bd")</f>
        <v>tamkin.mahmud@bracu.ac.bd</v>
      </c>
    </row>
    <row r="144">
      <c r="A144" s="18" t="str">
        <f t="array" ref="A144">IF(ISBLANK(B144),,HYPERLINK("https://docs.google.com/spreadsheets/d/1aZ_8do2w3aA382MhZyJKG5amXZ6fpthJYoLsdM9x0gU/edit?gid="&amp;XLOOKUP(B144,ID___!A:A,ID___!B:B,"")&amp;"#gid="&amp;XLOOKUP(B144,ID___!A:A,ID___!B:B,"")&amp;"&amp;range=A1:J1","Click"))</f>
        <v>Click</v>
      </c>
      <c r="B144" s="19" t="str">
        <f>IFERROR(__xludf.DUMMYFUNCTION("""COMPUTED_VALUE"""),"TNF")</f>
        <v>TNF</v>
      </c>
      <c r="C144" s="17" t="str">
        <f>IFERROR(__xludf.DUMMYFUNCTION("""COMPUTED_VALUE"""),"Tanhiat Fatema Afnan")</f>
        <v>Tanhiat Fatema Afnan</v>
      </c>
      <c r="D144" s="16" t="str">
        <f>IFERROR(__xludf.DUMMYFUNCTION("""COMPUTED_VALUE"""),"Lecturer")</f>
        <v>Lecturer</v>
      </c>
      <c r="E144" s="16" t="str">
        <f>IFERROR(__xludf.DUMMYFUNCTION("""COMPUTED_VALUE"""),"Full Time")</f>
        <v>Full Time</v>
      </c>
      <c r="F144" s="16" t="str">
        <f>IFERROR(__xludf.DUMMYFUNCTION("""COMPUTED_VALUE"""),"4K75")</f>
        <v>4K75</v>
      </c>
      <c r="G144" s="17" t="str">
        <f>IFERROR(__xludf.DUMMYFUNCTION("""COMPUTED_VALUE"""),"tanhiat.fatema@bracu.ac.bd")</f>
        <v>tanhiat.fatema@bracu.ac.bd</v>
      </c>
    </row>
    <row r="145">
      <c r="A145" s="18" t="str">
        <f t="array" ref="A145">IF(ISBLANK(B145),,HYPERLINK("https://docs.google.com/spreadsheets/d/1aZ_8do2w3aA382MhZyJKG5amXZ6fpthJYoLsdM9x0gU/edit?gid="&amp;XLOOKUP(B145,ID___!A:A,ID___!B:B,"")&amp;"#gid="&amp;XLOOKUP(B145,ID___!A:A,ID___!B:B,"")&amp;"&amp;range=A1:J1","Click"))</f>
        <v>Click</v>
      </c>
      <c r="B145" s="19" t="str">
        <f>IFERROR(__xludf.DUMMYFUNCTION("""COMPUTED_VALUE"""),"TNMF")</f>
        <v>TNMF</v>
      </c>
      <c r="C145" s="17" t="str">
        <f>IFERROR(__xludf.DUMMYFUNCTION("""COMPUTED_VALUE"""),"Ms. Tasnim Ferdous")</f>
        <v>Ms. Tasnim Ferdous</v>
      </c>
      <c r="D145" s="16" t="str">
        <f>IFERROR(__xludf.DUMMYFUNCTION("""COMPUTED_VALUE"""),"Senior Lecturer")</f>
        <v>Senior Lecturer</v>
      </c>
      <c r="E145" s="16" t="str">
        <f>IFERROR(__xludf.DUMMYFUNCTION("""COMPUTED_VALUE"""),"Full Time")</f>
        <v>Full Time</v>
      </c>
      <c r="F145" s="16" t="str">
        <f>IFERROR(__xludf.DUMMYFUNCTION("""COMPUTED_VALUE"""),"4K73")</f>
        <v>4K73</v>
      </c>
      <c r="G145" s="17" t="str">
        <f>IFERROR(__xludf.DUMMYFUNCTION("""COMPUTED_VALUE"""),"tasnim.ferdous@bracu.ac.bd")</f>
        <v>tasnim.ferdous@bracu.ac.bd</v>
      </c>
    </row>
    <row r="146">
      <c r="A146" s="18" t="str">
        <f t="array" ref="A146">IF(ISBLANK(B146),,HYPERLINK("https://docs.google.com/spreadsheets/d/1aZ_8do2w3aA382MhZyJKG5amXZ6fpthJYoLsdM9x0gU/edit?gid="&amp;XLOOKUP(B146,ID___!A:A,ID___!B:B,"")&amp;"#gid="&amp;XLOOKUP(B146,ID___!A:A,ID___!B:B,"")&amp;"&amp;range=A1:J1","Click"))</f>
        <v>Click</v>
      </c>
      <c r="B146" s="19" t="str">
        <f>IFERROR(__xludf.DUMMYFUNCTION("""COMPUTED_VALUE"""),"TRZ")</f>
        <v>TRZ</v>
      </c>
      <c r="C146" s="17" t="str">
        <f>IFERROR(__xludf.DUMMYFUNCTION("""COMPUTED_VALUE"""),"Mr. Md. Tanzim Reza")</f>
        <v>Mr. Md. Tanzim Reza</v>
      </c>
      <c r="D146" s="16" t="str">
        <f>IFERROR(__xludf.DUMMYFUNCTION("""COMPUTED_VALUE"""),"Senior Lecturer")</f>
        <v>Senior Lecturer</v>
      </c>
      <c r="E146" s="16" t="str">
        <f>IFERROR(__xludf.DUMMYFUNCTION("""COMPUTED_VALUE"""),"Full Time")</f>
        <v>Full Time</v>
      </c>
      <c r="F146" s="16" t="str">
        <f>IFERROR(__xludf.DUMMYFUNCTION("""COMPUTED_VALUE"""),"4G05")</f>
        <v>4G05</v>
      </c>
      <c r="G146" s="17" t="str">
        <f>IFERROR(__xludf.DUMMYFUNCTION("""COMPUTED_VALUE"""),"tanzim.reza@bracu.ac.bd")</f>
        <v>tanzim.reza@bracu.ac.bd</v>
      </c>
    </row>
    <row r="147">
      <c r="A147" s="18" t="str">
        <f t="array" ref="A147">IF(ISBLANK(B147),,HYPERLINK("https://docs.google.com/spreadsheets/d/1aZ_8do2w3aA382MhZyJKG5amXZ6fpthJYoLsdM9x0gU/edit?gid="&amp;XLOOKUP(B147,ID___!A:A,ID___!B:B,"")&amp;"#gid="&amp;XLOOKUP(B147,ID___!A:A,ID___!B:B,"")&amp;"&amp;range=A1:J1","Click"))</f>
        <v>Click</v>
      </c>
      <c r="B147" s="19" t="str">
        <f>IFERROR(__xludf.DUMMYFUNCTION("""COMPUTED_VALUE"""),"TSE")</f>
        <v>TSE</v>
      </c>
      <c r="C147" s="17" t="str">
        <f>IFERROR(__xludf.DUMMYFUNCTION("""COMPUTED_VALUE"""),"Tasneem Mazhar")</f>
        <v>Tasneem Mazhar</v>
      </c>
      <c r="D147" s="16" t="str">
        <f>IFERROR(__xludf.DUMMYFUNCTION("""COMPUTED_VALUE"""),"Lecturer")</f>
        <v>Lecturer</v>
      </c>
      <c r="E147" s="16" t="str">
        <f>IFERROR(__xludf.DUMMYFUNCTION("""COMPUTED_VALUE"""),"Full Time")</f>
        <v>Full Time</v>
      </c>
      <c r="F147" s="16" t="str">
        <f>IFERROR(__xludf.DUMMYFUNCTION("""COMPUTED_VALUE"""),"4N151")</f>
        <v>4N151</v>
      </c>
      <c r="G147" s="17" t="str">
        <f>IFERROR(__xludf.DUMMYFUNCTION("""COMPUTED_VALUE"""),"tasneem.mazhar@bracu.ac.bd")</f>
        <v>tasneem.mazhar@bracu.ac.bd</v>
      </c>
    </row>
    <row r="148">
      <c r="A148" s="18" t="str">
        <f t="array" ref="A148">IF(ISBLANK(B148),,HYPERLINK("https://docs.google.com/spreadsheets/d/1aZ_8do2w3aA382MhZyJKG5amXZ6fpthJYoLsdM9x0gU/edit?gid="&amp;XLOOKUP(B148,ID___!A:A,ID___!B:B,"")&amp;"#gid="&amp;XLOOKUP(B148,ID___!A:A,ID___!B:B,"")&amp;"&amp;range=A1:J1","Click"))</f>
        <v>Click</v>
      </c>
      <c r="B148" s="19" t="str">
        <f>IFERROR(__xludf.DUMMYFUNCTION("""COMPUTED_VALUE"""),"TSM")</f>
        <v>TSM</v>
      </c>
      <c r="C148" s="17" t="str">
        <f>IFERROR(__xludf.DUMMYFUNCTION("""COMPUTED_VALUE"""),"Mr. Mirza Md. Tanjim Shorif Mugdho")</f>
        <v>Mr. Mirza Md. Tanjim Shorif Mugdho</v>
      </c>
      <c r="D148" s="16" t="str">
        <f>IFERROR(__xludf.DUMMYFUNCTION("""COMPUTED_VALUE"""),"Lecturer")</f>
        <v>Lecturer</v>
      </c>
      <c r="E148" s="16" t="str">
        <f>IFERROR(__xludf.DUMMYFUNCTION("""COMPUTED_VALUE"""),"Full Time")</f>
        <v>Full Time</v>
      </c>
      <c r="F148" s="16" t="str">
        <f>IFERROR(__xludf.DUMMYFUNCTION("""COMPUTED_VALUE"""),"4J66")</f>
        <v>4J66</v>
      </c>
      <c r="G148" s="17" t="str">
        <f>IFERROR(__xludf.DUMMYFUNCTION("""COMPUTED_VALUE"""),"mirza.mugdho@bracu.ac.bd")</f>
        <v>mirza.mugdho@bracu.ac.bd</v>
      </c>
    </row>
    <row r="149">
      <c r="A149" s="18" t="str">
        <f t="array" ref="A149">IF(ISBLANK(B149),,HYPERLINK("https://docs.google.com/spreadsheets/d/1aZ_8do2w3aA382MhZyJKG5amXZ6fpthJYoLsdM9x0gU/edit?gid="&amp;XLOOKUP(B149,ID___!A:A,ID___!B:B,"")&amp;"#gid="&amp;XLOOKUP(B149,ID___!A:A,ID___!B:B,"")&amp;"&amp;range=A1:J1","Click"))</f>
        <v>Click</v>
      </c>
      <c r="B149" s="19" t="str">
        <f>IFERROR(__xludf.DUMMYFUNCTION("""COMPUTED_VALUE"""),"TVRR")</f>
        <v>TVRR</v>
      </c>
      <c r="C149" s="17" t="str">
        <f>IFERROR(__xludf.DUMMYFUNCTION("""COMPUTED_VALUE"""),"Tanveer Rahman")</f>
        <v>Tanveer Rahman</v>
      </c>
      <c r="D149" s="16" t="str">
        <f>IFERROR(__xludf.DUMMYFUNCTION("""COMPUTED_VALUE"""),"Lecturer")</f>
        <v>Lecturer</v>
      </c>
      <c r="E149" s="16" t="str">
        <f>IFERROR(__xludf.DUMMYFUNCTION("""COMPUTED_VALUE"""),"Full Time")</f>
        <v>Full Time</v>
      </c>
      <c r="F149" s="16" t="str">
        <f>IFERROR(__xludf.DUMMYFUNCTION("""COMPUTED_VALUE"""),"4M112")</f>
        <v>4M112</v>
      </c>
      <c r="G149" s="17" t="str">
        <f>IFERROR(__xludf.DUMMYFUNCTION("""COMPUTED_VALUE"""),"tanveer.rahman@bracu.ac.bd")</f>
        <v>tanveer.rahman@bracu.ac.bd</v>
      </c>
    </row>
    <row r="150">
      <c r="A150" s="18" t="str">
        <f t="array" ref="A150">IF(ISBLANK(B150),,HYPERLINK("https://docs.google.com/spreadsheets/d/1aZ_8do2w3aA382MhZyJKG5amXZ6fpthJYoLsdM9x0gU/edit?gid="&amp;XLOOKUP(B150,ID___!A:A,ID___!B:B,"")&amp;"#gid="&amp;XLOOKUP(B150,ID___!A:A,ID___!B:B,"")&amp;"&amp;range=A1:J1","Click"))</f>
        <v>Click</v>
      </c>
      <c r="B150" s="19" t="str">
        <f>IFERROR(__xludf.DUMMYFUNCTION("""COMPUTED_VALUE"""),"TWK")</f>
        <v>TWK</v>
      </c>
      <c r="C150" s="17" t="str">
        <f>IFERROR(__xludf.DUMMYFUNCTION("""COMPUTED_VALUE"""),"Towshik Anam Taj")</f>
        <v>Towshik Anam Taj</v>
      </c>
      <c r="D150" s="16" t="str">
        <f>IFERROR(__xludf.DUMMYFUNCTION("""COMPUTED_VALUE"""),"Lecturer")</f>
        <v>Lecturer</v>
      </c>
      <c r="E150" s="16" t="str">
        <f>IFERROR(__xludf.DUMMYFUNCTION("""COMPUTED_VALUE"""),"Full Time")</f>
        <v>Full Time</v>
      </c>
      <c r="F150" s="16" t="str">
        <f>IFERROR(__xludf.DUMMYFUNCTION("""COMPUTED_VALUE"""),"4M119")</f>
        <v>4M119</v>
      </c>
      <c r="G150" s="17" t="str">
        <f>IFERROR(__xludf.DUMMYFUNCTION("""COMPUTED_VALUE"""),"towshik.taj@bracu.ac.bd")</f>
        <v>towshik.taj@bracu.ac.bd</v>
      </c>
    </row>
    <row r="151">
      <c r="A151" s="18" t="str">
        <f t="array" ref="A151">IF(ISBLANK(B151),,HYPERLINK("https://docs.google.com/spreadsheets/d/1aZ_8do2w3aA382MhZyJKG5amXZ6fpthJYoLsdM9x0gU/edit?gid="&amp;XLOOKUP(B151,ID___!A:A,ID___!B:B,"")&amp;"#gid="&amp;XLOOKUP(B151,ID___!A:A,ID___!B:B,"")&amp;"&amp;range=A1:J1","Click"))</f>
        <v>Click</v>
      </c>
      <c r="B151" s="19" t="str">
        <f>IFERROR(__xludf.DUMMYFUNCTION("""COMPUTED_VALUE"""),"UJT")</f>
        <v>UJT</v>
      </c>
      <c r="C151" s="17" t="str">
        <f>IFERROR(__xludf.DUMMYFUNCTION("""COMPUTED_VALUE"""),"Umme Jannat Taposhi")</f>
        <v>Umme Jannat Taposhi</v>
      </c>
      <c r="D151" s="16" t="str">
        <f>IFERROR(__xludf.DUMMYFUNCTION("""COMPUTED_VALUE"""),"Lecturer")</f>
        <v>Lecturer</v>
      </c>
      <c r="E151" s="16" t="str">
        <f>IFERROR(__xludf.DUMMYFUNCTION("""COMPUTED_VALUE"""),"Full Time")</f>
        <v>Full Time</v>
      </c>
      <c r="F151" s="16" t="str">
        <f>IFERROR(__xludf.DUMMYFUNCTION("""COMPUTED_VALUE"""),"4K80")</f>
        <v>4K80</v>
      </c>
      <c r="G151" s="17" t="str">
        <f>IFERROR(__xludf.DUMMYFUNCTION("""COMPUTED_VALUE"""),"jannat.taposhi@bracu.ac.bd")</f>
        <v>jannat.taposhi@bracu.ac.bd</v>
      </c>
    </row>
    <row r="152">
      <c r="A152" s="18" t="str">
        <f t="array" ref="A152">IF(ISBLANK(B152),,HYPERLINK("https://docs.google.com/spreadsheets/d/1aZ_8do2w3aA382MhZyJKG5amXZ6fpthJYoLsdM9x0gU/edit?gid="&amp;XLOOKUP(B152,ID___!A:A,ID___!B:B,"")&amp;"#gid="&amp;XLOOKUP(B152,ID___!A:A,ID___!B:B,"")&amp;"&amp;range=A1:J1","Click"))</f>
        <v>Click</v>
      </c>
      <c r="B152" s="19" t="str">
        <f>IFERROR(__xludf.DUMMYFUNCTION("""COMPUTED_VALUE"""),"UPM")</f>
        <v>UPM</v>
      </c>
      <c r="C152" s="17" t="str">
        <f>IFERROR(__xludf.DUMMYFUNCTION("""COMPUTED_VALUE"""),"Tasnim Sobhan Upoma")</f>
        <v>Tasnim Sobhan Upoma</v>
      </c>
      <c r="D152" s="16" t="str">
        <f>IFERROR(__xludf.DUMMYFUNCTION("""COMPUTED_VALUE"""),"Lecturer")</f>
        <v>Lecturer</v>
      </c>
      <c r="E152" s="16" t="str">
        <f>IFERROR(__xludf.DUMMYFUNCTION("""COMPUTED_VALUE"""),"Full Time")</f>
        <v>Full Time</v>
      </c>
      <c r="F152" s="16" t="str">
        <f>IFERROR(__xludf.DUMMYFUNCTION("""COMPUTED_VALUE"""),"4N141")</f>
        <v>4N141</v>
      </c>
      <c r="G152" s="17" t="str">
        <f>IFERROR(__xludf.DUMMYFUNCTION("""COMPUTED_VALUE"""),"tasnim.upoma@bracu.ac.bd")</f>
        <v>tasnim.upoma@bracu.ac.bd</v>
      </c>
    </row>
    <row r="153">
      <c r="A153" s="18" t="str">
        <f t="array" ref="A153">IF(ISBLANK(B153),,HYPERLINK("https://docs.google.com/spreadsheets/d/1aZ_8do2w3aA382MhZyJKG5amXZ6fpthJYoLsdM9x0gU/edit?gid="&amp;XLOOKUP(B153,ID___!A:A,ID___!B:B,"")&amp;"#gid="&amp;XLOOKUP(B153,ID___!A:A,ID___!B:B,"")&amp;"&amp;range=A1:J1","Click"))</f>
        <v>Click</v>
      </c>
      <c r="B153" s="19" t="str">
        <f>IFERROR(__xludf.DUMMYFUNCTION("""COMPUTED_VALUE"""),"UTKR")</f>
        <v>UTKR</v>
      </c>
      <c r="C153" s="17" t="str">
        <f>IFERROR(__xludf.DUMMYFUNCTION("""COMPUTED_VALUE"""),"Utsha Kumar Roy")</f>
        <v>Utsha Kumar Roy</v>
      </c>
      <c r="D153" s="16" t="str">
        <f>IFERROR(__xludf.DUMMYFUNCTION("""COMPUTED_VALUE"""),"Lecturer")</f>
        <v>Lecturer</v>
      </c>
      <c r="E153" s="16" t="str">
        <f>IFERROR(__xludf.DUMMYFUNCTION("""COMPUTED_VALUE"""),"Full Time")</f>
        <v>Full Time</v>
      </c>
      <c r="F153" s="16" t="str">
        <f>IFERROR(__xludf.DUMMYFUNCTION("""COMPUTED_VALUE"""),"4P199")</f>
        <v>4P199</v>
      </c>
      <c r="G153" s="17" t="str">
        <f>IFERROR(__xludf.DUMMYFUNCTION("""COMPUTED_VALUE"""),"utsha.roy@bracu.ac.bd")</f>
        <v>utsha.roy@bracu.ac.bd</v>
      </c>
    </row>
    <row r="154">
      <c r="A154" s="18" t="str">
        <f t="array" ref="A154">IF(ISBLANK(B154),,HYPERLINK("https://docs.google.com/spreadsheets/d/1aZ_8do2w3aA382MhZyJKG5amXZ6fpthJYoLsdM9x0gU/edit?gid="&amp;XLOOKUP(B154,ID___!A:A,ID___!B:B,"")&amp;"#gid="&amp;XLOOKUP(B154,ID___!A:A,ID___!B:B,"")&amp;"&amp;range=A1:J1","Click"))</f>
        <v>Click</v>
      </c>
      <c r="B154" s="19" t="str">
        <f>IFERROR(__xludf.DUMMYFUNCTION("""COMPUTED_VALUE"""),"UTS")</f>
        <v>UTS</v>
      </c>
      <c r="C154" s="17" t="str">
        <f>IFERROR(__xludf.DUMMYFUNCTION("""COMPUTED_VALUE"""),"Utsab Saha")</f>
        <v>Utsab Saha</v>
      </c>
      <c r="D154" s="16" t="str">
        <f>IFERROR(__xludf.DUMMYFUNCTION("""COMPUTED_VALUE"""),"Lecturer")</f>
        <v>Lecturer</v>
      </c>
      <c r="E154" s="16" t="str">
        <f>IFERROR(__xludf.DUMMYFUNCTION("""COMPUTED_VALUE"""),"Full Time")</f>
        <v>Full Time</v>
      </c>
      <c r="F154" s="16" t="str">
        <f>IFERROR(__xludf.DUMMYFUNCTION("""COMPUTED_VALUE"""),"4N170")</f>
        <v>4N170</v>
      </c>
      <c r="G154" s="17" t="str">
        <f>IFERROR(__xludf.DUMMYFUNCTION("""COMPUTED_VALUE"""),"utsab.saha@bracu.ac.bd")</f>
        <v>utsab.saha@bracu.ac.bd</v>
      </c>
    </row>
    <row r="155">
      <c r="A155" s="18" t="str">
        <f t="array" ref="A155">IF(ISBLANK(B155),,HYPERLINK("https://docs.google.com/spreadsheets/d/1aZ_8do2w3aA382MhZyJKG5amXZ6fpthJYoLsdM9x0gU/edit?gid="&amp;XLOOKUP(B155,ID___!A:A,ID___!B:B,"")&amp;"#gid="&amp;XLOOKUP(B155,ID___!A:A,ID___!B:B,"")&amp;"&amp;range=A1:J1","Click"))</f>
        <v>Click</v>
      </c>
      <c r="B155" s="19" t="str">
        <f>IFERROR(__xludf.DUMMYFUNCTION("""COMPUTED_VALUE"""),"WHMJ")</f>
        <v>WHMJ</v>
      </c>
      <c r="C155" s="17" t="str">
        <f>IFERROR(__xludf.DUMMYFUNCTION("""COMPUTED_VALUE"""),"Wahida  Mahjabin")</f>
        <v>Wahida  Mahjabin</v>
      </c>
      <c r="D155" s="16" t="str">
        <f>IFERROR(__xludf.DUMMYFUNCTION("""COMPUTED_VALUE"""),"Lecturer")</f>
        <v>Lecturer</v>
      </c>
      <c r="E155" s="16" t="str">
        <f>IFERROR(__xludf.DUMMYFUNCTION("""COMPUTED_VALUE"""),"Full Time")</f>
        <v>Full Time</v>
      </c>
      <c r="F155" s="16" t="str">
        <f>IFERROR(__xludf.DUMMYFUNCTION("""COMPUTED_VALUE"""),"4P179")</f>
        <v>4P179</v>
      </c>
      <c r="G155" s="17" t="str">
        <f>IFERROR(__xludf.DUMMYFUNCTION("""COMPUTED_VALUE"""),"wahida.mahjabin@bracu.ac.bd")</f>
        <v>wahida.mahjabin@bracu.ac.bd</v>
      </c>
    </row>
    <row r="156">
      <c r="A156" s="18" t="str">
        <f t="array" ref="A156">IF(ISBLANK(B156),,HYPERLINK("https://docs.google.com/spreadsheets/d/1aZ_8do2w3aA382MhZyJKG5amXZ6fpthJYoLsdM9x0gU/edit?gid="&amp;XLOOKUP(B156,ID___!A:A,ID___!B:B,"")&amp;"#gid="&amp;XLOOKUP(B156,ID___!A:A,ID___!B:B,"")&amp;"&amp;range=A1:J1","Click"))</f>
        <v>Click</v>
      </c>
      <c r="B156" s="19" t="str">
        <f>IFERROR(__xludf.DUMMYFUNCTION("""COMPUTED_VALUE"""),"YND")</f>
        <v>YND</v>
      </c>
      <c r="C156" s="17" t="str">
        <f>IFERROR(__xludf.DUMMYFUNCTION("""COMPUTED_VALUE"""),"Yasmin Nadia")</f>
        <v>Yasmin Nadia</v>
      </c>
      <c r="D156" s="16" t="str">
        <f>IFERROR(__xludf.DUMMYFUNCTION("""COMPUTED_VALUE"""),"Lecturer")</f>
        <v>Lecturer</v>
      </c>
      <c r="E156" s="16" t="str">
        <f>IFERROR(__xludf.DUMMYFUNCTION("""COMPUTED_VALUE"""),"Full Time")</f>
        <v>Full Time</v>
      </c>
      <c r="F156" s="16" t="str">
        <f>IFERROR(__xludf.DUMMYFUNCTION("""COMPUTED_VALUE"""),"4L89")</f>
        <v>4L89</v>
      </c>
      <c r="G156" s="17" t="str">
        <f>IFERROR(__xludf.DUMMYFUNCTION("""COMPUTED_VALUE"""),"yasmin.nadia@bracu.ac.bd")</f>
        <v>yasmin.nadia@bracu.ac.bd</v>
      </c>
    </row>
    <row r="157">
      <c r="A157" s="18" t="str">
        <f t="array" ref="A157">IF(ISBLANK(B157),,HYPERLINK("https://docs.google.com/spreadsheets/d/1aZ_8do2w3aA382MhZyJKG5amXZ6fpthJYoLsdM9x0gU/edit?gid="&amp;XLOOKUP(B157,ID___!A:A,ID___!B:B,"")&amp;"#gid="&amp;XLOOKUP(B157,ID___!A:A,ID___!B:B,"")&amp;"&amp;range=A1:J1","Click"))</f>
        <v>Click</v>
      </c>
      <c r="B157" s="19" t="str">
        <f>IFERROR(__xludf.DUMMYFUNCTION("""COMPUTED_VALUE"""),"ZAZ")</f>
        <v>ZAZ</v>
      </c>
      <c r="C157" s="17" t="str">
        <f>IFERROR(__xludf.DUMMYFUNCTION("""COMPUTED_VALUE"""),"Ihzaz Abrar Sadik")</f>
        <v>Ihzaz Abrar Sadik</v>
      </c>
      <c r="D157" s="16" t="str">
        <f>IFERROR(__xludf.DUMMYFUNCTION("""COMPUTED_VALUE"""),"Lecturer")</f>
        <v>Lecturer</v>
      </c>
      <c r="E157" s="16" t="str">
        <f>IFERROR(__xludf.DUMMYFUNCTION("""COMPUTED_VALUE"""),"Full Time")</f>
        <v>Full Time</v>
      </c>
      <c r="F157" s="16" t="str">
        <f>IFERROR(__xludf.DUMMYFUNCTION("""COMPUTED_VALUE"""),"4N160")</f>
        <v>4N160</v>
      </c>
      <c r="G157" s="17" t="str">
        <f>IFERROR(__xludf.DUMMYFUNCTION("""COMPUTED_VALUE"""),"ihzaz.sadik@bracu.ac.bd")</f>
        <v>ihzaz.sadik@bracu.ac.bd</v>
      </c>
    </row>
    <row r="158">
      <c r="A158" s="18" t="str">
        <f t="array" ref="A158">IF(ISBLANK(B158),,HYPERLINK("https://docs.google.com/spreadsheets/d/1aZ_8do2w3aA382MhZyJKG5amXZ6fpthJYoLsdM9x0gU/edit?gid="&amp;XLOOKUP(B158,ID___!A:A,ID___!B:B,"")&amp;"#gid="&amp;XLOOKUP(B158,ID___!A:A,ID___!B:B,"")&amp;"&amp;range=A1:J1","Click"))</f>
        <v>Click</v>
      </c>
      <c r="B158" s="19" t="str">
        <f>IFERROR(__xludf.DUMMYFUNCTION("""COMPUTED_VALUE"""),"ZHS")</f>
        <v>ZHS</v>
      </c>
      <c r="C158" s="17" t="str">
        <f>IFERROR(__xludf.DUMMYFUNCTION("""COMPUTED_VALUE"""),"Mr. Syed Zamil Hasan Shoumo")</f>
        <v>Mr. Syed Zamil Hasan Shoumo</v>
      </c>
      <c r="D158" s="16" t="str">
        <f>IFERROR(__xludf.DUMMYFUNCTION("""COMPUTED_VALUE"""),"Senior Lecturer")</f>
        <v>Senior Lecturer</v>
      </c>
      <c r="E158" s="16" t="str">
        <f>IFERROR(__xludf.DUMMYFUNCTION("""COMPUTED_VALUE"""),"Full Time")</f>
        <v>Full Time</v>
      </c>
      <c r="F158" s="16" t="str">
        <f>IFERROR(__xludf.DUMMYFUNCTION("""COMPUTED_VALUE"""),"4J68")</f>
        <v>4J68</v>
      </c>
      <c r="G158" s="17" t="str">
        <f>IFERROR(__xludf.DUMMYFUNCTION("""COMPUTED_VALUE"""),"shoumo.hasan@bracu.ac.bd")</f>
        <v>shoumo.hasan@bracu.ac.bd</v>
      </c>
    </row>
    <row r="159">
      <c r="A159" s="18" t="str">
        <f t="array" ref="A159">IF(ISBLANK(B159),,HYPERLINK("https://docs.google.com/spreadsheets/d/1aZ_8do2w3aA382MhZyJKG5amXZ6fpthJYoLsdM9x0gU/edit?gid="&amp;XLOOKUP(B159,ID___!A:A,ID___!B:B,"")&amp;"#gid="&amp;XLOOKUP(B159,ID___!A:A,ID___!B:B,"")&amp;"&amp;range=A1:J1","Click"))</f>
        <v>Click</v>
      </c>
      <c r="B159" s="19" t="str">
        <f>IFERROR(__xludf.DUMMYFUNCTION("""COMPUTED_VALUE"""),"ZLNM")</f>
        <v>ZLNM</v>
      </c>
      <c r="C159" s="17" t="str">
        <f>IFERROR(__xludf.DUMMYFUNCTION("""COMPUTED_VALUE"""),"Md. Zulkar Naim")</f>
        <v>Md. Zulkar Naim</v>
      </c>
      <c r="D159" s="16" t="str">
        <f>IFERROR(__xludf.DUMMYFUNCTION("""COMPUTED_VALUE"""),"Lecturer")</f>
        <v>Lecturer</v>
      </c>
      <c r="E159" s="16" t="str">
        <f>IFERROR(__xludf.DUMMYFUNCTION("""COMPUTED_VALUE"""),"Full Time")</f>
        <v>Full Time</v>
      </c>
      <c r="F159" s="16" t="str">
        <f>IFERROR(__xludf.DUMMYFUNCTION("""COMPUTED_VALUE"""),"4M111")</f>
        <v>4M111</v>
      </c>
      <c r="G159" s="17" t="str">
        <f>IFERROR(__xludf.DUMMYFUNCTION("""COMPUTED_VALUE"""),"zulkar.naim@bracu.ac.bd")</f>
        <v>zulkar.naim@bracu.ac.bd</v>
      </c>
    </row>
    <row r="160">
      <c r="A160" s="18" t="str">
        <f t="array" ref="A160">IF(ISBLANK(B160),,HYPERLINK("https://docs.google.com/spreadsheets/d/1aZ_8do2w3aA382MhZyJKG5amXZ6fpthJYoLsdM9x0gU/edit?gid="&amp;XLOOKUP(B160,ID___!A:A,ID___!B:B,"")&amp;"#gid="&amp;XLOOKUP(B160,ID___!A:A,ID___!B:B,"")&amp;"&amp;range=A1:J1","Click"))</f>
        <v>Click</v>
      </c>
      <c r="B160" s="19" t="str">
        <f>IFERROR(__xludf.DUMMYFUNCTION("""COMPUTED_VALUE"""),"ZMD")</f>
        <v>ZMD</v>
      </c>
      <c r="C160" s="17" t="str">
        <f>IFERROR(__xludf.DUMMYFUNCTION("""COMPUTED_VALUE"""),"Mr. Zaber Mohammad")</f>
        <v>Mr. Zaber Mohammad</v>
      </c>
      <c r="D160" s="16" t="str">
        <f>IFERROR(__xludf.DUMMYFUNCTION("""COMPUTED_VALUE"""),"Lecturer")</f>
        <v>Lecturer</v>
      </c>
      <c r="E160" s="16" t="str">
        <f>IFERROR(__xludf.DUMMYFUNCTION("""COMPUTED_VALUE"""),"Full Time")</f>
        <v>Full Time</v>
      </c>
      <c r="F160" s="16" t="str">
        <f>IFERROR(__xludf.DUMMYFUNCTION("""COMPUTED_VALUE"""),"4J61")</f>
        <v>4J61</v>
      </c>
      <c r="G160" s="17" t="str">
        <f>IFERROR(__xludf.DUMMYFUNCTION("""COMPUTED_VALUE"""),"zaber.mohammad@bracu.ac.bd")</f>
        <v>zaber.mohammad@bracu.ac.bd</v>
      </c>
    </row>
    <row r="161">
      <c r="A161" s="18" t="str">
        <f t="array" ref="A161">IF(ISBLANK(B161),,HYPERLINK("https://docs.google.com/spreadsheets/d/1aZ_8do2w3aA382MhZyJKG5amXZ6fpthJYoLsdM9x0gU/edit?gid="&amp;XLOOKUP(B161,ID___!A:A,ID___!B:B,"")&amp;"#gid="&amp;XLOOKUP(B161,ID___!A:A,ID___!B:B,"")&amp;"&amp;range=A1:J1","Click"))</f>
        <v>Click</v>
      </c>
      <c r="B161" s="19" t="str">
        <f>IFERROR(__xludf.DUMMYFUNCTION("""COMPUTED_VALUE"""),"ZYH")</f>
        <v>ZYH</v>
      </c>
      <c r="C161" s="14" t="str">
        <f>IFERROR(__xludf.DUMMYFUNCTION("""COMPUTED_VALUE"""),"Zayed Humayun")</f>
        <v>Zayed Humayun</v>
      </c>
      <c r="D161" s="16" t="str">
        <f>IFERROR(__xludf.DUMMYFUNCTION("""COMPUTED_VALUE"""),"Lecturer")</f>
        <v>Lecturer</v>
      </c>
      <c r="E161" s="16" t="str">
        <f>IFERROR(__xludf.DUMMYFUNCTION("""COMPUTED_VALUE"""),"Full Time")</f>
        <v>Full Time</v>
      </c>
      <c r="F161" s="16" t="str">
        <f>IFERROR(__xludf.DUMMYFUNCTION("""COMPUTED_VALUE"""),"4N156")</f>
        <v>4N156</v>
      </c>
      <c r="G161" s="17" t="str">
        <f>IFERROR(__xludf.DUMMYFUNCTION("""COMPUTED_VALUE"""),"zayed.humayun@bracu.ac.bd")</f>
        <v>zayed.humayun@bracu.ac.bd</v>
      </c>
    </row>
    <row r="162">
      <c r="A162" s="18" t="str">
        <f t="array" ref="A162">IF(ISBLANK(B162),,HYPERLINK("https://docs.google.com/spreadsheets/d/1aZ_8do2w3aA382MhZyJKG5amXZ6fpthJYoLsdM9x0gU/edit?gid="&amp;XLOOKUP(B162,ID___!A:A,ID___!B:B,"")&amp;"#gid="&amp;XLOOKUP(B162,ID___!A:A,ID___!B:B,"")&amp;"&amp;range=A1:J1","Click"))</f>
        <v>Click</v>
      </c>
      <c r="B162" s="19" t="str">
        <f>IFERROR(__xludf.DUMMYFUNCTION("""COMPUTED_VALUE"""),"AAF")</f>
        <v>AAF</v>
      </c>
      <c r="C162" s="17" t="str">
        <f>IFERROR(__xludf.DUMMYFUNCTION("""COMPUTED_VALUE"""),"Anika Afrin")</f>
        <v>Anika Afrin</v>
      </c>
      <c r="D162" s="16" t="str">
        <f>IFERROR(__xludf.DUMMYFUNCTION("""COMPUTED_VALUE"""),"C. Lecturer")</f>
        <v>C. Lecturer</v>
      </c>
      <c r="E162" s="16" t="str">
        <f>IFERROR(__xludf.DUMMYFUNCTION("""COMPUTED_VALUE"""),"Contractual")</f>
        <v>Contractual</v>
      </c>
      <c r="F162" s="16" t="str">
        <f>IFERROR(__xludf.DUMMYFUNCTION("""COMPUTED_VALUE"""),"4P")</f>
        <v>4P</v>
      </c>
      <c r="G162" s="17" t="str">
        <f>IFERROR(__xludf.DUMMYFUNCTION("""COMPUTED_VALUE"""),"ext.anika.afrin@bracu.ac.bd")</f>
        <v>ext.anika.afrin@bracu.ac.bd</v>
      </c>
    </row>
    <row r="163">
      <c r="A163" s="18" t="str">
        <f t="array" ref="A163">IF(ISBLANK(B163),,HYPERLINK("https://docs.google.com/spreadsheets/d/1aZ_8do2w3aA382MhZyJKG5amXZ6fpthJYoLsdM9x0gU/edit?gid="&amp;XLOOKUP(B163,ID___!A:A,ID___!B:B,"")&amp;"#gid="&amp;XLOOKUP(B163,ID___!A:A,ID___!B:B,"")&amp;"&amp;range=A1:J1","Click"))</f>
        <v>Click</v>
      </c>
      <c r="B163" s="19" t="str">
        <f>IFERROR(__xludf.DUMMYFUNCTION("""COMPUTED_VALUE"""),"ADD")</f>
        <v>ADD</v>
      </c>
      <c r="C163" s="17" t="str">
        <f>IFERROR(__xludf.DUMMYFUNCTION("""COMPUTED_VALUE"""),"Ayesha Siddika")</f>
        <v>Ayesha Siddika</v>
      </c>
      <c r="D163" s="16" t="str">
        <f>IFERROR(__xludf.DUMMYFUNCTION("""COMPUTED_VALUE"""),"C. Lecturer")</f>
        <v>C. Lecturer</v>
      </c>
      <c r="E163" s="16" t="str">
        <f>IFERROR(__xludf.DUMMYFUNCTION("""COMPUTED_VALUE"""),"Contractual")</f>
        <v>Contractual</v>
      </c>
      <c r="F163" s="16" t="str">
        <f>IFERROR(__xludf.DUMMYFUNCTION("""COMPUTED_VALUE"""),"4P")</f>
        <v>4P</v>
      </c>
      <c r="G163" s="17" t="str">
        <f>IFERROR(__xludf.DUMMYFUNCTION("""COMPUTED_VALUE"""),"ext.ayesha.siddika@bracu.ac.bd")</f>
        <v>ext.ayesha.siddika@bracu.ac.bd</v>
      </c>
    </row>
    <row r="164">
      <c r="A164" s="18" t="str">
        <f t="array" ref="A164">IF(ISBLANK(B164),,HYPERLINK("https://docs.google.com/spreadsheets/d/1aZ_8do2w3aA382MhZyJKG5amXZ6fpthJYoLsdM9x0gU/edit?gid="&amp;XLOOKUP(B164,ID___!A:A,ID___!B:B,"")&amp;"#gid="&amp;XLOOKUP(B164,ID___!A:A,ID___!B:B,"")&amp;"&amp;range=A1:J1","Click"))</f>
        <v>Click</v>
      </c>
      <c r="B164" s="19" t="str">
        <f>IFERROR(__xludf.DUMMYFUNCTION("""COMPUTED_VALUE"""),"ADR")</f>
        <v>ADR</v>
      </c>
      <c r="C164" s="17" t="str">
        <f>IFERROR(__xludf.DUMMYFUNCTION("""COMPUTED_VALUE"""),"Mr. Md. Abdur Rahman")</f>
        <v>Mr. Md. Abdur Rahman</v>
      </c>
      <c r="D164" s="16" t="str">
        <f>IFERROR(__xludf.DUMMYFUNCTION("""COMPUTED_VALUE"""),"C. Senior Lecturer")</f>
        <v>C. Senior Lecturer</v>
      </c>
      <c r="E164" s="16" t="str">
        <f>IFERROR(__xludf.DUMMYFUNCTION("""COMPUTED_VALUE"""),"Contractual")</f>
        <v>Contractual</v>
      </c>
      <c r="F164" s="16" t="str">
        <f>IFERROR(__xludf.DUMMYFUNCTION("""COMPUTED_VALUE"""),"4P")</f>
        <v>4P</v>
      </c>
      <c r="G164" s="17" t="str">
        <f>IFERROR(__xludf.DUMMYFUNCTION("""COMPUTED_VALUE"""),"abdur.rahman@bracu.ac.bd")</f>
        <v>abdur.rahman@bracu.ac.bd</v>
      </c>
    </row>
    <row r="165">
      <c r="A165" s="18" t="str">
        <f t="array" ref="A165">IF(ISBLANK(B165),,HYPERLINK("https://docs.google.com/spreadsheets/d/1aZ_8do2w3aA382MhZyJKG5amXZ6fpthJYoLsdM9x0gU/edit?gid="&amp;XLOOKUP(B165,ID___!A:A,ID___!B:B,"")&amp;"#gid="&amp;XLOOKUP(B165,ID___!A:A,ID___!B:B,"")&amp;"&amp;range=A1:J1","Click"))</f>
        <v>Click</v>
      </c>
      <c r="B165" s="19" t="str">
        <f>IFERROR(__xludf.DUMMYFUNCTION("""COMPUTED_VALUE"""),"AHA")</f>
        <v>AHA</v>
      </c>
      <c r="C165" s="17" t="str">
        <f>IFERROR(__xludf.DUMMYFUNCTION("""COMPUTED_VALUE"""),"Abid Hossain Ashik")</f>
        <v>Abid Hossain Ashik</v>
      </c>
      <c r="D165" s="16" t="str">
        <f>IFERROR(__xludf.DUMMYFUNCTION("""COMPUTED_VALUE"""),"C. Lecturer")</f>
        <v>C. Lecturer</v>
      </c>
      <c r="E165" s="16" t="str">
        <f>IFERROR(__xludf.DUMMYFUNCTION("""COMPUTED_VALUE"""),"Contractual")</f>
        <v>Contractual</v>
      </c>
      <c r="F165" s="16" t="str">
        <f>IFERROR(__xludf.DUMMYFUNCTION("""COMPUTED_VALUE"""),"4P")</f>
        <v>4P</v>
      </c>
      <c r="G165" s="17" t="str">
        <f>IFERROR(__xludf.DUMMYFUNCTION("""COMPUTED_VALUE"""),"ext.abid.ashik@bracu.ac.bd")</f>
        <v>ext.abid.ashik@bracu.ac.bd</v>
      </c>
    </row>
    <row r="166">
      <c r="A166" s="18" t="str">
        <f t="array" ref="A166">IF(ISBLANK(B166),,HYPERLINK("https://docs.google.com/spreadsheets/d/1aZ_8do2w3aA382MhZyJKG5amXZ6fpthJYoLsdM9x0gU/edit?gid="&amp;XLOOKUP(B166,ID___!A:A,ID___!B:B,"")&amp;"#gid="&amp;XLOOKUP(B166,ID___!A:A,ID___!B:B,"")&amp;"&amp;range=A1:J1","Click"))</f>
        <v>Click</v>
      </c>
      <c r="B166" s="19" t="str">
        <f>IFERROR(__xludf.DUMMYFUNCTION("""COMPUTED_VALUE"""),"AHC")</f>
        <v>AHC</v>
      </c>
      <c r="C166" s="17" t="str">
        <f>IFERROR(__xludf.DUMMYFUNCTION("""COMPUTED_VALUE"""),"Asif Hasan Chowdhury")</f>
        <v>Asif Hasan Chowdhury</v>
      </c>
      <c r="D166" s="16" t="str">
        <f>IFERROR(__xludf.DUMMYFUNCTION("""COMPUTED_VALUE"""),"C. Lecturer")</f>
        <v>C. Lecturer</v>
      </c>
      <c r="E166" s="16" t="str">
        <f>IFERROR(__xludf.DUMMYFUNCTION("""COMPUTED_VALUE"""),"Contractual")</f>
        <v>Contractual</v>
      </c>
      <c r="F166" s="16" t="str">
        <f>IFERROR(__xludf.DUMMYFUNCTION("""COMPUTED_VALUE"""),"4P")</f>
        <v>4P</v>
      </c>
      <c r="G166" s="17" t="str">
        <f>IFERROR(__xludf.DUMMYFUNCTION("""COMPUTED_VALUE"""),"ext.asif.hasan@bracu.ac.bd")</f>
        <v>ext.asif.hasan@bracu.ac.bd</v>
      </c>
    </row>
    <row r="167">
      <c r="A167" s="18" t="str">
        <f t="array" ref="A167">IF(ISBLANK(B167),,HYPERLINK("https://docs.google.com/spreadsheets/d/1aZ_8do2w3aA382MhZyJKG5amXZ6fpthJYoLsdM9x0gU/edit?gid="&amp;XLOOKUP(B167,ID___!A:A,ID___!B:B,"")&amp;"#gid="&amp;XLOOKUP(B167,ID___!A:A,ID___!B:B,"")&amp;"&amp;range=A1:J1","Click"))</f>
        <v>Click</v>
      </c>
      <c r="B167" s="19" t="str">
        <f>IFERROR(__xludf.DUMMYFUNCTION("""COMPUTED_VALUE"""),"AJK")</f>
        <v>AJK</v>
      </c>
      <c r="C167" s="17" t="str">
        <f>IFERROR(__xludf.DUMMYFUNCTION("""COMPUTED_VALUE"""),"Ahmed Akib Jawad Karim")</f>
        <v>Ahmed Akib Jawad Karim</v>
      </c>
      <c r="D167" s="16" t="str">
        <f>IFERROR(__xludf.DUMMYFUNCTION("""COMPUTED_VALUE"""),"C. Lecturer")</f>
        <v>C. Lecturer</v>
      </c>
      <c r="E167" s="16" t="str">
        <f>IFERROR(__xludf.DUMMYFUNCTION("""COMPUTED_VALUE"""),"Contractual")</f>
        <v>Contractual</v>
      </c>
      <c r="F167" s="16" t="str">
        <f>IFERROR(__xludf.DUMMYFUNCTION("""COMPUTED_VALUE"""),"4P")</f>
        <v>4P</v>
      </c>
      <c r="G167" s="17" t="str">
        <f>IFERROR(__xludf.DUMMYFUNCTION("""COMPUTED_VALUE"""),"ext.akib.jawad@bracu.ac.bd")</f>
        <v>ext.akib.jawad@bracu.ac.bd</v>
      </c>
    </row>
    <row r="168">
      <c r="A168" s="18" t="str">
        <f t="array" ref="A168">IF(ISBLANK(B168),,HYPERLINK("https://docs.google.com/spreadsheets/d/1aZ_8do2w3aA382MhZyJKG5amXZ6fpthJYoLsdM9x0gU/edit?gid="&amp;XLOOKUP(B168,ID___!A:A,ID___!B:B,"")&amp;"#gid="&amp;XLOOKUP(B168,ID___!A:A,ID___!B:B,"")&amp;"&amp;range=A1:J1","Click"))</f>
        <v>Click</v>
      </c>
      <c r="B168" s="19" t="str">
        <f>IFERROR(__xludf.DUMMYFUNCTION("""COMPUTED_VALUE"""),"AKDB")</f>
        <v>AKDB</v>
      </c>
      <c r="C168" s="17" t="str">
        <f>IFERROR(__xludf.DUMMYFUNCTION("""COMPUTED_VALUE"""),"Angkon Deb")</f>
        <v>Angkon Deb</v>
      </c>
      <c r="D168" s="16" t="str">
        <f>IFERROR(__xludf.DUMMYFUNCTION("""COMPUTED_VALUE"""),"C. Lecturer")</f>
        <v>C. Lecturer</v>
      </c>
      <c r="E168" s="16" t="str">
        <f>IFERROR(__xludf.DUMMYFUNCTION("""COMPUTED_VALUE"""),"Contractual")</f>
        <v>Contractual</v>
      </c>
      <c r="F168" s="16" t="str">
        <f>IFERROR(__xludf.DUMMYFUNCTION("""COMPUTED_VALUE"""),"4P")</f>
        <v>4P</v>
      </c>
      <c r="G168" s="17" t="str">
        <f>IFERROR(__xludf.DUMMYFUNCTION("""COMPUTED_VALUE"""),"ext.angkon.deb@bracu.ac.bd")</f>
        <v>ext.angkon.deb@bracu.ac.bd</v>
      </c>
    </row>
    <row r="169">
      <c r="A169" s="18" t="str">
        <f t="array" ref="A169">IF(ISBLANK(B169),,HYPERLINK("https://docs.google.com/spreadsheets/d/1aZ_8do2w3aA382MhZyJKG5amXZ6fpthJYoLsdM9x0gU/edit?gid="&amp;XLOOKUP(B169,ID___!A:A,ID___!B:B,"")&amp;"#gid="&amp;XLOOKUP(B169,ID___!A:A,ID___!B:B,"")&amp;"&amp;range=A1:J1","Click"))</f>
        <v>Click</v>
      </c>
      <c r="B169" s="19" t="str">
        <f>IFERROR(__xludf.DUMMYFUNCTION("""COMPUTED_VALUE"""),"AKHD")</f>
        <v>AKHD</v>
      </c>
      <c r="C169" s="17" t="str">
        <f>IFERROR(__xludf.DUMMYFUNCTION("""COMPUTED_VALUE"""),"Abdullah Khondoker")</f>
        <v>Abdullah Khondoker</v>
      </c>
      <c r="D169" s="16" t="str">
        <f>IFERROR(__xludf.DUMMYFUNCTION("""COMPUTED_VALUE"""),"C. Lecturer")</f>
        <v>C. Lecturer</v>
      </c>
      <c r="E169" s="16" t="str">
        <f>IFERROR(__xludf.DUMMYFUNCTION("""COMPUTED_VALUE"""),"Contractual")</f>
        <v>Contractual</v>
      </c>
      <c r="F169" s="16" t="str">
        <f>IFERROR(__xludf.DUMMYFUNCTION("""COMPUTED_VALUE"""),"4P")</f>
        <v>4P</v>
      </c>
      <c r="G169" s="20" t="str">
        <f>IFERROR(__xludf.DUMMYFUNCTION("""COMPUTED_VALUE"""),"ext.abdullah@bracu.ac.bd")</f>
        <v>ext.abdullah@bracu.ac.bd</v>
      </c>
    </row>
    <row r="170">
      <c r="A170" s="18" t="str">
        <f t="array" ref="A170">IF(ISBLANK(B170),,HYPERLINK("https://docs.google.com/spreadsheets/d/1aZ_8do2w3aA382MhZyJKG5amXZ6fpthJYoLsdM9x0gU/edit?gid="&amp;XLOOKUP(B170,ID___!A:A,ID___!B:B,"")&amp;"#gid="&amp;XLOOKUP(B170,ID___!A:A,ID___!B:B,"")&amp;"&amp;range=A1:J1","Click"))</f>
        <v>Click</v>
      </c>
      <c r="B170" s="19" t="str">
        <f>IFERROR(__xludf.DUMMYFUNCTION("""COMPUTED_VALUE"""),"ALSM")</f>
        <v>ALSM</v>
      </c>
      <c r="C170" s="17" t="str">
        <f>IFERROR(__xludf.DUMMYFUNCTION("""COMPUTED_VALUE"""),"Aliva Sadnim Mahmud")</f>
        <v>Aliva Sadnim Mahmud</v>
      </c>
      <c r="D170" s="16" t="str">
        <f>IFERROR(__xludf.DUMMYFUNCTION("""COMPUTED_VALUE"""),"C. Lecturer")</f>
        <v>C. Lecturer</v>
      </c>
      <c r="E170" s="16" t="str">
        <f>IFERROR(__xludf.DUMMYFUNCTION("""COMPUTED_VALUE"""),"Contractual")</f>
        <v>Contractual</v>
      </c>
      <c r="F170" s="16" t="str">
        <f>IFERROR(__xludf.DUMMYFUNCTION("""COMPUTED_VALUE"""),"4P")</f>
        <v>4P</v>
      </c>
      <c r="G170" s="17" t="str">
        <f>IFERROR(__xludf.DUMMYFUNCTION("""COMPUTED_VALUE"""),"ext.aliva.sadnim@bracu.ac.bd")</f>
        <v>ext.aliva.sadnim@bracu.ac.bd</v>
      </c>
    </row>
    <row r="171">
      <c r="A171" s="18" t="str">
        <f t="array" ref="A171">IF(ISBLANK(B171),,HYPERLINK("https://docs.google.com/spreadsheets/d/1aZ_8do2w3aA382MhZyJKG5amXZ6fpthJYoLsdM9x0gU/edit?gid="&amp;XLOOKUP(B171,ID___!A:A,ID___!B:B,"")&amp;"#gid="&amp;XLOOKUP(B171,ID___!A:A,ID___!B:B,"")&amp;"&amp;range=A1:J1","Click"))</f>
        <v>Click</v>
      </c>
      <c r="B171" s="19" t="str">
        <f>IFERROR(__xludf.DUMMYFUNCTION("""COMPUTED_VALUE"""),"ANNH")</f>
        <v>ANNH</v>
      </c>
      <c r="C171" s="17" t="str">
        <f>IFERROR(__xludf.DUMMYFUNCTION("""COMPUTED_VALUE"""),"Aunon Halder")</f>
        <v>Aunon Halder</v>
      </c>
      <c r="D171" s="16" t="str">
        <f>IFERROR(__xludf.DUMMYFUNCTION("""COMPUTED_VALUE"""),"C. Lecturer")</f>
        <v>C. Lecturer</v>
      </c>
      <c r="E171" s="16" t="str">
        <f>IFERROR(__xludf.DUMMYFUNCTION("""COMPUTED_VALUE"""),"Contractual")</f>
        <v>Contractual</v>
      </c>
      <c r="F171" s="16" t="str">
        <f>IFERROR(__xludf.DUMMYFUNCTION("""COMPUTED_VALUE"""),"4P")</f>
        <v>4P</v>
      </c>
      <c r="G171" s="17" t="str">
        <f>IFERROR(__xludf.DUMMYFUNCTION("""COMPUTED_VALUE"""),"ext.aunon.halder@bracu.ac.bd")</f>
        <v>ext.aunon.halder@bracu.ac.bd</v>
      </c>
    </row>
    <row r="172">
      <c r="A172" s="18" t="str">
        <f t="array" ref="A172">IF(ISBLANK(B172),,HYPERLINK("https://docs.google.com/spreadsheets/d/1aZ_8do2w3aA382MhZyJKG5amXZ6fpthJYoLsdM9x0gU/edit?gid="&amp;XLOOKUP(B172,ID___!A:A,ID___!B:B,"")&amp;"#gid="&amp;XLOOKUP(B172,ID___!A:A,ID___!B:B,"")&amp;"&amp;range=A1:J1","Click"))</f>
        <v>Click</v>
      </c>
      <c r="B172" s="19" t="str">
        <f>IFERROR(__xludf.DUMMYFUNCTION("""COMPUTED_VALUE"""),"ANT")</f>
        <v>ANT</v>
      </c>
      <c r="C172" s="17" t="str">
        <f>IFERROR(__xludf.DUMMYFUNCTION("""COMPUTED_VALUE"""),"Anika Tasnim")</f>
        <v>Anika Tasnim</v>
      </c>
      <c r="D172" s="16" t="str">
        <f>IFERROR(__xludf.DUMMYFUNCTION("""COMPUTED_VALUE"""),"C. Lecturer")</f>
        <v>C. Lecturer</v>
      </c>
      <c r="E172" s="16" t="str">
        <f>IFERROR(__xludf.DUMMYFUNCTION("""COMPUTED_VALUE"""),"Contractual")</f>
        <v>Contractual</v>
      </c>
      <c r="F172" s="16" t="str">
        <f>IFERROR(__xludf.DUMMYFUNCTION("""COMPUTED_VALUE"""),"4P")</f>
        <v>4P</v>
      </c>
      <c r="G172" s="17" t="str">
        <f>IFERROR(__xludf.DUMMYFUNCTION("""COMPUTED_VALUE"""),"ext.anika.tasnim@bracu.ac.bd")</f>
        <v>ext.anika.tasnim@bracu.ac.bd</v>
      </c>
    </row>
    <row r="173">
      <c r="A173" s="18" t="str">
        <f t="array" ref="A173">IF(ISBLANK(B173),,HYPERLINK("https://docs.google.com/spreadsheets/d/1aZ_8do2w3aA382MhZyJKG5amXZ6fpthJYoLsdM9x0gU/edit?gid="&amp;XLOOKUP(B173,ID___!A:A,ID___!B:B,"")&amp;"#gid="&amp;XLOOKUP(B173,ID___!A:A,ID___!B:B,"")&amp;"&amp;range=A1:J1","Click"))</f>
        <v>Click</v>
      </c>
      <c r="B173" s="19" t="str">
        <f>IFERROR(__xludf.DUMMYFUNCTION("""COMPUTED_VALUE"""),"ANV")</f>
        <v>ANV</v>
      </c>
      <c r="C173" s="17" t="str">
        <f>IFERROR(__xludf.DUMMYFUNCTION("""COMPUTED_VALUE"""),"Md. Anonto Shuvo")</f>
        <v>Md. Anonto Shuvo</v>
      </c>
      <c r="D173" s="16" t="str">
        <f>IFERROR(__xludf.DUMMYFUNCTION("""COMPUTED_VALUE"""),"C. Lecturer")</f>
        <v>C. Lecturer</v>
      </c>
      <c r="E173" s="16" t="str">
        <f>IFERROR(__xludf.DUMMYFUNCTION("""COMPUTED_VALUE"""),"Contractual")</f>
        <v>Contractual</v>
      </c>
      <c r="F173" s="16" t="str">
        <f>IFERROR(__xludf.DUMMYFUNCTION("""COMPUTED_VALUE"""),"4P")</f>
        <v>4P</v>
      </c>
      <c r="G173" s="17" t="str">
        <f>IFERROR(__xludf.DUMMYFUNCTION("""COMPUTED_VALUE"""),"ext.anonto.shuvo@bracu.ac.bd")</f>
        <v>ext.anonto.shuvo@bracu.ac.bd</v>
      </c>
    </row>
    <row r="174">
      <c r="A174" s="18" t="str">
        <f t="array" ref="A174">IF(ISBLANK(B174),,HYPERLINK("https://docs.google.com/spreadsheets/d/1aZ_8do2w3aA382MhZyJKG5amXZ6fpthJYoLsdM9x0gU/edit?gid="&amp;XLOOKUP(B174,ID___!A:A,ID___!B:B,"")&amp;"#gid="&amp;XLOOKUP(B174,ID___!A:A,ID___!B:B,"")&amp;"&amp;range=A1:J1","Click"))</f>
        <v>Click</v>
      </c>
      <c r="B174" s="19" t="str">
        <f>IFERROR(__xludf.DUMMYFUNCTION("""COMPUTED_VALUE"""),"AOH")</f>
        <v>AOH</v>
      </c>
      <c r="C174" s="17" t="str">
        <f>IFERROR(__xludf.DUMMYFUNCTION("""COMPUTED_VALUE"""),"Abu Obaida Hasme")</f>
        <v>Abu Obaida Hasme</v>
      </c>
      <c r="D174" s="16" t="str">
        <f>IFERROR(__xludf.DUMMYFUNCTION("""COMPUTED_VALUE"""),"C. Lecturer")</f>
        <v>C. Lecturer</v>
      </c>
      <c r="E174" s="16" t="str">
        <f>IFERROR(__xludf.DUMMYFUNCTION("""COMPUTED_VALUE"""),"Contractual")</f>
        <v>Contractual</v>
      </c>
      <c r="F174" s="16" t="str">
        <f>IFERROR(__xludf.DUMMYFUNCTION("""COMPUTED_VALUE"""),"4P")</f>
        <v>4P</v>
      </c>
      <c r="G174" s="17" t="str">
        <f>IFERROR(__xludf.DUMMYFUNCTION("""COMPUTED_VALUE"""),"ext.abu.hasme@bracu.ac.bd")</f>
        <v>ext.abu.hasme@bracu.ac.bd</v>
      </c>
    </row>
    <row r="175">
      <c r="A175" s="18" t="str">
        <f t="array" ref="A175">IF(ISBLANK(B175),,HYPERLINK("https://docs.google.com/spreadsheets/d/1aZ_8do2w3aA382MhZyJKG5amXZ6fpthJYoLsdM9x0gU/edit?gid="&amp;XLOOKUP(B175,ID___!A:A,ID___!B:B,"")&amp;"#gid="&amp;XLOOKUP(B175,ID___!A:A,ID___!B:B,"")&amp;"&amp;range=A1:J1","Click"))</f>
        <v>Click</v>
      </c>
      <c r="B175" s="19" t="str">
        <f>IFERROR(__xludf.DUMMYFUNCTION("""COMPUTED_VALUE"""),"AQJ")</f>
        <v>AQJ</v>
      </c>
      <c r="C175" s="17" t="str">
        <f>IFERROR(__xludf.DUMMYFUNCTION("""COMPUTED_VALUE"""),"Ashiqur Jubaier")</f>
        <v>Ashiqur Jubaier</v>
      </c>
      <c r="D175" s="16" t="str">
        <f>IFERROR(__xludf.DUMMYFUNCTION("""COMPUTED_VALUE"""),"C. Lecturer")</f>
        <v>C. Lecturer</v>
      </c>
      <c r="E175" s="16" t="str">
        <f>IFERROR(__xludf.DUMMYFUNCTION("""COMPUTED_VALUE"""),"Contractual")</f>
        <v>Contractual</v>
      </c>
      <c r="F175" s="16" t="str">
        <f>IFERROR(__xludf.DUMMYFUNCTION("""COMPUTED_VALUE"""),"4P")</f>
        <v>4P</v>
      </c>
      <c r="G175" s="17" t="str">
        <f>IFERROR(__xludf.DUMMYFUNCTION("""COMPUTED_VALUE"""),"ext.ashiqur.jubaier@bracu.ac.bd")</f>
        <v>ext.ashiqur.jubaier@bracu.ac.bd</v>
      </c>
    </row>
    <row r="176">
      <c r="A176" s="18" t="str">
        <f t="array" ref="A176">IF(ISBLANK(B176),,HYPERLINK("https://docs.google.com/spreadsheets/d/1aZ_8do2w3aA382MhZyJKG5amXZ6fpthJYoLsdM9x0gU/edit?gid="&amp;XLOOKUP(B176,ID___!A:A,ID___!B:B,"")&amp;"#gid="&amp;XLOOKUP(B176,ID___!A:A,ID___!B:B,"")&amp;"&amp;range=A1:J1","Click"))</f>
        <v>Click</v>
      </c>
      <c r="B176" s="19" t="str">
        <f>IFERROR(__xludf.DUMMYFUNCTION("""COMPUTED_VALUE"""),"ARA")</f>
        <v>ARA</v>
      </c>
      <c r="C176" s="17" t="str">
        <f>IFERROR(__xludf.DUMMYFUNCTION("""COMPUTED_VALUE"""),"Md Ashikur Rahman Any")</f>
        <v>Md Ashikur Rahman Any</v>
      </c>
      <c r="D176" s="16" t="str">
        <f>IFERROR(__xludf.DUMMYFUNCTION("""COMPUTED_VALUE"""),"C. Lecturer")</f>
        <v>C. Lecturer</v>
      </c>
      <c r="E176" s="16" t="str">
        <f>IFERROR(__xludf.DUMMYFUNCTION("""COMPUTED_VALUE"""),"Contractual")</f>
        <v>Contractual</v>
      </c>
      <c r="F176" s="16" t="str">
        <f>IFERROR(__xludf.DUMMYFUNCTION("""COMPUTED_VALUE"""),"4P")</f>
        <v>4P</v>
      </c>
      <c r="G176" s="17" t="str">
        <f>IFERROR(__xludf.DUMMYFUNCTION("""COMPUTED_VALUE"""),"ext.rahman.ashikur@bracu.ac.bd")</f>
        <v>ext.rahman.ashikur@bracu.ac.bd</v>
      </c>
    </row>
    <row r="177">
      <c r="A177" s="18" t="str">
        <f t="array" ref="A177">IF(ISBLANK(B177),,HYPERLINK("https://docs.google.com/spreadsheets/d/1aZ_8do2w3aA382MhZyJKG5amXZ6fpthJYoLsdM9x0gU/edit?gid="&amp;XLOOKUP(B177,ID___!A:A,ID___!B:B,"")&amp;"#gid="&amp;XLOOKUP(B177,ID___!A:A,ID___!B:B,"")&amp;"&amp;range=A1:J1","Click"))</f>
        <v>Click</v>
      </c>
      <c r="B177" s="19" t="str">
        <f>IFERROR(__xludf.DUMMYFUNCTION("""COMPUTED_VALUE"""),"AROY")</f>
        <v>AROY</v>
      </c>
      <c r="C177" s="17" t="str">
        <f>IFERROR(__xludf.DUMMYFUNCTION("""COMPUTED_VALUE"""),"Atonu Roy Chowdhury")</f>
        <v>Atonu Roy Chowdhury</v>
      </c>
      <c r="D177" s="16" t="str">
        <f>IFERROR(__xludf.DUMMYFUNCTION("""COMPUTED_VALUE"""),"C. Lecturer")</f>
        <v>C. Lecturer</v>
      </c>
      <c r="E177" s="16" t="str">
        <f>IFERROR(__xludf.DUMMYFUNCTION("""COMPUTED_VALUE"""),"Contractual")</f>
        <v>Contractual</v>
      </c>
      <c r="F177" s="16" t="str">
        <f>IFERROR(__xludf.DUMMYFUNCTION("""COMPUTED_VALUE"""),"4P")</f>
        <v>4P</v>
      </c>
      <c r="G177" s="17" t="str">
        <f>IFERROR(__xludf.DUMMYFUNCTION("""COMPUTED_VALUE"""),"ext.atonu.roy@bracu.ac.bd")</f>
        <v>ext.atonu.roy@bracu.ac.bd</v>
      </c>
    </row>
    <row r="178">
      <c r="A178" s="18" t="str">
        <f t="array" ref="A178">IF(ISBLANK(B178),,HYPERLINK("https://docs.google.com/spreadsheets/d/1aZ_8do2w3aA382MhZyJKG5amXZ6fpthJYoLsdM9x0gU/edit?gid="&amp;XLOOKUP(B178,ID___!A:A,ID___!B:B,"")&amp;"#gid="&amp;XLOOKUP(B178,ID___!A:A,ID___!B:B,"")&amp;"&amp;range=A1:J1","Click"))</f>
        <v>Click</v>
      </c>
      <c r="B178" s="19" t="str">
        <f>IFERROR(__xludf.DUMMYFUNCTION("""COMPUTED_VALUE"""),"ARPD")</f>
        <v>ARPD</v>
      </c>
      <c r="C178" s="17" t="str">
        <f>IFERROR(__xludf.DUMMYFUNCTION("""COMPUTED_VALUE"""),"Arpa Roy Dastider")</f>
        <v>Arpa Roy Dastider</v>
      </c>
      <c r="D178" s="16" t="str">
        <f>IFERROR(__xludf.DUMMYFUNCTION("""COMPUTED_VALUE"""),"C. Lecturer")</f>
        <v>C. Lecturer</v>
      </c>
      <c r="E178" s="16" t="str">
        <f>IFERROR(__xludf.DUMMYFUNCTION("""COMPUTED_VALUE"""),"Contractual")</f>
        <v>Contractual</v>
      </c>
      <c r="F178" s="16" t="str">
        <f>IFERROR(__xludf.DUMMYFUNCTION("""COMPUTED_VALUE"""),"4P")</f>
        <v>4P</v>
      </c>
      <c r="G178" s="17" t="str">
        <f>IFERROR(__xludf.DUMMYFUNCTION("""COMPUTED_VALUE"""),"ext.arpa.roy@bracu.ac.bd")</f>
        <v>ext.arpa.roy@bracu.ac.bd</v>
      </c>
    </row>
    <row r="179">
      <c r="A179" s="18" t="str">
        <f t="array" ref="A179">IF(ISBLANK(B179),,HYPERLINK("https://docs.google.com/spreadsheets/d/1aZ_8do2w3aA382MhZyJKG5amXZ6fpthJYoLsdM9x0gU/edit?gid="&amp;XLOOKUP(B179,ID___!A:A,ID___!B:B,"")&amp;"#gid="&amp;XLOOKUP(B179,ID___!A:A,ID___!B:B,"")&amp;"&amp;range=A1:J1","Click"))</f>
        <v>Click</v>
      </c>
      <c r="B179" s="19" t="str">
        <f>IFERROR(__xludf.DUMMYFUNCTION("""COMPUTED_VALUE"""),"ASMN")</f>
        <v>ASMN</v>
      </c>
      <c r="C179" s="17" t="str">
        <f>IFERROR(__xludf.DUMMYFUNCTION("""COMPUTED_VALUE"""),"A S M Nasim Khan")</f>
        <v>A S M Nasim Khan</v>
      </c>
      <c r="D179" s="16" t="str">
        <f>IFERROR(__xludf.DUMMYFUNCTION("""COMPUTED_VALUE"""),"C. Lecturer")</f>
        <v>C. Lecturer</v>
      </c>
      <c r="E179" s="16" t="str">
        <f>IFERROR(__xludf.DUMMYFUNCTION("""COMPUTED_VALUE"""),"Contractual")</f>
        <v>Contractual</v>
      </c>
      <c r="F179" s="16" t="str">
        <f>IFERROR(__xludf.DUMMYFUNCTION("""COMPUTED_VALUE"""),"4P")</f>
        <v>4P</v>
      </c>
      <c r="G179" s="17" t="str">
        <f>IFERROR(__xludf.DUMMYFUNCTION("""COMPUTED_VALUE"""),"ext.nasim.khan@bracu.ac.bd")</f>
        <v>ext.nasim.khan@bracu.ac.bd</v>
      </c>
    </row>
    <row r="180">
      <c r="A180" s="18" t="str">
        <f t="array" ref="A180">IF(ISBLANK(B180),,HYPERLINK("https://docs.google.com/spreadsheets/d/1aZ_8do2w3aA382MhZyJKG5amXZ6fpthJYoLsdM9x0gU/edit?gid="&amp;XLOOKUP(B180,ID___!A:A,ID___!B:B,"")&amp;"#gid="&amp;XLOOKUP(B180,ID___!A:A,ID___!B:B,"")&amp;"&amp;range=A1:J1","Click"))</f>
        <v>Click</v>
      </c>
      <c r="B180" s="19" t="str">
        <f>IFERROR(__xludf.DUMMYFUNCTION("""COMPUTED_VALUE"""),"AWK")</f>
        <v>AWK</v>
      </c>
      <c r="C180" s="17" t="str">
        <f>IFERROR(__xludf.DUMMYFUNCTION("""COMPUTED_VALUE"""),"Mirza Azwad Wakil")</f>
        <v>Mirza Azwad Wakil</v>
      </c>
      <c r="D180" s="16" t="str">
        <f>IFERROR(__xludf.DUMMYFUNCTION("""COMPUTED_VALUE"""),"C. Lecturer")</f>
        <v>C. Lecturer</v>
      </c>
      <c r="E180" s="16" t="str">
        <f>IFERROR(__xludf.DUMMYFUNCTION("""COMPUTED_VALUE"""),"Contractual")</f>
        <v>Contractual</v>
      </c>
      <c r="F180" s="16" t="str">
        <f>IFERROR(__xludf.DUMMYFUNCTION("""COMPUTED_VALUE"""),"4P")</f>
        <v>4P</v>
      </c>
      <c r="G180" s="17" t="str">
        <f>IFERROR(__xludf.DUMMYFUNCTION("""COMPUTED_VALUE"""),"ext.azwad.wakil@bracu.ac.bd")</f>
        <v>ext.azwad.wakil@bracu.ac.bd</v>
      </c>
    </row>
    <row r="181">
      <c r="A181" s="18" t="str">
        <f t="array" ref="A181">IF(ISBLANK(B181),,HYPERLINK("https://docs.google.com/spreadsheets/d/1aZ_8do2w3aA382MhZyJKG5amXZ6fpthJYoLsdM9x0gU/edit?gid="&amp;XLOOKUP(B181,ID___!A:A,ID___!B:B,"")&amp;"#gid="&amp;XLOOKUP(B181,ID___!A:A,ID___!B:B,"")&amp;"&amp;range=A1:J1","Click"))</f>
        <v>Click</v>
      </c>
      <c r="B181" s="19" t="str">
        <f>IFERROR(__xludf.DUMMYFUNCTION("""COMPUTED_VALUE"""),"CABS")</f>
        <v>CABS</v>
      </c>
      <c r="C181" s="17" t="str">
        <f>IFERROR(__xludf.DUMMYFUNCTION("""COMPUTED_VALUE"""),"Aabrar Islam")</f>
        <v>Aabrar Islam</v>
      </c>
      <c r="D181" s="16" t="str">
        <f>IFERROR(__xludf.DUMMYFUNCTION("""COMPUTED_VALUE"""),"C. Lecturer")</f>
        <v>C. Lecturer</v>
      </c>
      <c r="E181" s="16" t="str">
        <f>IFERROR(__xludf.DUMMYFUNCTION("""COMPUTED_VALUE"""),"Contractual")</f>
        <v>Contractual</v>
      </c>
      <c r="F181" s="16" t="str">
        <f>IFERROR(__xludf.DUMMYFUNCTION("""COMPUTED_VALUE"""),"4P")</f>
        <v>4P</v>
      </c>
      <c r="G181" s="17" t="str">
        <f>IFERROR(__xludf.DUMMYFUNCTION("""COMPUTED_VALUE"""),"ext.aabrar.islam@bracu.ac.bd")</f>
        <v>ext.aabrar.islam@bracu.ac.bd</v>
      </c>
    </row>
    <row r="182">
      <c r="A182" s="18" t="str">
        <f t="array" ref="A182">IF(ISBLANK(B182),,HYPERLINK("https://docs.google.com/spreadsheets/d/1aZ_8do2w3aA382MhZyJKG5amXZ6fpthJYoLsdM9x0gU/edit?gid="&amp;XLOOKUP(B182,ID___!A:A,ID___!B:B,"")&amp;"#gid="&amp;XLOOKUP(B182,ID___!A:A,ID___!B:B,"")&amp;"&amp;range=A1:J1","Click"))</f>
        <v>Click</v>
      </c>
      <c r="B182" s="19" t="str">
        <f>IFERROR(__xludf.DUMMYFUNCTION("""COMPUTED_VALUE"""),"CAKM")</f>
        <v>CAKM</v>
      </c>
      <c r="C182" s="17" t="str">
        <f>IFERROR(__xludf.DUMMYFUNCTION("""COMPUTED_VALUE"""),"ANIKA ISLAM")</f>
        <v>ANIKA ISLAM</v>
      </c>
      <c r="D182" s="16" t="str">
        <f>IFERROR(__xludf.DUMMYFUNCTION("""COMPUTED_VALUE"""),"C. Lecturer")</f>
        <v>C. Lecturer</v>
      </c>
      <c r="E182" s="16" t="str">
        <f>IFERROR(__xludf.DUMMYFUNCTION("""COMPUTED_VALUE"""),"Contractual")</f>
        <v>Contractual</v>
      </c>
      <c r="F182" s="16" t="str">
        <f>IFERROR(__xludf.DUMMYFUNCTION("""COMPUTED_VALUE"""),"4P")</f>
        <v>4P</v>
      </c>
      <c r="G182" s="17" t="str">
        <f>IFERROR(__xludf.DUMMYFUNCTION("""COMPUTED_VALUE"""),"ext.anika.islam@bracu.ac.bd")</f>
        <v>ext.anika.islam@bracu.ac.bd</v>
      </c>
    </row>
    <row r="183">
      <c r="A183" s="18" t="str">
        <f t="array" ref="A183">IF(ISBLANK(B183),,HYPERLINK("https://docs.google.com/spreadsheets/d/1aZ_8do2w3aA382MhZyJKG5amXZ6fpthJYoLsdM9x0gU/edit?gid="&amp;XLOOKUP(B183,ID___!A:A,ID___!B:B,"")&amp;"#gid="&amp;XLOOKUP(B183,ID___!A:A,ID___!B:B,"")&amp;"&amp;range=A1:J1","Click"))</f>
        <v>Click</v>
      </c>
      <c r="B183" s="19" t="str">
        <f>IFERROR(__xludf.DUMMYFUNCTION("""COMPUTED_VALUE"""),"CAPN")</f>
        <v>CAPN</v>
      </c>
      <c r="C183" s="17" t="str">
        <f>IFERROR(__xludf.DUMMYFUNCTION("""COMPUTED_VALUE"""),"Argha Protim Angon")</f>
        <v>Argha Protim Angon</v>
      </c>
      <c r="D183" s="16" t="str">
        <f>IFERROR(__xludf.DUMMYFUNCTION("""COMPUTED_VALUE"""),"C. Lecturer")</f>
        <v>C. Lecturer</v>
      </c>
      <c r="E183" s="16" t="str">
        <f>IFERROR(__xludf.DUMMYFUNCTION("""COMPUTED_VALUE"""),"Contractual")</f>
        <v>Contractual</v>
      </c>
      <c r="F183" s="16" t="str">
        <f>IFERROR(__xludf.DUMMYFUNCTION("""COMPUTED_VALUE"""),"4P")</f>
        <v>4P</v>
      </c>
      <c r="G183" s="17" t="str">
        <f>IFERROR(__xludf.DUMMYFUNCTION("""COMPUTED_VALUE"""),"ext.argha.angon@bracu.ac.bd")</f>
        <v>ext.argha.angon@bracu.ac.bd</v>
      </c>
    </row>
    <row r="184">
      <c r="A184" s="18" t="str">
        <f t="array" ref="A184">IF(ISBLANK(B184),,HYPERLINK("https://docs.google.com/spreadsheets/d/1aZ_8do2w3aA382MhZyJKG5amXZ6fpthJYoLsdM9x0gU/edit?gid="&amp;XLOOKUP(B184,ID___!A:A,ID___!B:B,"")&amp;"#gid="&amp;XLOOKUP(B184,ID___!A:A,ID___!B:B,"")&amp;"&amp;range=A1:J1","Click"))</f>
        <v>Click</v>
      </c>
      <c r="B184" s="19" t="str">
        <f>IFERROR(__xludf.DUMMYFUNCTION("""COMPUTED_VALUE"""),"CAYR")</f>
        <v>CAYR</v>
      </c>
      <c r="C184" s="17" t="str">
        <f>IFERROR(__xludf.DUMMYFUNCTION("""COMPUTED_VALUE"""),"Ayon Roy")</f>
        <v>Ayon Roy</v>
      </c>
      <c r="D184" s="16" t="str">
        <f>IFERROR(__xludf.DUMMYFUNCTION("""COMPUTED_VALUE"""),"C. Lecturer")</f>
        <v>C. Lecturer</v>
      </c>
      <c r="E184" s="16" t="str">
        <f>IFERROR(__xludf.DUMMYFUNCTION("""COMPUTED_VALUE"""),"Contractual")</f>
        <v>Contractual</v>
      </c>
      <c r="F184" s="16" t="str">
        <f>IFERROR(__xludf.DUMMYFUNCTION("""COMPUTED_VALUE"""),"4P")</f>
        <v>4P</v>
      </c>
      <c r="G184" s="17" t="str">
        <f>IFERROR(__xludf.DUMMYFUNCTION("""COMPUTED_VALUE"""),"ext.ayon.roy@bracu.ac.bd")</f>
        <v>ext.ayon.roy@bracu.ac.bd</v>
      </c>
    </row>
    <row r="185">
      <c r="A185" s="18" t="str">
        <f t="array" ref="A185">IF(ISBLANK(B185),,HYPERLINK("https://docs.google.com/spreadsheets/d/1aZ_8do2w3aA382MhZyJKG5amXZ6fpthJYoLsdM9x0gU/edit?gid="&amp;XLOOKUP(B185,ID___!A:A,ID___!B:B,"")&amp;"#gid="&amp;XLOOKUP(B185,ID___!A:A,ID___!B:B,"")&amp;"&amp;range=A1:J1","Click"))</f>
        <v>Click</v>
      </c>
      <c r="B185" s="19" t="str">
        <f>IFERROR(__xludf.DUMMYFUNCTION("""COMPUTED_VALUE"""),"CESF")</f>
        <v>CESF</v>
      </c>
      <c r="C185" s="17" t="str">
        <f>IFERROR(__xludf.DUMMYFUNCTION("""COMPUTED_VALUE"""),"Eshat Fareeha")</f>
        <v>Eshat Fareeha</v>
      </c>
      <c r="D185" s="16" t="str">
        <f>IFERROR(__xludf.DUMMYFUNCTION("""COMPUTED_VALUE"""),"C. Lecturer")</f>
        <v>C. Lecturer</v>
      </c>
      <c r="E185" s="16" t="str">
        <f>IFERROR(__xludf.DUMMYFUNCTION("""COMPUTED_VALUE"""),"Contractual")</f>
        <v>Contractual</v>
      </c>
      <c r="F185" s="16" t="str">
        <f>IFERROR(__xludf.DUMMYFUNCTION("""COMPUTED_VALUE"""),"4P")</f>
        <v>4P</v>
      </c>
      <c r="G185" s="17" t="str">
        <f>IFERROR(__xludf.DUMMYFUNCTION("""COMPUTED_VALUE"""),"ext.eshat.fareeha@bracu.ac.bd")</f>
        <v>ext.eshat.fareeha@bracu.ac.bd</v>
      </c>
    </row>
    <row r="186">
      <c r="A186" s="18" t="str">
        <f t="array" ref="A186">IF(ISBLANK(B186),,HYPERLINK("https://docs.google.com/spreadsheets/d/1aZ_8do2w3aA382MhZyJKG5amXZ6fpthJYoLsdM9x0gU/edit?gid="&amp;XLOOKUP(B186,ID___!A:A,ID___!B:B,"")&amp;"#gid="&amp;XLOOKUP(B186,ID___!A:A,ID___!B:B,"")&amp;"&amp;range=A1:J1","Click"))</f>
        <v>Click</v>
      </c>
      <c r="B186" s="19" t="str">
        <f>IFERROR(__xludf.DUMMYFUNCTION("""COMPUTED_VALUE"""),"CKMH")</f>
        <v>CKMH</v>
      </c>
      <c r="C186" s="17" t="str">
        <f>IFERROR(__xludf.DUMMYFUNCTION("""COMPUTED_VALUE"""),"Khondokar Mohammad Ahanaf Hannan")</f>
        <v>Khondokar Mohammad Ahanaf Hannan</v>
      </c>
      <c r="D186" s="16" t="str">
        <f>IFERROR(__xludf.DUMMYFUNCTION("""COMPUTED_VALUE"""),"C. Lecturer")</f>
        <v>C. Lecturer</v>
      </c>
      <c r="E186" s="16" t="str">
        <f>IFERROR(__xludf.DUMMYFUNCTION("""COMPUTED_VALUE"""),"Contractual")</f>
        <v>Contractual</v>
      </c>
      <c r="F186" s="16" t="str">
        <f>IFERROR(__xludf.DUMMYFUNCTION("""COMPUTED_VALUE"""),"4P")</f>
        <v>4P</v>
      </c>
      <c r="G186" s="17" t="str">
        <f>IFERROR(__xludf.DUMMYFUNCTION("""COMPUTED_VALUE"""),"ext.ahanaf.hannan@bracu.ac.bd")</f>
        <v>ext.ahanaf.hannan@bracu.ac.bd</v>
      </c>
    </row>
    <row r="187">
      <c r="A187" s="18" t="str">
        <f t="array" ref="A187">IF(ISBLANK(B187),,HYPERLINK("https://docs.google.com/spreadsheets/d/1aZ_8do2w3aA382MhZyJKG5amXZ6fpthJYoLsdM9x0gU/edit?gid="&amp;XLOOKUP(B187,ID___!A:A,ID___!B:B,"")&amp;"#gid="&amp;XLOOKUP(B187,ID___!A:A,ID___!B:B,"")&amp;"&amp;range=A1:J1","Click"))</f>
        <v>Click</v>
      </c>
      <c r="B187" s="19" t="str">
        <f>IFERROR(__xludf.DUMMYFUNCTION("""COMPUTED_VALUE"""),"CMHH")</f>
        <v>CMHH</v>
      </c>
      <c r="C187" s="17" t="str">
        <f>IFERROR(__xludf.DUMMYFUNCTION("""COMPUTED_VALUE"""),"Maheer Helal")</f>
        <v>Maheer Helal</v>
      </c>
      <c r="D187" s="16" t="str">
        <f>IFERROR(__xludf.DUMMYFUNCTION("""COMPUTED_VALUE"""),"C. Lecturer")</f>
        <v>C. Lecturer</v>
      </c>
      <c r="E187" s="16" t="str">
        <f>IFERROR(__xludf.DUMMYFUNCTION("""COMPUTED_VALUE"""),"Contractual")</f>
        <v>Contractual</v>
      </c>
      <c r="F187" s="16" t="str">
        <f>IFERROR(__xludf.DUMMYFUNCTION("""COMPUTED_VALUE"""),"4P")</f>
        <v>4P</v>
      </c>
      <c r="G187" s="17" t="str">
        <f>IFERROR(__xludf.DUMMYFUNCTION("""COMPUTED_VALUE"""),"ext.maheer.helal@bracu.ac.bd")</f>
        <v>ext.maheer.helal@bracu.ac.bd</v>
      </c>
    </row>
    <row r="188">
      <c r="A188" s="18" t="str">
        <f t="array" ref="A188">IF(ISBLANK(B188),,HYPERLINK("https://docs.google.com/spreadsheets/d/1aZ_8do2w3aA382MhZyJKG5amXZ6fpthJYoLsdM9x0gU/edit?gid="&amp;XLOOKUP(B188,ID___!A:A,ID___!B:B,"")&amp;"#gid="&amp;XLOOKUP(B188,ID___!A:A,ID___!B:B,"")&amp;"&amp;range=A1:J1","Click"))</f>
        <v>Click</v>
      </c>
      <c r="B188" s="19" t="str">
        <f>IFERROR(__xludf.DUMMYFUNCTION("""COMPUTED_VALUE"""),"CMHQ")</f>
        <v>CMHQ</v>
      </c>
      <c r="C188" s="17" t="str">
        <f>IFERROR(__xludf.DUMMYFUNCTION("""COMPUTED_VALUE"""),"Moinul Haque")</f>
        <v>Moinul Haque</v>
      </c>
      <c r="D188" s="16" t="str">
        <f>IFERROR(__xludf.DUMMYFUNCTION("""COMPUTED_VALUE"""),"C. Lecturer")</f>
        <v>C. Lecturer</v>
      </c>
      <c r="E188" s="16" t="str">
        <f>IFERROR(__xludf.DUMMYFUNCTION("""COMPUTED_VALUE"""),"Contractual")</f>
        <v>Contractual</v>
      </c>
      <c r="F188" s="16" t="str">
        <f>IFERROR(__xludf.DUMMYFUNCTION("""COMPUTED_VALUE"""),"4P")</f>
        <v>4P</v>
      </c>
      <c r="G188" s="17" t="str">
        <f>IFERROR(__xludf.DUMMYFUNCTION("""COMPUTED_VALUE"""),"ext.moinul.haque@bracu.ac.bd")</f>
        <v>ext.moinul.haque@bracu.ac.bd</v>
      </c>
    </row>
    <row r="189">
      <c r="A189" s="18" t="str">
        <f t="array" ref="A189">IF(ISBLANK(B189),,HYPERLINK("https://docs.google.com/spreadsheets/d/1aZ_8do2w3aA382MhZyJKG5amXZ6fpthJYoLsdM9x0gU/edit?gid="&amp;XLOOKUP(B189,ID___!A:A,ID___!B:B,"")&amp;"#gid="&amp;XLOOKUP(B189,ID___!A:A,ID___!B:B,"")&amp;"&amp;range=A1:J1","Click"))</f>
        <v>Click</v>
      </c>
      <c r="B189" s="19" t="str">
        <f>IFERROR(__xludf.DUMMYFUNCTION("""COMPUTED_VALUE"""),"CNFH")</f>
        <v>CNFH</v>
      </c>
      <c r="C189" s="17" t="str">
        <f>IFERROR(__xludf.DUMMYFUNCTION("""COMPUTED_VALUE"""),"Nafis Chowdhury")</f>
        <v>Nafis Chowdhury</v>
      </c>
      <c r="D189" s="16" t="str">
        <f>IFERROR(__xludf.DUMMYFUNCTION("""COMPUTED_VALUE"""),"C. Lecturer")</f>
        <v>C. Lecturer</v>
      </c>
      <c r="E189" s="16" t="str">
        <f>IFERROR(__xludf.DUMMYFUNCTION("""COMPUTED_VALUE"""),"Contractual")</f>
        <v>Contractual</v>
      </c>
      <c r="F189" s="16" t="str">
        <f>IFERROR(__xludf.DUMMYFUNCTION("""COMPUTED_VALUE"""),"4P")</f>
        <v>4P</v>
      </c>
      <c r="G189" s="17" t="str">
        <f>IFERROR(__xludf.DUMMYFUNCTION("""COMPUTED_VALUE"""),"ext.nafis.chowdhury@bracu.ac.bd")</f>
        <v>ext.nafis.chowdhury@bracu.ac.bd</v>
      </c>
    </row>
    <row r="190">
      <c r="A190" s="18" t="str">
        <f t="array" ref="A190">IF(ISBLANK(B190),,HYPERLINK("https://docs.google.com/spreadsheets/d/1aZ_8do2w3aA382MhZyJKG5amXZ6fpthJYoLsdM9x0gU/edit?gid="&amp;XLOOKUP(B190,ID___!A:A,ID___!B:B,"")&amp;"#gid="&amp;XLOOKUP(B190,ID___!A:A,ID___!B:B,"")&amp;"&amp;range=A1:J1","Click"))</f>
        <v>Click</v>
      </c>
      <c r="B190" s="19" t="str">
        <f>IFERROR(__xludf.DUMMYFUNCTION("""COMPUTED_VALUE"""),"CNZR")</f>
        <v>CNZR</v>
      </c>
      <c r="C190" s="17" t="str">
        <f>IFERROR(__xludf.DUMMYFUNCTION("""COMPUTED_VALUE"""),"Nusrat Zaman Raya")</f>
        <v>Nusrat Zaman Raya</v>
      </c>
      <c r="D190" s="16" t="str">
        <f>IFERROR(__xludf.DUMMYFUNCTION("""COMPUTED_VALUE"""),"C. Lecturer")</f>
        <v>C. Lecturer</v>
      </c>
      <c r="E190" s="16" t="str">
        <f>IFERROR(__xludf.DUMMYFUNCTION("""COMPUTED_VALUE"""),"Contractual")</f>
        <v>Contractual</v>
      </c>
      <c r="F190" s="16" t="str">
        <f>IFERROR(__xludf.DUMMYFUNCTION("""COMPUTED_VALUE"""),"4P")</f>
        <v>4P</v>
      </c>
      <c r="G190" s="17" t="str">
        <f>IFERROR(__xludf.DUMMYFUNCTION("""COMPUTED_VALUE"""),"ext.nusrat.raya@bracu.ac.bd")</f>
        <v>ext.nusrat.raya@bracu.ac.bd</v>
      </c>
    </row>
    <row r="191">
      <c r="A191" s="18" t="str">
        <f t="array" ref="A191">IF(ISBLANK(B191),,HYPERLINK("https://docs.google.com/spreadsheets/d/1aZ_8do2w3aA382MhZyJKG5amXZ6fpthJYoLsdM9x0gU/edit?gid="&amp;XLOOKUP(B191,ID___!A:A,ID___!B:B,"")&amp;"#gid="&amp;XLOOKUP(B191,ID___!A:A,ID___!B:B,"")&amp;"&amp;range=A1:J1","Click"))</f>
        <v>Click</v>
      </c>
      <c r="B191" s="19" t="str">
        <f>IFERROR(__xludf.DUMMYFUNCTION("""COMPUTED_VALUE"""),"CPTH")</f>
        <v>CPTH</v>
      </c>
      <c r="C191" s="17" t="str">
        <f>IFERROR(__xludf.DUMMYFUNCTION("""COMPUTED_VALUE"""),"Purba Tahia Hassan")</f>
        <v>Purba Tahia Hassan</v>
      </c>
      <c r="D191" s="16" t="str">
        <f>IFERROR(__xludf.DUMMYFUNCTION("""COMPUTED_VALUE"""),"C. Lecturer")</f>
        <v>C. Lecturer</v>
      </c>
      <c r="E191" s="16" t="str">
        <f>IFERROR(__xludf.DUMMYFUNCTION("""COMPUTED_VALUE"""),"Contractual")</f>
        <v>Contractual</v>
      </c>
      <c r="F191" s="16" t="str">
        <f>IFERROR(__xludf.DUMMYFUNCTION("""COMPUTED_VALUE"""),"4P")</f>
        <v>4P</v>
      </c>
      <c r="G191" s="17" t="str">
        <f>IFERROR(__xludf.DUMMYFUNCTION("""COMPUTED_VALUE"""),"ext.purba.hassan@bracu.ac.bd")</f>
        <v>ext.purba.hassan@bracu.ac.bd</v>
      </c>
    </row>
    <row r="192">
      <c r="A192" s="18" t="str">
        <f t="array" ref="A192">IF(ISBLANK(B192),,HYPERLINK("https://docs.google.com/spreadsheets/d/1aZ_8do2w3aA382MhZyJKG5amXZ6fpthJYoLsdM9x0gU/edit?gid="&amp;XLOOKUP(B192,ID___!A:A,ID___!B:B,"")&amp;"#gid="&amp;XLOOKUP(B192,ID___!A:A,ID___!B:B,"")&amp;"&amp;range=A1:J1","Click"))</f>
        <v>Click</v>
      </c>
      <c r="B192" s="19" t="str">
        <f>IFERROR(__xludf.DUMMYFUNCTION("""COMPUTED_VALUE"""),"CQAE")</f>
        <v>CQAE</v>
      </c>
      <c r="C192" s="17" t="str">
        <f>IFERROR(__xludf.DUMMYFUNCTION("""COMPUTED_VALUE"""),"Qurratul Ayen Elma")</f>
        <v>Qurratul Ayen Elma</v>
      </c>
      <c r="D192" s="16" t="str">
        <f>IFERROR(__xludf.DUMMYFUNCTION("""COMPUTED_VALUE"""),"C. Lecturer")</f>
        <v>C. Lecturer</v>
      </c>
      <c r="E192" s="16" t="str">
        <f>IFERROR(__xludf.DUMMYFUNCTION("""COMPUTED_VALUE"""),"Contractual")</f>
        <v>Contractual</v>
      </c>
      <c r="F192" s="16" t="str">
        <f>IFERROR(__xludf.DUMMYFUNCTION("""COMPUTED_VALUE"""),"4P")</f>
        <v>4P</v>
      </c>
      <c r="G192" s="17" t="str">
        <f>IFERROR(__xludf.DUMMYFUNCTION("""COMPUTED_VALUE"""),"ext.qurratul.elma@bracu.ac.bd")</f>
        <v>ext.qurratul.elma@bracu.ac.bd</v>
      </c>
    </row>
    <row r="193">
      <c r="A193" s="18" t="str">
        <f t="array" ref="A193">IF(ISBLANK(B193),,HYPERLINK("https://docs.google.com/spreadsheets/d/1aZ_8do2w3aA382MhZyJKG5amXZ6fpthJYoLsdM9x0gU/edit?gid="&amp;XLOOKUP(B193,ID___!A:A,ID___!B:B,"")&amp;"#gid="&amp;XLOOKUP(B193,ID___!A:A,ID___!B:B,"")&amp;"&amp;range=A1:J1","Click"))</f>
        <v>Click</v>
      </c>
      <c r="B193" s="19" t="str">
        <f>IFERROR(__xludf.DUMMYFUNCTION("""COMPUTED_VALUE"""),"CRHB")</f>
        <v>CRHB</v>
      </c>
      <c r="C193" s="17" t="str">
        <f>IFERROR(__xludf.DUMMYFUNCTION("""COMPUTED_VALUE"""),"Ruhan Habib")</f>
        <v>Ruhan Habib</v>
      </c>
      <c r="D193" s="16" t="str">
        <f>IFERROR(__xludf.DUMMYFUNCTION("""COMPUTED_VALUE"""),"C. Lecturer")</f>
        <v>C. Lecturer</v>
      </c>
      <c r="E193" s="16" t="str">
        <f>IFERROR(__xludf.DUMMYFUNCTION("""COMPUTED_VALUE"""),"Contractual")</f>
        <v>Contractual</v>
      </c>
      <c r="F193" s="16" t="str">
        <f>IFERROR(__xludf.DUMMYFUNCTION("""COMPUTED_VALUE"""),"4P")</f>
        <v>4P</v>
      </c>
      <c r="G193" s="17" t="str">
        <f>IFERROR(__xludf.DUMMYFUNCTION("""COMPUTED_VALUE"""),"ext.ruhan.habib@bracu.ac.bd")</f>
        <v>ext.ruhan.habib@bracu.ac.bd</v>
      </c>
    </row>
    <row r="194">
      <c r="A194" s="18" t="str">
        <f t="array" ref="A194">IF(ISBLANK(B194),,HYPERLINK("https://docs.google.com/spreadsheets/d/1aZ_8do2w3aA382MhZyJKG5amXZ6fpthJYoLsdM9x0gU/edit?gid="&amp;XLOOKUP(B194,ID___!A:A,ID___!B:B,"")&amp;"#gid="&amp;XLOOKUP(B194,ID___!A:A,ID___!B:B,"")&amp;"&amp;range=A1:J1","Click"))</f>
        <v>Click</v>
      </c>
      <c r="B194" s="19" t="str">
        <f>IFERROR(__xludf.DUMMYFUNCTION("""COMPUTED_VALUE"""),"CSAB")</f>
        <v>CSAB</v>
      </c>
      <c r="C194" s="17" t="str">
        <f>IFERROR(__xludf.DUMMYFUNCTION("""COMPUTED_VALUE"""),"Shreya Adrita Banik")</f>
        <v>Shreya Adrita Banik</v>
      </c>
      <c r="D194" s="16" t="str">
        <f>IFERROR(__xludf.DUMMYFUNCTION("""COMPUTED_VALUE"""),"C. Lecturer")</f>
        <v>C. Lecturer</v>
      </c>
      <c r="E194" s="16" t="str">
        <f>IFERROR(__xludf.DUMMYFUNCTION("""COMPUTED_VALUE"""),"Contractual")</f>
        <v>Contractual</v>
      </c>
      <c r="F194" s="16" t="str">
        <f>IFERROR(__xludf.DUMMYFUNCTION("""COMPUTED_VALUE"""),"4P")</f>
        <v>4P</v>
      </c>
      <c r="G194" s="17" t="str">
        <f>IFERROR(__xludf.DUMMYFUNCTION("""COMPUTED_VALUE"""),"ext.shreya.banik@bracu.ac.bd")</f>
        <v>ext.shreya.banik@bracu.ac.bd</v>
      </c>
    </row>
    <row r="195">
      <c r="A195" s="18" t="str">
        <f t="array" ref="A195">IF(ISBLANK(B195),,HYPERLINK("https://docs.google.com/spreadsheets/d/1aZ_8do2w3aA382MhZyJKG5amXZ6fpthJYoLsdM9x0gU/edit?gid="&amp;XLOOKUP(B195,ID___!A:A,ID___!B:B,"")&amp;"#gid="&amp;XLOOKUP(B195,ID___!A:A,ID___!B:B,"")&amp;"&amp;range=A1:J1","Click"))</f>
        <v>Click</v>
      </c>
      <c r="B195" s="19" t="str">
        <f>IFERROR(__xludf.DUMMYFUNCTION("""COMPUTED_VALUE"""),"CSSA")</f>
        <v>CSSA</v>
      </c>
      <c r="C195" s="17" t="str">
        <f>IFERROR(__xludf.DUMMYFUNCTION("""COMPUTED_VALUE"""),"Sadman Sakib Alif")</f>
        <v>Sadman Sakib Alif</v>
      </c>
      <c r="D195" s="16" t="str">
        <f>IFERROR(__xludf.DUMMYFUNCTION("""COMPUTED_VALUE"""),"C. Lecturer")</f>
        <v>C. Lecturer</v>
      </c>
      <c r="E195" s="16" t="str">
        <f>IFERROR(__xludf.DUMMYFUNCTION("""COMPUTED_VALUE"""),"Contractual")</f>
        <v>Contractual</v>
      </c>
      <c r="F195" s="16" t="str">
        <f>IFERROR(__xludf.DUMMYFUNCTION("""COMPUTED_VALUE"""),"4P")</f>
        <v>4P</v>
      </c>
      <c r="G195" s="17" t="str">
        <f>IFERROR(__xludf.DUMMYFUNCTION("""COMPUTED_VALUE"""),"ext.sadman.alif@bracu.ac.bd")</f>
        <v>ext.sadman.alif@bracu.ac.bd</v>
      </c>
    </row>
    <row r="196">
      <c r="A196" s="18" t="str">
        <f t="array" ref="A196">IF(ISBLANK(B196),,HYPERLINK("https://docs.google.com/spreadsheets/d/1aZ_8do2w3aA382MhZyJKG5amXZ6fpthJYoLsdM9x0gU/edit?gid="&amp;XLOOKUP(B196,ID___!A:A,ID___!B:B,"")&amp;"#gid="&amp;XLOOKUP(B196,ID___!A:A,ID___!B:B,"")&amp;"&amp;range=A1:J1","Click"))</f>
        <v>Click</v>
      </c>
      <c r="B196" s="19" t="str">
        <f>IFERROR(__xludf.DUMMYFUNCTION("""COMPUTED_VALUE"""),"CSSN")</f>
        <v>CSSN</v>
      </c>
      <c r="C196" s="17" t="str">
        <f>IFERROR(__xludf.DUMMYFUNCTION("""COMPUTED_VALUE"""),"Md Shamsur Shafi Nur E Aziz")</f>
        <v>Md Shamsur Shafi Nur E Aziz</v>
      </c>
      <c r="D196" s="16" t="str">
        <f>IFERROR(__xludf.DUMMYFUNCTION("""COMPUTED_VALUE"""),"C. Lecturer")</f>
        <v>C. Lecturer</v>
      </c>
      <c r="E196" s="16" t="str">
        <f>IFERROR(__xludf.DUMMYFUNCTION("""COMPUTED_VALUE"""),"Contractual")</f>
        <v>Contractual</v>
      </c>
      <c r="F196" s="16" t="str">
        <f>IFERROR(__xludf.DUMMYFUNCTION("""COMPUTED_VALUE"""),"4P")</f>
        <v>4P</v>
      </c>
      <c r="G196" s="17" t="str">
        <f>IFERROR(__xludf.DUMMYFUNCTION("""COMPUTED_VALUE"""),"ext.shamsur.aziz@bracu.ac.bd")</f>
        <v>ext.shamsur.aziz@bracu.ac.bd</v>
      </c>
    </row>
    <row r="197">
      <c r="A197" s="18" t="str">
        <f t="array" ref="A197">IF(ISBLANK(B197),,HYPERLINK("https://docs.google.com/spreadsheets/d/1aZ_8do2w3aA382MhZyJKG5amXZ6fpthJYoLsdM9x0gU/edit?gid="&amp;XLOOKUP(B197,ID___!A:A,ID___!B:B,"")&amp;"#gid="&amp;XLOOKUP(B197,ID___!A:A,ID___!B:B,"")&amp;"&amp;range=A1:J1","Click"))</f>
        <v>Click</v>
      </c>
      <c r="B197" s="19" t="str">
        <f>IFERROR(__xludf.DUMMYFUNCTION("""COMPUTED_VALUE"""),"CSYR")</f>
        <v>CSYR</v>
      </c>
      <c r="C197" s="17" t="str">
        <f>IFERROR(__xludf.DUMMYFUNCTION("""COMPUTED_VALUE"""),"Sayeedur Rahman")</f>
        <v>Sayeedur Rahman</v>
      </c>
      <c r="D197" s="16" t="str">
        <f>IFERROR(__xludf.DUMMYFUNCTION("""COMPUTED_VALUE"""),"C. Lecturer")</f>
        <v>C. Lecturer</v>
      </c>
      <c r="E197" s="16" t="str">
        <f>IFERROR(__xludf.DUMMYFUNCTION("""COMPUTED_VALUE"""),"Contractual")</f>
        <v>Contractual</v>
      </c>
      <c r="F197" s="16" t="str">
        <f>IFERROR(__xludf.DUMMYFUNCTION("""COMPUTED_VALUE"""),"4P")</f>
        <v>4P</v>
      </c>
      <c r="G197" s="17" t="str">
        <f>IFERROR(__xludf.DUMMYFUNCTION("""COMPUTED_VALUE"""),"ext.sayeedur.rahman@bracu.ac.bd")</f>
        <v>ext.sayeedur.rahman@bracu.ac.bd</v>
      </c>
    </row>
    <row r="198">
      <c r="A198" s="18" t="str">
        <f t="array" ref="A198">IF(ISBLANK(B198),,HYPERLINK("https://docs.google.com/spreadsheets/d/1aZ_8do2w3aA382MhZyJKG5amXZ6fpthJYoLsdM9x0gU/edit?gid="&amp;XLOOKUP(B198,ID___!A:A,ID___!B:B,"")&amp;"#gid="&amp;XLOOKUP(B198,ID___!A:A,ID___!B:B,"")&amp;"&amp;range=A1:J1","Click"))</f>
        <v>Click</v>
      </c>
      <c r="B198" s="19" t="str">
        <f>IFERROR(__xludf.DUMMYFUNCTION("""COMPUTED_VALUE"""),"DPRN")</f>
        <v>DPRN</v>
      </c>
      <c r="C198" s="17" t="str">
        <f>IFERROR(__xludf.DUMMYFUNCTION("""COMPUTED_VALUE"""),"Dipika Rani Nath")</f>
        <v>Dipika Rani Nath</v>
      </c>
      <c r="D198" s="16" t="str">
        <f>IFERROR(__xludf.DUMMYFUNCTION("""COMPUTED_VALUE"""),"C. Lecturer")</f>
        <v>C. Lecturer</v>
      </c>
      <c r="E198" s="16" t="str">
        <f>IFERROR(__xludf.DUMMYFUNCTION("""COMPUTED_VALUE"""),"Contractual")</f>
        <v>Contractual</v>
      </c>
      <c r="F198" s="16" t="str">
        <f>IFERROR(__xludf.DUMMYFUNCTION("""COMPUTED_VALUE"""),"4P")</f>
        <v>4P</v>
      </c>
      <c r="G198" s="17" t="str">
        <f>IFERROR(__xludf.DUMMYFUNCTION("""COMPUTED_VALUE"""),"ext.dipika.rani@bracu.ac.bd")</f>
        <v>ext.dipika.rani@bracu.ac.bd</v>
      </c>
    </row>
    <row r="199">
      <c r="A199" s="18" t="str">
        <f t="array" ref="A199">IF(ISBLANK(B199),,HYPERLINK("https://docs.google.com/spreadsheets/d/1aZ_8do2w3aA382MhZyJKG5amXZ6fpthJYoLsdM9x0gU/edit?gid="&amp;XLOOKUP(B199,ID___!A:A,ID___!B:B,"")&amp;"#gid="&amp;XLOOKUP(B199,ID___!A:A,ID___!B:B,"")&amp;"&amp;range=A1:J1","Click"))</f>
        <v>Click</v>
      </c>
      <c r="B199" s="19" t="str">
        <f>IFERROR(__xludf.DUMMYFUNCTION("""COMPUTED_VALUE"""),"FDM")</f>
        <v>FDM</v>
      </c>
      <c r="C199" s="17" t="str">
        <f>IFERROR(__xludf.DUMMYFUNCTION("""COMPUTED_VALUE"""),"Md Fardin Rahman Ami")</f>
        <v>Md Fardin Rahman Ami</v>
      </c>
      <c r="D199" s="16" t="str">
        <f>IFERROR(__xludf.DUMMYFUNCTION("""COMPUTED_VALUE"""),"C. Lecturer")</f>
        <v>C. Lecturer</v>
      </c>
      <c r="E199" s="16" t="str">
        <f>IFERROR(__xludf.DUMMYFUNCTION("""COMPUTED_VALUE"""),"Contractual")</f>
        <v>Contractual</v>
      </c>
      <c r="F199" s="16" t="str">
        <f>IFERROR(__xludf.DUMMYFUNCTION("""COMPUTED_VALUE"""),"4P")</f>
        <v>4P</v>
      </c>
      <c r="G199" s="17" t="str">
        <f>IFERROR(__xludf.DUMMYFUNCTION("""COMPUTED_VALUE"""),"ext.fardin.rahman@bracu.ac.bd")</f>
        <v>ext.fardin.rahman@bracu.ac.bd</v>
      </c>
    </row>
    <row r="200">
      <c r="A200" s="18" t="str">
        <f t="array" ref="A200">IF(ISBLANK(B200),,HYPERLINK("https://docs.google.com/spreadsheets/d/1aZ_8do2w3aA382MhZyJKG5amXZ6fpthJYoLsdM9x0gU/edit?gid="&amp;XLOOKUP(B200,ID___!A:A,ID___!B:B,"")&amp;"#gid="&amp;XLOOKUP(B200,ID___!A:A,ID___!B:B,"")&amp;"&amp;range=A1:J1","Click"))</f>
        <v>Click</v>
      </c>
      <c r="B200" s="19" t="str">
        <f>IFERROR(__xludf.DUMMYFUNCTION("""COMPUTED_VALUE"""),"FDZ")</f>
        <v>FDZ</v>
      </c>
      <c r="C200" s="17" t="str">
        <f>IFERROR(__xludf.DUMMYFUNCTION("""COMPUTED_VALUE"""),"Fardin Zaman")</f>
        <v>Fardin Zaman</v>
      </c>
      <c r="D200" s="16" t="str">
        <f>IFERROR(__xludf.DUMMYFUNCTION("""COMPUTED_VALUE"""),"C. Lecturer")</f>
        <v>C. Lecturer</v>
      </c>
      <c r="E200" s="16" t="str">
        <f>IFERROR(__xludf.DUMMYFUNCTION("""COMPUTED_VALUE"""),"Contractual")</f>
        <v>Contractual</v>
      </c>
      <c r="F200" s="16" t="str">
        <f>IFERROR(__xludf.DUMMYFUNCTION("""COMPUTED_VALUE"""),"4P")</f>
        <v>4P</v>
      </c>
      <c r="G200" s="17" t="str">
        <f>IFERROR(__xludf.DUMMYFUNCTION("""COMPUTED_VALUE"""),"ext.fardin.zaman@bracu.ac.bd")</f>
        <v>ext.fardin.zaman@bracu.ac.bd</v>
      </c>
    </row>
    <row r="201">
      <c r="A201" s="18" t="str">
        <f t="array" ref="A201">IF(ISBLANK(B201),,HYPERLINK("https://docs.google.com/spreadsheets/d/1aZ_8do2w3aA382MhZyJKG5amXZ6fpthJYoLsdM9x0gU/edit?gid="&amp;XLOOKUP(B201,ID___!A:A,ID___!B:B,"")&amp;"#gid="&amp;XLOOKUP(B201,ID___!A:A,ID___!B:B,"")&amp;"&amp;range=A1:J1","Click"))</f>
        <v>Click</v>
      </c>
      <c r="B201" s="19" t="str">
        <f>IFERROR(__xludf.DUMMYFUNCTION("""COMPUTED_VALUE"""),"FMK")</f>
        <v>FMK</v>
      </c>
      <c r="C201" s="17" t="str">
        <f>IFERROR(__xludf.DUMMYFUNCTION("""COMPUTED_VALUE"""),"Md. Saif Mokarrom")</f>
        <v>Md. Saif Mokarrom</v>
      </c>
      <c r="D201" s="16" t="str">
        <f>IFERROR(__xludf.DUMMYFUNCTION("""COMPUTED_VALUE"""),"C. Lecturer")</f>
        <v>C. Lecturer</v>
      </c>
      <c r="E201" s="16" t="str">
        <f>IFERROR(__xludf.DUMMYFUNCTION("""COMPUTED_VALUE"""),"Contractual")</f>
        <v>Contractual</v>
      </c>
      <c r="F201" s="16" t="str">
        <f>IFERROR(__xludf.DUMMYFUNCTION("""COMPUTED_VALUE"""),"4P")</f>
        <v>4P</v>
      </c>
      <c r="G201" s="17" t="str">
        <f>IFERROR(__xludf.DUMMYFUNCTION("""COMPUTED_VALUE"""),"ext.md.saif.mokarrom@bracu.ac.bd")</f>
        <v>ext.md.saif.mokarrom@bracu.ac.bd</v>
      </c>
    </row>
    <row r="202">
      <c r="A202" s="18" t="str">
        <f t="array" ref="A202">IF(ISBLANK(B202),,HYPERLINK("https://docs.google.com/spreadsheets/d/1aZ_8do2w3aA382MhZyJKG5amXZ6fpthJYoLsdM9x0gU/edit?gid="&amp;XLOOKUP(B202,ID___!A:A,ID___!B:B,"")&amp;"#gid="&amp;XLOOKUP(B202,ID___!A:A,ID___!B:B,"")&amp;"&amp;range=A1:J1","Click"))</f>
        <v>Click</v>
      </c>
      <c r="B202" s="19" t="str">
        <f>IFERROR(__xludf.DUMMYFUNCTION("""COMPUTED_VALUE"""),"HBN")</f>
        <v>HBN</v>
      </c>
      <c r="C202" s="17" t="str">
        <f>IFERROR(__xludf.DUMMYFUNCTION("""COMPUTED_VALUE"""),"Hamim Ibne Nasim")</f>
        <v>Hamim Ibne Nasim</v>
      </c>
      <c r="D202" s="16" t="str">
        <f>IFERROR(__xludf.DUMMYFUNCTION("""COMPUTED_VALUE"""),"C. Lecturer")</f>
        <v>C. Lecturer</v>
      </c>
      <c r="E202" s="16" t="str">
        <f>IFERROR(__xludf.DUMMYFUNCTION("""COMPUTED_VALUE"""),"Contractual")</f>
        <v>Contractual</v>
      </c>
      <c r="F202" s="16" t="str">
        <f>IFERROR(__xludf.DUMMYFUNCTION("""COMPUTED_VALUE"""),"4P")</f>
        <v>4P</v>
      </c>
      <c r="G202" s="17" t="str">
        <f>IFERROR(__xludf.DUMMYFUNCTION("""COMPUTED_VALUE"""),"ext.hamim.nasim@bracu.ac.bd")</f>
        <v>ext.hamim.nasim@bracu.ac.bd</v>
      </c>
    </row>
    <row r="203">
      <c r="A203" s="18" t="str">
        <f t="array" ref="A203">IF(ISBLANK(B203),,HYPERLINK("https://docs.google.com/spreadsheets/d/1aZ_8do2w3aA382MhZyJKG5amXZ6fpthJYoLsdM9x0gU/edit?gid="&amp;XLOOKUP(B203,ID___!A:A,ID___!B:B,"")&amp;"#gid="&amp;XLOOKUP(B203,ID___!A:A,ID___!B:B,"")&amp;"&amp;range=A1:J1","Click"))</f>
        <v>Click</v>
      </c>
      <c r="B203" s="19" t="str">
        <f>IFERROR(__xludf.DUMMYFUNCTION("""COMPUTED_VALUE"""),"IRZ")</f>
        <v>IRZ</v>
      </c>
      <c r="C203" s="17" t="str">
        <f>IFERROR(__xludf.DUMMYFUNCTION("""COMPUTED_VALUE"""),"Md. Irtiza Hossain")</f>
        <v>Md. Irtiza Hossain</v>
      </c>
      <c r="D203" s="16" t="str">
        <f>IFERROR(__xludf.DUMMYFUNCTION("""COMPUTED_VALUE"""),"C. Lecturer")</f>
        <v>C. Lecturer</v>
      </c>
      <c r="E203" s="16" t="str">
        <f>IFERROR(__xludf.DUMMYFUNCTION("""COMPUTED_VALUE"""),"Contractual")</f>
        <v>Contractual</v>
      </c>
      <c r="F203" s="16" t="str">
        <f>IFERROR(__xludf.DUMMYFUNCTION("""COMPUTED_VALUE"""),"4P")</f>
        <v>4P</v>
      </c>
      <c r="G203" s="17" t="str">
        <f>IFERROR(__xludf.DUMMYFUNCTION("""COMPUTED_VALUE"""),"ext.irtiza.hossain@bracu.ac.bd")</f>
        <v>ext.irtiza.hossain@bracu.ac.bd</v>
      </c>
    </row>
    <row r="204">
      <c r="A204" s="18" t="str">
        <f t="array" ref="A204">IF(ISBLANK(B204),,HYPERLINK("https://docs.google.com/spreadsheets/d/1aZ_8do2w3aA382MhZyJKG5amXZ6fpthJYoLsdM9x0gU/edit?gid="&amp;XLOOKUP(B204,ID___!A:A,ID___!B:B,"")&amp;"#gid="&amp;XLOOKUP(B204,ID___!A:A,ID___!B:B,"")&amp;"&amp;range=A1:J1","Click"))</f>
        <v>Click</v>
      </c>
      <c r="B204" s="19" t="str">
        <f>IFERROR(__xludf.DUMMYFUNCTION("""COMPUTED_VALUE"""),"KBS")</f>
        <v>KBS</v>
      </c>
      <c r="C204" s="17" t="str">
        <f>IFERROR(__xludf.DUMMYFUNCTION("""COMPUTED_VALUE"""),"Kefaya Benta Shahnoor")</f>
        <v>Kefaya Benta Shahnoor</v>
      </c>
      <c r="D204" s="16" t="str">
        <f>IFERROR(__xludf.DUMMYFUNCTION("""COMPUTED_VALUE"""),"C. Lecturer")</f>
        <v>C. Lecturer</v>
      </c>
      <c r="E204" s="16" t="str">
        <f>IFERROR(__xludf.DUMMYFUNCTION("""COMPUTED_VALUE"""),"Contractual")</f>
        <v>Contractual</v>
      </c>
      <c r="F204" s="16" t="str">
        <f>IFERROR(__xludf.DUMMYFUNCTION("""COMPUTED_VALUE"""),"4P")</f>
        <v>4P</v>
      </c>
      <c r="G204" s="17" t="str">
        <f>IFERROR(__xludf.DUMMYFUNCTION("""COMPUTED_VALUE"""),"ext.kefaya.shahnoor@bracu.ac.bd")</f>
        <v>ext.kefaya.shahnoor@bracu.ac.bd</v>
      </c>
    </row>
    <row r="205">
      <c r="A205" s="18" t="str">
        <f t="array" ref="A205">IF(ISBLANK(B205),,HYPERLINK("https://docs.google.com/spreadsheets/d/1aZ_8do2w3aA382MhZyJKG5amXZ6fpthJYoLsdM9x0gU/edit?gid="&amp;XLOOKUP(B205,ID___!A:A,ID___!B:B,"")&amp;"#gid="&amp;XLOOKUP(B205,ID___!A:A,ID___!B:B,"")&amp;"&amp;range=A1:J1","Click"))</f>
        <v>Click</v>
      </c>
      <c r="B205" s="19" t="str">
        <f>IFERROR(__xludf.DUMMYFUNCTION("""COMPUTED_VALUE"""),"LMI")</f>
        <v>LMI</v>
      </c>
      <c r="C205" s="17" t="str">
        <f>IFERROR(__xludf.DUMMYFUNCTION("""COMPUTED_VALUE"""),"Lamiah Israt")</f>
        <v>Lamiah Israt</v>
      </c>
      <c r="D205" s="16" t="str">
        <f>IFERROR(__xludf.DUMMYFUNCTION("""COMPUTED_VALUE"""),"C. Lecturer")</f>
        <v>C. Lecturer</v>
      </c>
      <c r="E205" s="16" t="str">
        <f>IFERROR(__xludf.DUMMYFUNCTION("""COMPUTED_VALUE"""),"Contractual")</f>
        <v>Contractual</v>
      </c>
      <c r="F205" s="16" t="str">
        <f>IFERROR(__xludf.DUMMYFUNCTION("""COMPUTED_VALUE"""),"4P")</f>
        <v>4P</v>
      </c>
      <c r="G205" s="17" t="str">
        <f>IFERROR(__xludf.DUMMYFUNCTION("""COMPUTED_VALUE"""),"lamiah.israt@bracu.ac.bd")</f>
        <v>lamiah.israt@bracu.ac.bd</v>
      </c>
    </row>
    <row r="206">
      <c r="A206" s="18" t="str">
        <f t="array" ref="A206">IF(ISBLANK(B206),,HYPERLINK("https://docs.google.com/spreadsheets/d/1aZ_8do2w3aA382MhZyJKG5amXZ6fpthJYoLsdM9x0gU/edit?gid="&amp;XLOOKUP(B206,ID___!A:A,ID___!B:B,"")&amp;"#gid="&amp;XLOOKUP(B206,ID___!A:A,ID___!B:B,"")&amp;"&amp;range=A1:J1","Click"))</f>
        <v>Click</v>
      </c>
      <c r="B206" s="19" t="str">
        <f>IFERROR(__xludf.DUMMYFUNCTION("""COMPUTED_VALUE"""),"MAF")</f>
        <v>MAF</v>
      </c>
      <c r="C206" s="17" t="str">
        <f>IFERROR(__xludf.DUMMYFUNCTION("""COMPUTED_VALUE"""),"MD ASIF")</f>
        <v>MD ASIF</v>
      </c>
      <c r="D206" s="16" t="str">
        <f>IFERROR(__xludf.DUMMYFUNCTION("""COMPUTED_VALUE"""),"C. Lecturer")</f>
        <v>C. Lecturer</v>
      </c>
      <c r="E206" s="16" t="str">
        <f>IFERROR(__xludf.DUMMYFUNCTION("""COMPUTED_VALUE"""),"Contractual")</f>
        <v>Contractual</v>
      </c>
      <c r="F206" s="16" t="str">
        <f>IFERROR(__xludf.DUMMYFUNCTION("""COMPUTED_VALUE"""),"4P")</f>
        <v>4P</v>
      </c>
      <c r="G206" s="17" t="str">
        <f>IFERROR(__xludf.DUMMYFUNCTION("""COMPUTED_VALUE"""),"ext.md.asif@bracu.ac.bd")</f>
        <v>ext.md.asif@bracu.ac.bd</v>
      </c>
    </row>
    <row r="207">
      <c r="A207" s="18" t="str">
        <f t="array" ref="A207">IF(ISBLANK(B207),,HYPERLINK("https://docs.google.com/spreadsheets/d/1aZ_8do2w3aA382MhZyJKG5amXZ6fpthJYoLsdM9x0gU/edit?gid="&amp;XLOOKUP(B207,ID___!A:A,ID___!B:B,"")&amp;"#gid="&amp;XLOOKUP(B207,ID___!A:A,ID___!B:B,"")&amp;"&amp;range=A1:J1","Click"))</f>
        <v>Click</v>
      </c>
      <c r="B207" s="19" t="str">
        <f>IFERROR(__xludf.DUMMYFUNCTION("""COMPUTED_VALUE"""),"MCW")</f>
        <v>MCW</v>
      </c>
      <c r="C207" s="17" t="str">
        <f>IFERROR(__xludf.DUMMYFUNCTION("""COMPUTED_VALUE"""),"Mahjabin Chowdhury")</f>
        <v>Mahjabin Chowdhury</v>
      </c>
      <c r="D207" s="16" t="str">
        <f>IFERROR(__xludf.DUMMYFUNCTION("""COMPUTED_VALUE"""),"C. Lecturer")</f>
        <v>C. Lecturer</v>
      </c>
      <c r="E207" s="16" t="str">
        <f>IFERROR(__xludf.DUMMYFUNCTION("""COMPUTED_VALUE"""),"Contractual")</f>
        <v>Contractual</v>
      </c>
      <c r="F207" s="16" t="str">
        <f>IFERROR(__xludf.DUMMYFUNCTION("""COMPUTED_VALUE"""),"4P")</f>
        <v>4P</v>
      </c>
      <c r="G207" s="17" t="str">
        <f>IFERROR(__xludf.DUMMYFUNCTION("""COMPUTED_VALUE"""),"ext.mahjabin@bracu.ac.bd")</f>
        <v>ext.mahjabin@bracu.ac.bd</v>
      </c>
    </row>
    <row r="208">
      <c r="A208" s="18" t="str">
        <f t="array" ref="A208">IF(ISBLANK(B208),,HYPERLINK("https://docs.google.com/spreadsheets/d/1aZ_8do2w3aA382MhZyJKG5amXZ6fpthJYoLsdM9x0gU/edit?gid="&amp;XLOOKUP(B208,ID___!A:A,ID___!B:B,"")&amp;"#gid="&amp;XLOOKUP(B208,ID___!A:A,ID___!B:B,"")&amp;"&amp;range=A1:J1","Click"))</f>
        <v>Click</v>
      </c>
      <c r="B208" s="19" t="str">
        <f>IFERROR(__xludf.DUMMYFUNCTION("""COMPUTED_VALUE"""),"MHM")</f>
        <v>MHM</v>
      </c>
      <c r="C208" s="17" t="str">
        <f>IFERROR(__xludf.DUMMYFUNCTION("""COMPUTED_VALUE"""),"Maharin Mosfakin")</f>
        <v>Maharin Mosfakin</v>
      </c>
      <c r="D208" s="16" t="str">
        <f>IFERROR(__xludf.DUMMYFUNCTION("""COMPUTED_VALUE"""),"C. Lecturer")</f>
        <v>C. Lecturer</v>
      </c>
      <c r="E208" s="16" t="str">
        <f>IFERROR(__xludf.DUMMYFUNCTION("""COMPUTED_VALUE"""),"Contractual")</f>
        <v>Contractual</v>
      </c>
      <c r="F208" s="16" t="str">
        <f>IFERROR(__xludf.DUMMYFUNCTION("""COMPUTED_VALUE"""),"4P")</f>
        <v>4P</v>
      </c>
      <c r="G208" s="17" t="str">
        <f>IFERROR(__xludf.DUMMYFUNCTION("""COMPUTED_VALUE"""),"ext.maharin.mosfakin@bracu.ac.bd")</f>
        <v>ext.maharin.mosfakin@bracu.ac.bd</v>
      </c>
    </row>
    <row r="209">
      <c r="A209" s="18" t="str">
        <f t="array" ref="A209">IF(ISBLANK(B209),,HYPERLINK("https://docs.google.com/spreadsheets/d/1aZ_8do2w3aA382MhZyJKG5amXZ6fpthJYoLsdM9x0gU/edit?gid="&amp;XLOOKUP(B209,ID___!A:A,ID___!B:B,"")&amp;"#gid="&amp;XLOOKUP(B209,ID___!A:A,ID___!B:B,"")&amp;"&amp;range=A1:J1","Click"))</f>
        <v>Click</v>
      </c>
      <c r="B209" s="19" t="str">
        <f>IFERROR(__xludf.DUMMYFUNCTION("""COMPUTED_VALUE"""),"MHY")</f>
        <v>MHY</v>
      </c>
      <c r="C209" s="17" t="str">
        <f>IFERROR(__xludf.DUMMYFUNCTION("""COMPUTED_VALUE"""),"Abu Musa Al Ashary")</f>
        <v>Abu Musa Al Ashary</v>
      </c>
      <c r="D209" s="16" t="str">
        <f>IFERROR(__xludf.DUMMYFUNCTION("""COMPUTED_VALUE"""),"C. Lecturer")</f>
        <v>C. Lecturer</v>
      </c>
      <c r="E209" s="16" t="str">
        <f>IFERROR(__xludf.DUMMYFUNCTION("""COMPUTED_VALUE"""),"Contractual")</f>
        <v>Contractual</v>
      </c>
      <c r="F209" s="16" t="str">
        <f>IFERROR(__xludf.DUMMYFUNCTION("""COMPUTED_VALUE"""),"4P")</f>
        <v>4P</v>
      </c>
      <c r="G209" s="17" t="str">
        <f>IFERROR(__xludf.DUMMYFUNCTION("""COMPUTED_VALUE"""),"ext.abu.musa@bracu.ac.bd")</f>
        <v>ext.abu.musa@bracu.ac.bd</v>
      </c>
    </row>
    <row r="210">
      <c r="A210" s="18" t="str">
        <f t="array" ref="A210">IF(ISBLANK(B210),,HYPERLINK("https://docs.google.com/spreadsheets/d/1aZ_8do2w3aA382MhZyJKG5amXZ6fpthJYoLsdM9x0gU/edit?gid="&amp;XLOOKUP(B210,ID___!A:A,ID___!B:B,"")&amp;"#gid="&amp;XLOOKUP(B210,ID___!A:A,ID___!B:B,"")&amp;"&amp;range=A1:J1","Click"))</f>
        <v>Click</v>
      </c>
      <c r="B210" s="19" t="str">
        <f>IFERROR(__xludf.DUMMYFUNCTION("""COMPUTED_VALUE"""),"MLH")</f>
        <v>MLH</v>
      </c>
      <c r="C210" s="17" t="str">
        <f>IFERROR(__xludf.DUMMYFUNCTION("""COMPUTED_VALUE"""),"Monirul Haque")</f>
        <v>Monirul Haque</v>
      </c>
      <c r="D210" s="16" t="str">
        <f>IFERROR(__xludf.DUMMYFUNCTION("""COMPUTED_VALUE"""),"C. Lecturer")</f>
        <v>C. Lecturer</v>
      </c>
      <c r="E210" s="16" t="str">
        <f>IFERROR(__xludf.DUMMYFUNCTION("""COMPUTED_VALUE"""),"Contractual")</f>
        <v>Contractual</v>
      </c>
      <c r="F210" s="16" t="str">
        <f>IFERROR(__xludf.DUMMYFUNCTION("""COMPUTED_VALUE"""),"4P")</f>
        <v>4P</v>
      </c>
      <c r="G210" s="17" t="str">
        <f>IFERROR(__xludf.DUMMYFUNCTION("""COMPUTED_VALUE"""),"ext.monirul.haque@bracu.ac.bd")</f>
        <v>ext.monirul.haque@bracu.ac.bd</v>
      </c>
    </row>
    <row r="211">
      <c r="A211" s="18" t="str">
        <f t="array" ref="A211">IF(ISBLANK(B211),,HYPERLINK("https://docs.google.com/spreadsheets/d/1aZ_8do2w3aA382MhZyJKG5amXZ6fpthJYoLsdM9x0gU/edit?gid="&amp;XLOOKUP(B211,ID___!A:A,ID___!B:B,"")&amp;"#gid="&amp;XLOOKUP(B211,ID___!A:A,ID___!B:B,"")&amp;"&amp;range=A1:J1","Click"))</f>
        <v>Click</v>
      </c>
      <c r="B211" s="19" t="str">
        <f>IFERROR(__xludf.DUMMYFUNCTION("""COMPUTED_VALUE"""),"MTOT")</f>
        <v>MTOT</v>
      </c>
      <c r="C211" s="17" t="str">
        <f>IFERROR(__xludf.DUMMYFUNCTION("""COMPUTED_VALUE"""),"Md Toky Tazwar")</f>
        <v>Md Toky Tazwar</v>
      </c>
      <c r="D211" s="16" t="str">
        <f>IFERROR(__xludf.DUMMYFUNCTION("""COMPUTED_VALUE"""),"C. Lecturer")</f>
        <v>C. Lecturer</v>
      </c>
      <c r="E211" s="16" t="str">
        <f>IFERROR(__xludf.DUMMYFUNCTION("""COMPUTED_VALUE"""),"Contractual")</f>
        <v>Contractual</v>
      </c>
      <c r="F211" s="16" t="str">
        <f>IFERROR(__xludf.DUMMYFUNCTION("""COMPUTED_VALUE"""),"4P")</f>
        <v>4P</v>
      </c>
      <c r="G211" s="17" t="str">
        <f>IFERROR(__xludf.DUMMYFUNCTION("""COMPUTED_VALUE"""),"ext.toky.tazwar@bracu.ac.bd")</f>
        <v>ext.toky.tazwar@bracu.ac.bd</v>
      </c>
    </row>
    <row r="212">
      <c r="A212" s="18" t="str">
        <f t="array" ref="A212">IF(ISBLANK(B212),,HYPERLINK("https://docs.google.com/spreadsheets/d/1aZ_8do2w3aA382MhZyJKG5amXZ6fpthJYoLsdM9x0gU/edit?gid="&amp;XLOOKUP(B212,ID___!A:A,ID___!B:B,"")&amp;"#gid="&amp;XLOOKUP(B212,ID___!A:A,ID___!B:B,"")&amp;"&amp;range=A1:J1","Click"))</f>
        <v>Click</v>
      </c>
      <c r="B212" s="19" t="str">
        <f>IFERROR(__xludf.DUMMYFUNCTION("""COMPUTED_VALUE"""),"MZFZ")</f>
        <v>MZFZ</v>
      </c>
      <c r="C212" s="17" t="str">
        <f>IFERROR(__xludf.DUMMYFUNCTION("""COMPUTED_VALUE"""),"Mehnaz Ara Fazal")</f>
        <v>Mehnaz Ara Fazal</v>
      </c>
      <c r="D212" s="16" t="str">
        <f>IFERROR(__xludf.DUMMYFUNCTION("""COMPUTED_VALUE"""),"C. Lecturer")</f>
        <v>C. Lecturer</v>
      </c>
      <c r="E212" s="16" t="str">
        <f>IFERROR(__xludf.DUMMYFUNCTION("""COMPUTED_VALUE"""),"Contractual")</f>
        <v>Contractual</v>
      </c>
      <c r="F212" s="16" t="str">
        <f>IFERROR(__xludf.DUMMYFUNCTION("""COMPUTED_VALUE"""),"4P")</f>
        <v>4P</v>
      </c>
      <c r="G212" s="17" t="str">
        <f>IFERROR(__xludf.DUMMYFUNCTION("""COMPUTED_VALUE"""),"ext.mehnaz.fazal@bracu.ac.bd")</f>
        <v>ext.mehnaz.fazal@bracu.ac.bd</v>
      </c>
    </row>
    <row r="213">
      <c r="A213" s="18" t="str">
        <f t="array" ref="A213">IF(ISBLANK(B213),,HYPERLINK("https://docs.google.com/spreadsheets/d/1aZ_8do2w3aA382MhZyJKG5amXZ6fpthJYoLsdM9x0gU/edit?gid="&amp;XLOOKUP(B213,ID___!A:A,ID___!B:B,"")&amp;"#gid="&amp;XLOOKUP(B213,ID___!A:A,ID___!B:B,"")&amp;"&amp;range=A1:J1","Click"))</f>
        <v>Click</v>
      </c>
      <c r="B213" s="19" t="str">
        <f>IFERROR(__xludf.DUMMYFUNCTION("""COMPUTED_VALUE"""),"MZW")</f>
        <v>MZW</v>
      </c>
      <c r="C213" s="17" t="str">
        <f>IFERROR(__xludf.DUMMYFUNCTION("""COMPUTED_VALUE"""),"Maazin Munawar")</f>
        <v>Maazin Munawar</v>
      </c>
      <c r="D213" s="16" t="str">
        <f>IFERROR(__xludf.DUMMYFUNCTION("""COMPUTED_VALUE"""),"C. Lecturer")</f>
        <v>C. Lecturer</v>
      </c>
      <c r="E213" s="16" t="str">
        <f>IFERROR(__xludf.DUMMYFUNCTION("""COMPUTED_VALUE"""),"Contractual")</f>
        <v>Contractual</v>
      </c>
      <c r="F213" s="16" t="str">
        <f>IFERROR(__xludf.DUMMYFUNCTION("""COMPUTED_VALUE"""),"4P")</f>
        <v>4P</v>
      </c>
      <c r="G213" s="17" t="str">
        <f>IFERROR(__xludf.DUMMYFUNCTION("""COMPUTED_VALUE"""),"ext.maazin.munawar@bracu.ac.bd")</f>
        <v>ext.maazin.munawar@bracu.ac.bd</v>
      </c>
    </row>
    <row r="214">
      <c r="A214" s="18" t="str">
        <f t="array" ref="A214">IF(ISBLANK(B214),,HYPERLINK("https://docs.google.com/spreadsheets/d/1aZ_8do2w3aA382MhZyJKG5amXZ6fpthJYoLsdM9x0gU/edit?gid="&amp;XLOOKUP(B214,ID___!A:A,ID___!B:B,"")&amp;"#gid="&amp;XLOOKUP(B214,ID___!A:A,ID___!B:B,"")&amp;"&amp;range=A1:J1","Click"))</f>
        <v>Click</v>
      </c>
      <c r="B214" s="19" t="str">
        <f>IFERROR(__xludf.DUMMYFUNCTION("""COMPUTED_VALUE"""),"NFF")</f>
        <v>NFF</v>
      </c>
      <c r="C214" s="17" t="str">
        <f>IFERROR(__xludf.DUMMYFUNCTION("""COMPUTED_VALUE"""),"Nafiz Imtiaz Rafin")</f>
        <v>Nafiz Imtiaz Rafin</v>
      </c>
      <c r="D214" s="16" t="str">
        <f>IFERROR(__xludf.DUMMYFUNCTION("""COMPUTED_VALUE"""),"C. Lecturer")</f>
        <v>C. Lecturer</v>
      </c>
      <c r="E214" s="16" t="str">
        <f>IFERROR(__xludf.DUMMYFUNCTION("""COMPUTED_VALUE"""),"Contractual")</f>
        <v>Contractual</v>
      </c>
      <c r="F214" s="16" t="str">
        <f>IFERROR(__xludf.DUMMYFUNCTION("""COMPUTED_VALUE"""),"4P")</f>
        <v>4P</v>
      </c>
      <c r="G214" s="17" t="str">
        <f>IFERROR(__xludf.DUMMYFUNCTION("""COMPUTED_VALUE"""),"ext.nafiz.rafin@bracu.ac.bd")</f>
        <v>ext.nafiz.rafin@bracu.ac.bd</v>
      </c>
    </row>
    <row r="215">
      <c r="A215" s="18" t="str">
        <f t="array" ref="A215">IF(ISBLANK(B215),,HYPERLINK("https://docs.google.com/spreadsheets/d/1aZ_8do2w3aA382MhZyJKG5amXZ6fpthJYoLsdM9x0gU/edit?gid="&amp;XLOOKUP(B215,ID___!A:A,ID___!B:B,"")&amp;"#gid="&amp;XLOOKUP(B215,ID___!A:A,ID___!B:B,"")&amp;"&amp;range=A1:J1","Click"))</f>
        <v>Click</v>
      </c>
      <c r="B215" s="19" t="str">
        <f>IFERROR(__xludf.DUMMYFUNCTION("""COMPUTED_VALUE"""),"NFS")</f>
        <v>NFS</v>
      </c>
      <c r="C215" s="17" t="str">
        <f>IFERROR(__xludf.DUMMYFUNCTION("""COMPUTED_VALUE"""),"Nafis Faisal")</f>
        <v>Nafis Faisal</v>
      </c>
      <c r="D215" s="16" t="str">
        <f>IFERROR(__xludf.DUMMYFUNCTION("""COMPUTED_VALUE"""),"C. Lecturer")</f>
        <v>C. Lecturer</v>
      </c>
      <c r="E215" s="16" t="str">
        <f>IFERROR(__xludf.DUMMYFUNCTION("""COMPUTED_VALUE"""),"Contractual")</f>
        <v>Contractual</v>
      </c>
      <c r="F215" s="16" t="str">
        <f>IFERROR(__xludf.DUMMYFUNCTION("""COMPUTED_VALUE"""),"4P")</f>
        <v>4P</v>
      </c>
      <c r="G215" s="17" t="str">
        <f>IFERROR(__xludf.DUMMYFUNCTION("""COMPUTED_VALUE"""),"ext.nafis.faisal@bracu.ac.bd")</f>
        <v>ext.nafis.faisal@bracu.ac.bd</v>
      </c>
    </row>
    <row r="216">
      <c r="A216" s="18" t="str">
        <f t="array" ref="A216">IF(ISBLANK(B216),,HYPERLINK("https://docs.google.com/spreadsheets/d/1aZ_8do2w3aA382MhZyJKG5amXZ6fpthJYoLsdM9x0gU/edit?gid="&amp;XLOOKUP(B216,ID___!A:A,ID___!B:B,"")&amp;"#gid="&amp;XLOOKUP(B216,ID___!A:A,ID___!B:B,"")&amp;"&amp;range=A1:J1","Click"))</f>
        <v>Click</v>
      </c>
      <c r="B216" s="19" t="str">
        <f>IFERROR(__xludf.DUMMYFUNCTION("""COMPUTED_VALUE"""),"NMP")</f>
        <v>NMP</v>
      </c>
      <c r="C216" s="17" t="str">
        <f>IFERROR(__xludf.DUMMYFUNCTION("""COMPUTED_VALUE"""),"Namira Mustafiz Pranty")</f>
        <v>Namira Mustafiz Pranty</v>
      </c>
      <c r="D216" s="16" t="str">
        <f>IFERROR(__xludf.DUMMYFUNCTION("""COMPUTED_VALUE"""),"C. Lecturer")</f>
        <v>C. Lecturer</v>
      </c>
      <c r="E216" s="16" t="str">
        <f>IFERROR(__xludf.DUMMYFUNCTION("""COMPUTED_VALUE"""),"Contractual")</f>
        <v>Contractual</v>
      </c>
      <c r="F216" s="16" t="str">
        <f>IFERROR(__xludf.DUMMYFUNCTION("""COMPUTED_VALUE"""),"4P")</f>
        <v>4P</v>
      </c>
      <c r="G216" s="17" t="str">
        <f>IFERROR(__xludf.DUMMYFUNCTION("""COMPUTED_VALUE"""),"ext.namira.pranty@bracu.ac.bd")</f>
        <v>ext.namira.pranty@bracu.ac.bd</v>
      </c>
    </row>
    <row r="217">
      <c r="A217" s="18" t="str">
        <f t="array" ref="A217">IF(ISBLANK(B217),,HYPERLINK("https://docs.google.com/spreadsheets/d/1aZ_8do2w3aA382MhZyJKG5amXZ6fpthJYoLsdM9x0gU/edit?gid="&amp;XLOOKUP(B217,ID___!A:A,ID___!B:B,"")&amp;"#gid="&amp;XLOOKUP(B217,ID___!A:A,ID___!B:B,"")&amp;"&amp;range=A1:J1","Click"))</f>
        <v>Click</v>
      </c>
      <c r="B217" s="19" t="str">
        <f>IFERROR(__xludf.DUMMYFUNCTION("""COMPUTED_VALUE"""),"NQM")</f>
        <v>NQM</v>
      </c>
      <c r="C217" s="17" t="str">
        <f>IFERROR(__xludf.DUMMYFUNCTION("""COMPUTED_VALUE"""),"Md Nafiz Ishtiaque Mahee")</f>
        <v>Md Nafiz Ishtiaque Mahee</v>
      </c>
      <c r="D217" s="16" t="str">
        <f>IFERROR(__xludf.DUMMYFUNCTION("""COMPUTED_VALUE"""),"C. Lecturer")</f>
        <v>C. Lecturer</v>
      </c>
      <c r="E217" s="16" t="str">
        <f>IFERROR(__xludf.DUMMYFUNCTION("""COMPUTED_VALUE"""),"Contractual")</f>
        <v>Contractual</v>
      </c>
      <c r="F217" s="16" t="str">
        <f>IFERROR(__xludf.DUMMYFUNCTION("""COMPUTED_VALUE"""),"4P")</f>
        <v>4P</v>
      </c>
      <c r="G217" s="17" t="str">
        <f>IFERROR(__xludf.DUMMYFUNCTION("""COMPUTED_VALUE"""),"ext.nafiz.ishtiaque@bracu.ac.bd")</f>
        <v>ext.nafiz.ishtiaque@bracu.ac.bd</v>
      </c>
    </row>
    <row r="218">
      <c r="A218" s="18" t="str">
        <f t="array" ref="A218">IF(ISBLANK(B218),,HYPERLINK("https://docs.google.com/spreadsheets/d/1aZ_8do2w3aA382MhZyJKG5amXZ6fpthJYoLsdM9x0gU/edit?gid="&amp;XLOOKUP(B218,ID___!A:A,ID___!B:B,"")&amp;"#gid="&amp;XLOOKUP(B218,ID___!A:A,ID___!B:B,"")&amp;"&amp;range=A1:J1","Click"))</f>
        <v>Click</v>
      </c>
      <c r="B218" s="19" t="str">
        <f>IFERROR(__xludf.DUMMYFUNCTION("""COMPUTED_VALUE"""),"NTN")</f>
        <v>NTN</v>
      </c>
      <c r="C218" s="17" t="str">
        <f>IFERROR(__xludf.DUMMYFUNCTION("""COMPUTED_VALUE"""),"Naima Tahsin Nodi")</f>
        <v>Naima Tahsin Nodi</v>
      </c>
      <c r="D218" s="16" t="str">
        <f>IFERROR(__xludf.DUMMYFUNCTION("""COMPUTED_VALUE"""),"C. Lecturer")</f>
        <v>C. Lecturer</v>
      </c>
      <c r="E218" s="16" t="str">
        <f>IFERROR(__xludf.DUMMYFUNCTION("""COMPUTED_VALUE"""),"Contractual")</f>
        <v>Contractual</v>
      </c>
      <c r="F218" s="16" t="str">
        <f>IFERROR(__xludf.DUMMYFUNCTION("""COMPUTED_VALUE"""),"4P")</f>
        <v>4P</v>
      </c>
      <c r="G218" s="17" t="str">
        <f>IFERROR(__xludf.DUMMYFUNCTION("""COMPUTED_VALUE"""),"ext.naima.tahsin@bracu.ac.bd")</f>
        <v>ext.naima.tahsin@bracu.ac.bd</v>
      </c>
    </row>
    <row r="219">
      <c r="A219" s="18" t="str">
        <f t="array" ref="A219">IF(ISBLANK(B219),,HYPERLINK("https://docs.google.com/spreadsheets/d/1aZ_8do2w3aA382MhZyJKG5amXZ6fpthJYoLsdM9x0gU/edit?gid="&amp;XLOOKUP(B219,ID___!A:A,ID___!B:B,"")&amp;"#gid="&amp;XLOOKUP(B219,ID___!A:A,ID___!B:B,"")&amp;"&amp;range=A1:J1","Click"))</f>
        <v>Click</v>
      </c>
      <c r="B219" s="19" t="str">
        <f>IFERROR(__xludf.DUMMYFUNCTION("""COMPUTED_VALUE"""),"NUR")</f>
        <v>NUR</v>
      </c>
      <c r="C219" s="17" t="str">
        <f>IFERROR(__xludf.DUMMYFUNCTION("""COMPUTED_VALUE"""),"Nur Mohammad Shaon")</f>
        <v>Nur Mohammad Shaon</v>
      </c>
      <c r="D219" s="16" t="str">
        <f>IFERROR(__xludf.DUMMYFUNCTION("""COMPUTED_VALUE"""),"C. Lecturer")</f>
        <v>C. Lecturer</v>
      </c>
      <c r="E219" s="16" t="str">
        <f>IFERROR(__xludf.DUMMYFUNCTION("""COMPUTED_VALUE"""),"Contractual")</f>
        <v>Contractual</v>
      </c>
      <c r="F219" s="16" t="str">
        <f>IFERROR(__xludf.DUMMYFUNCTION("""COMPUTED_VALUE"""),"4P")</f>
        <v>4P</v>
      </c>
      <c r="G219" s="17" t="str">
        <f>IFERROR(__xludf.DUMMYFUNCTION("""COMPUTED_VALUE"""),"ext.nur.shaon@bracu.ac.bd")</f>
        <v>ext.nur.shaon@bracu.ac.bd</v>
      </c>
    </row>
    <row r="220">
      <c r="A220" s="18" t="str">
        <f t="array" ref="A220">IF(ISBLANK(B220),,HYPERLINK("https://docs.google.com/spreadsheets/d/1aZ_8do2w3aA382MhZyJKG5amXZ6fpthJYoLsdM9x0gU/edit?gid="&amp;XLOOKUP(B220,ID___!A:A,ID___!B:B,"")&amp;"#gid="&amp;XLOOKUP(B220,ID___!A:A,ID___!B:B,"")&amp;"&amp;range=A1:J1","Click"))</f>
        <v>Click</v>
      </c>
      <c r="B220" s="19" t="str">
        <f>IFERROR(__xludf.DUMMYFUNCTION("""COMPUTED_VALUE"""),"NWT")</f>
        <v>NWT</v>
      </c>
      <c r="C220" s="17" t="str">
        <f>IFERROR(__xludf.DUMMYFUNCTION("""COMPUTED_VALUE"""),"Nowshin Tabassum")</f>
        <v>Nowshin Tabassum</v>
      </c>
      <c r="D220" s="16" t="str">
        <f>IFERROR(__xludf.DUMMYFUNCTION("""COMPUTED_VALUE"""),"C. Lecturer")</f>
        <v>C. Lecturer</v>
      </c>
      <c r="E220" s="16" t="str">
        <f>IFERROR(__xludf.DUMMYFUNCTION("""COMPUTED_VALUE"""),"Contractual")</f>
        <v>Contractual</v>
      </c>
      <c r="F220" s="16" t="str">
        <f>IFERROR(__xludf.DUMMYFUNCTION("""COMPUTED_VALUE"""),"4P")</f>
        <v>4P</v>
      </c>
      <c r="G220" s="17" t="str">
        <f>IFERROR(__xludf.DUMMYFUNCTION("""COMPUTED_VALUE"""),"ext.nowshin.tabassum@bracu.ac.bd")</f>
        <v>ext.nowshin.tabassum@bracu.ac.bd</v>
      </c>
    </row>
    <row r="221">
      <c r="A221" s="18" t="str">
        <f t="array" ref="A221">IF(ISBLANK(B221),,HYPERLINK("https://docs.google.com/spreadsheets/d/1aZ_8do2w3aA382MhZyJKG5amXZ6fpthJYoLsdM9x0gU/edit?gid="&amp;XLOOKUP(B221,ID___!A:A,ID___!B:B,"")&amp;"#gid="&amp;XLOOKUP(B221,ID___!A:A,ID___!B:B,"")&amp;"&amp;range=A1:J1","Click"))</f>
        <v>Click</v>
      </c>
      <c r="B221" s="19" t="str">
        <f>IFERROR(__xludf.DUMMYFUNCTION("""COMPUTED_VALUE"""),"PRC")</f>
        <v>PRC</v>
      </c>
      <c r="C221" s="17" t="str">
        <f>IFERROR(__xludf.DUMMYFUNCTION("""COMPUTED_VALUE"""),"Pratick Roy Chowdhuruy")</f>
        <v>Pratick Roy Chowdhuruy</v>
      </c>
      <c r="D221" s="16" t="str">
        <f>IFERROR(__xludf.DUMMYFUNCTION("""COMPUTED_VALUE"""),"C. Lecturer")</f>
        <v>C. Lecturer</v>
      </c>
      <c r="E221" s="16" t="str">
        <f>IFERROR(__xludf.DUMMYFUNCTION("""COMPUTED_VALUE"""),"Contractual")</f>
        <v>Contractual</v>
      </c>
      <c r="F221" s="16" t="str">
        <f>IFERROR(__xludf.DUMMYFUNCTION("""COMPUTED_VALUE"""),"4P")</f>
        <v>4P</v>
      </c>
      <c r="G221" s="17" t="str">
        <f>IFERROR(__xludf.DUMMYFUNCTION("""COMPUTED_VALUE"""),"ext.pratick.roy@bracu.ac.bd")</f>
        <v>ext.pratick.roy@bracu.ac.bd</v>
      </c>
    </row>
    <row r="222">
      <c r="A222" s="18" t="str">
        <f t="array" ref="A222">IF(ISBLANK(B222),,HYPERLINK("https://docs.google.com/spreadsheets/d/1aZ_8do2w3aA382MhZyJKG5amXZ6fpthJYoLsdM9x0gU/edit?gid="&amp;XLOOKUP(B222,ID___!A:A,ID___!B:B,"")&amp;"#gid="&amp;XLOOKUP(B222,ID___!A:A,ID___!B:B,"")&amp;"&amp;range=A1:J1","Click"))</f>
        <v>Click</v>
      </c>
      <c r="B222" s="19" t="str">
        <f>IFERROR(__xludf.DUMMYFUNCTION("""COMPUTED_VALUE"""),"RAO")</f>
        <v>RAO</v>
      </c>
      <c r="C222" s="17" t="str">
        <f>IFERROR(__xludf.DUMMYFUNCTION("""COMPUTED_VALUE"""),"Mohammed Radoan")</f>
        <v>Mohammed Radoan</v>
      </c>
      <c r="D222" s="16" t="str">
        <f>IFERROR(__xludf.DUMMYFUNCTION("""COMPUTED_VALUE"""),"C. Lecturer")</f>
        <v>C. Lecturer</v>
      </c>
      <c r="E222" s="16" t="str">
        <f>IFERROR(__xludf.DUMMYFUNCTION("""COMPUTED_VALUE"""),"Contractual")</f>
        <v>Contractual</v>
      </c>
      <c r="F222" s="16" t="str">
        <f>IFERROR(__xludf.DUMMYFUNCTION("""COMPUTED_VALUE"""),"4P")</f>
        <v>4P</v>
      </c>
      <c r="G222" s="17" t="str">
        <f>IFERROR(__xludf.DUMMYFUNCTION("""COMPUTED_VALUE"""),"ext.mohammed.radoan@bracu.ac.bd")</f>
        <v>ext.mohammed.radoan@bracu.ac.bd</v>
      </c>
    </row>
    <row r="223">
      <c r="A223" s="18" t="str">
        <f t="array" ref="A223">IF(ISBLANK(B223),,HYPERLINK("https://docs.google.com/spreadsheets/d/1aZ_8do2w3aA382MhZyJKG5amXZ6fpthJYoLsdM9x0gU/edit?gid="&amp;XLOOKUP(B223,ID___!A:A,ID___!B:B,"")&amp;"#gid="&amp;XLOOKUP(B223,ID___!A:A,ID___!B:B,"")&amp;"&amp;range=A1:J1","Click"))</f>
        <v>Click</v>
      </c>
      <c r="B223" s="19" t="str">
        <f>IFERROR(__xludf.DUMMYFUNCTION("""COMPUTED_VALUE"""),"RDS")</f>
        <v>RDS</v>
      </c>
      <c r="C223" s="17" t="str">
        <f>IFERROR(__xludf.DUMMYFUNCTION("""COMPUTED_VALUE"""),"Rantu Das")</f>
        <v>Rantu Das</v>
      </c>
      <c r="D223" s="16" t="str">
        <f>IFERROR(__xludf.DUMMYFUNCTION("""COMPUTED_VALUE"""),"C. Lecturer")</f>
        <v>C. Lecturer</v>
      </c>
      <c r="E223" s="16" t="str">
        <f>IFERROR(__xludf.DUMMYFUNCTION("""COMPUTED_VALUE"""),"Contractual")</f>
        <v>Contractual</v>
      </c>
      <c r="F223" s="16" t="str">
        <f>IFERROR(__xludf.DUMMYFUNCTION("""COMPUTED_VALUE"""),"4P")</f>
        <v>4P</v>
      </c>
      <c r="G223" s="17" t="str">
        <f>IFERROR(__xludf.DUMMYFUNCTION("""COMPUTED_VALUE"""),"ext.rantu.das@bracu.ac.bd")</f>
        <v>ext.rantu.das@bracu.ac.bd</v>
      </c>
    </row>
    <row r="224">
      <c r="A224" s="18" t="str">
        <f t="array" ref="A224">IF(ISBLANK(B224),,HYPERLINK("https://docs.google.com/spreadsheets/d/1aZ_8do2w3aA382MhZyJKG5amXZ6fpthJYoLsdM9x0gU/edit?gid="&amp;XLOOKUP(B224,ID___!A:A,ID___!B:B,"")&amp;"#gid="&amp;XLOOKUP(B224,ID___!A:A,ID___!B:B,"")&amp;"&amp;range=A1:J1","Click"))</f>
        <v>Click</v>
      </c>
      <c r="B224" s="19" t="str">
        <f>IFERROR(__xludf.DUMMYFUNCTION("""COMPUTED_VALUE"""),"RFQ")</f>
        <v>RFQ</v>
      </c>
      <c r="C224" s="17" t="str">
        <f>IFERROR(__xludf.DUMMYFUNCTION("""COMPUTED_VALUE"""),"Md. Rafatul Haq")</f>
        <v>Md. Rafatul Haq</v>
      </c>
      <c r="D224" s="16" t="str">
        <f>IFERROR(__xludf.DUMMYFUNCTION("""COMPUTED_VALUE"""),"C. Lecturer")</f>
        <v>C. Lecturer</v>
      </c>
      <c r="E224" s="16" t="str">
        <f>IFERROR(__xludf.DUMMYFUNCTION("""COMPUTED_VALUE"""),"Contractual")</f>
        <v>Contractual</v>
      </c>
      <c r="F224" s="16" t="str">
        <f>IFERROR(__xludf.DUMMYFUNCTION("""COMPUTED_VALUE"""),"4P")</f>
        <v>4P</v>
      </c>
      <c r="G224" s="17" t="str">
        <f>IFERROR(__xludf.DUMMYFUNCTION("""COMPUTED_VALUE"""),"ext.rafatul.haq@bracu.ac.bd")</f>
        <v>ext.rafatul.haq@bracu.ac.bd</v>
      </c>
    </row>
    <row r="225">
      <c r="A225" s="18" t="str">
        <f t="array" ref="A225">IF(ISBLANK(B225),,HYPERLINK("https://docs.google.com/spreadsheets/d/1aZ_8do2w3aA382MhZyJKG5amXZ6fpthJYoLsdM9x0gU/edit?gid="&amp;XLOOKUP(B225,ID___!A:A,ID___!B:B,"")&amp;"#gid="&amp;XLOOKUP(B225,ID___!A:A,ID___!B:B,"")&amp;"&amp;range=A1:J1","Click"))</f>
        <v>Click</v>
      </c>
      <c r="B225" s="19" t="str">
        <f>IFERROR(__xludf.DUMMYFUNCTION("""COMPUTED_VALUE"""),"RZR")</f>
        <v>RZR</v>
      </c>
      <c r="C225" s="17" t="str">
        <f>IFERROR(__xludf.DUMMYFUNCTION("""COMPUTED_VALUE"""),"Riazul Islam Rifat")</f>
        <v>Riazul Islam Rifat</v>
      </c>
      <c r="D225" s="16" t="str">
        <f>IFERROR(__xludf.DUMMYFUNCTION("""COMPUTED_VALUE"""),"C. Lecturer")</f>
        <v>C. Lecturer</v>
      </c>
      <c r="E225" s="16" t="str">
        <f>IFERROR(__xludf.DUMMYFUNCTION("""COMPUTED_VALUE"""),"Contractual")</f>
        <v>Contractual</v>
      </c>
      <c r="F225" s="16" t="str">
        <f>IFERROR(__xludf.DUMMYFUNCTION("""COMPUTED_VALUE"""),"4P")</f>
        <v>4P</v>
      </c>
      <c r="G225" s="17" t="str">
        <f>IFERROR(__xludf.DUMMYFUNCTION("""COMPUTED_VALUE"""),"ext.riazul.islam@bracu.ac.bd")</f>
        <v>ext.riazul.islam@bracu.ac.bd</v>
      </c>
    </row>
    <row r="226">
      <c r="A226" s="18" t="str">
        <f t="array" ref="A226">IF(ISBLANK(B226),,HYPERLINK("https://docs.google.com/spreadsheets/d/1aZ_8do2w3aA382MhZyJKG5amXZ6fpthJYoLsdM9x0gU/edit?gid="&amp;XLOOKUP(B226,ID___!A:A,ID___!B:B,"")&amp;"#gid="&amp;XLOOKUP(B226,ID___!A:A,ID___!B:B,"")&amp;"&amp;range=A1:J1","Click"))</f>
        <v>Click</v>
      </c>
      <c r="B226" s="19" t="str">
        <f>IFERROR(__xludf.DUMMYFUNCTION("""COMPUTED_VALUE"""),"SEF")</f>
        <v>SEF</v>
      </c>
      <c r="C226" s="17" t="str">
        <f>IFERROR(__xludf.DUMMYFUNCTION("""COMPUTED_VALUE"""),"Sheikh Iftekhar Ahmed")</f>
        <v>Sheikh Iftekhar Ahmed</v>
      </c>
      <c r="D226" s="16" t="str">
        <f>IFERROR(__xludf.DUMMYFUNCTION("""COMPUTED_VALUE"""),"C. Lecturer")</f>
        <v>C. Lecturer</v>
      </c>
      <c r="E226" s="16" t="str">
        <f>IFERROR(__xludf.DUMMYFUNCTION("""COMPUTED_VALUE"""),"Contractual")</f>
        <v>Contractual</v>
      </c>
      <c r="F226" s="16" t="str">
        <f>IFERROR(__xludf.DUMMYFUNCTION("""COMPUTED_VALUE"""),"4P")</f>
        <v>4P</v>
      </c>
      <c r="G226" s="17" t="str">
        <f>IFERROR(__xludf.DUMMYFUNCTION("""COMPUTED_VALUE"""),"ext.sheikh.ahmed@bracu.ac.bd")</f>
        <v>ext.sheikh.ahmed@bracu.ac.bd</v>
      </c>
    </row>
    <row r="227">
      <c r="A227" s="18" t="str">
        <f t="array" ref="A227">IF(ISBLANK(B227),,HYPERLINK("https://docs.google.com/spreadsheets/d/1aZ_8do2w3aA382MhZyJKG5amXZ6fpthJYoLsdM9x0gU/edit?gid="&amp;XLOOKUP(B227,ID___!A:A,ID___!B:B,"")&amp;"#gid="&amp;XLOOKUP(B227,ID___!A:A,ID___!B:B,"")&amp;"&amp;range=A1:J1","Click"))</f>
        <v>Click</v>
      </c>
      <c r="B227" s="19" t="str">
        <f>IFERROR(__xludf.DUMMYFUNCTION("""COMPUTED_VALUE"""),"SHBZ")</f>
        <v>SHBZ</v>
      </c>
      <c r="C227" s="17" t="str">
        <f>IFERROR(__xludf.DUMMYFUNCTION("""COMPUTED_VALUE"""),"Dr. Md Shamsuzzoha Bayzid")</f>
        <v>Dr. Md Shamsuzzoha Bayzid</v>
      </c>
      <c r="D227" s="16" t="str">
        <f>IFERROR(__xludf.DUMMYFUNCTION("""COMPUTED_VALUE"""),"C. Professor")</f>
        <v>C. Professor</v>
      </c>
      <c r="E227" s="16" t="str">
        <f>IFERROR(__xludf.DUMMYFUNCTION("""COMPUTED_VALUE"""),"Contractual")</f>
        <v>Contractual</v>
      </c>
      <c r="F227" s="16" t="str">
        <f>IFERROR(__xludf.DUMMYFUNCTION("""COMPUTED_VALUE"""),"4G15")</f>
        <v>4G15</v>
      </c>
      <c r="G227" s="17" t="str">
        <f>IFERROR(__xludf.DUMMYFUNCTION("""COMPUTED_VALUE"""),"ext.shams.bayzid@bracu.ac.bd")</f>
        <v>ext.shams.bayzid@bracu.ac.bd</v>
      </c>
    </row>
    <row r="228">
      <c r="A228" s="18" t="str">
        <f t="array" ref="A228">IF(ISBLANK(B228),,HYPERLINK("https://docs.google.com/spreadsheets/d/1aZ_8do2w3aA382MhZyJKG5amXZ6fpthJYoLsdM9x0gU/edit?gid="&amp;XLOOKUP(B228,ID___!A:A,ID___!B:B,"")&amp;"#gid="&amp;XLOOKUP(B228,ID___!A:A,ID___!B:B,"")&amp;"&amp;range=A1:J1","Click"))</f>
        <v>Click</v>
      </c>
      <c r="B228" s="19" t="str">
        <f>IFERROR(__xludf.DUMMYFUNCTION("""COMPUTED_VALUE"""),"SHJR")</f>
        <v>SHJR</v>
      </c>
      <c r="C228" s="17" t="str">
        <f>IFERROR(__xludf.DUMMYFUNCTION("""COMPUTED_VALUE"""),"Shourov Joarder")</f>
        <v>Shourov Joarder</v>
      </c>
      <c r="D228" s="16" t="str">
        <f>IFERROR(__xludf.DUMMYFUNCTION("""COMPUTED_VALUE"""),"C. Lecturer")</f>
        <v>C. Lecturer</v>
      </c>
      <c r="E228" s="16" t="str">
        <f>IFERROR(__xludf.DUMMYFUNCTION("""COMPUTED_VALUE"""),"Contractual")</f>
        <v>Contractual</v>
      </c>
      <c r="F228" s="16" t="str">
        <f>IFERROR(__xludf.DUMMYFUNCTION("""COMPUTED_VALUE"""),"4P")</f>
        <v>4P</v>
      </c>
      <c r="G228" s="17" t="str">
        <f>IFERROR(__xludf.DUMMYFUNCTION("""COMPUTED_VALUE"""),"ext.shourov.joarder@bracu.ac.bd")</f>
        <v>ext.shourov.joarder@bracu.ac.bd</v>
      </c>
    </row>
    <row r="229">
      <c r="A229" s="18" t="str">
        <f t="array" ref="A229">IF(ISBLANK(B229),,HYPERLINK("https://docs.google.com/spreadsheets/d/1aZ_8do2w3aA382MhZyJKG5amXZ6fpthJYoLsdM9x0gU/edit?gid="&amp;XLOOKUP(B229,ID___!A:A,ID___!B:B,"")&amp;"#gid="&amp;XLOOKUP(B229,ID___!A:A,ID___!B:B,"")&amp;"&amp;range=A1:J1","Click"))</f>
        <v>Click</v>
      </c>
      <c r="B229" s="19" t="str">
        <f>IFERROR(__xludf.DUMMYFUNCTION("""COMPUTED_VALUE"""),"SJM")</f>
        <v>SJM</v>
      </c>
      <c r="C229" s="17" t="str">
        <f>IFERROR(__xludf.DUMMYFUNCTION("""COMPUTED_VALUE"""),"Sajid Imam Mahir")</f>
        <v>Sajid Imam Mahir</v>
      </c>
      <c r="D229" s="16" t="str">
        <f>IFERROR(__xludf.DUMMYFUNCTION("""COMPUTED_VALUE"""),"C. Lecturer")</f>
        <v>C. Lecturer</v>
      </c>
      <c r="E229" s="16" t="str">
        <f>IFERROR(__xludf.DUMMYFUNCTION("""COMPUTED_VALUE"""),"Contractual")</f>
        <v>Contractual</v>
      </c>
      <c r="F229" s="16" t="str">
        <f>IFERROR(__xludf.DUMMYFUNCTION("""COMPUTED_VALUE"""),"4P")</f>
        <v>4P</v>
      </c>
      <c r="G229" s="17" t="str">
        <f>IFERROR(__xludf.DUMMYFUNCTION("""COMPUTED_VALUE"""),"ext.sajid.mahir@bracu.ac.bd")</f>
        <v>ext.sajid.mahir@bracu.ac.bd</v>
      </c>
    </row>
    <row r="230">
      <c r="A230" s="18" t="str">
        <f t="array" ref="A230">IF(ISBLANK(B230),,HYPERLINK("https://docs.google.com/spreadsheets/d/1aZ_8do2w3aA382MhZyJKG5amXZ6fpthJYoLsdM9x0gU/edit?gid="&amp;XLOOKUP(B230,ID___!A:A,ID___!B:B,"")&amp;"#gid="&amp;XLOOKUP(B230,ID___!A:A,ID___!B:B,"")&amp;"&amp;range=A1:J1","Click"))</f>
        <v>Click</v>
      </c>
      <c r="B230" s="19" t="str">
        <f>IFERROR(__xludf.DUMMYFUNCTION("""COMPUTED_VALUE"""),"SLAR")</f>
        <v>SLAR</v>
      </c>
      <c r="C230" s="17" t="str">
        <f>IFERROR(__xludf.DUMMYFUNCTION("""COMPUTED_VALUE"""),"Sadiul Arefin Rafi")</f>
        <v>Sadiul Arefin Rafi</v>
      </c>
      <c r="D230" s="16" t="str">
        <f>IFERROR(__xludf.DUMMYFUNCTION("""COMPUTED_VALUE"""),"C. Lecturer")</f>
        <v>C. Lecturer</v>
      </c>
      <c r="E230" s="16" t="str">
        <f>IFERROR(__xludf.DUMMYFUNCTION("""COMPUTED_VALUE"""),"Contractual")</f>
        <v>Contractual</v>
      </c>
      <c r="F230" s="16" t="str">
        <f>IFERROR(__xludf.DUMMYFUNCTION("""COMPUTED_VALUE"""),"4P")</f>
        <v>4P</v>
      </c>
      <c r="G230" s="17" t="str">
        <f>IFERROR(__xludf.DUMMYFUNCTION("""COMPUTED_VALUE"""),"ext.sadiul.rafi@bracu.ac.bd")</f>
        <v>ext.sadiul.rafi@bracu.ac.bd</v>
      </c>
    </row>
    <row r="231">
      <c r="A231" s="18" t="str">
        <f t="array" ref="A231">IF(ISBLANK(B231),,HYPERLINK("https://docs.google.com/spreadsheets/d/1aZ_8do2w3aA382MhZyJKG5amXZ6fpthJYoLsdM9x0gU/edit?gid="&amp;XLOOKUP(B231,ID___!A:A,ID___!B:B,"")&amp;"#gid="&amp;XLOOKUP(B231,ID___!A:A,ID___!B:B,"")&amp;"&amp;range=A1:J1","Click"))</f>
        <v>Click</v>
      </c>
      <c r="B231" s="19" t="str">
        <f>IFERROR(__xludf.DUMMYFUNCTION("""COMPUTED_VALUE"""),"SMDS")</f>
        <v>SMDS</v>
      </c>
      <c r="C231" s="17" t="str">
        <f>IFERROR(__xludf.DUMMYFUNCTION("""COMPUTED_VALUE"""),"Soumitra Das")</f>
        <v>Soumitra Das</v>
      </c>
      <c r="D231" s="16" t="str">
        <f>IFERROR(__xludf.DUMMYFUNCTION("""COMPUTED_VALUE"""),"C. Lecturer")</f>
        <v>C. Lecturer</v>
      </c>
      <c r="E231" s="16" t="str">
        <f>IFERROR(__xludf.DUMMYFUNCTION("""COMPUTED_VALUE"""),"Contractual")</f>
        <v>Contractual</v>
      </c>
      <c r="F231" s="16" t="str">
        <f>IFERROR(__xludf.DUMMYFUNCTION("""COMPUTED_VALUE"""),"4P")</f>
        <v>4P</v>
      </c>
      <c r="G231" s="17" t="str">
        <f>IFERROR(__xludf.DUMMYFUNCTION("""COMPUTED_VALUE"""),"ext.soumitra.das@bracu.ac.bd")</f>
        <v>ext.soumitra.das@bracu.ac.bd</v>
      </c>
    </row>
    <row r="232">
      <c r="A232" s="18" t="str">
        <f t="array" ref="A232">IF(ISBLANK(B232),,HYPERLINK("https://docs.google.com/spreadsheets/d/1aZ_8do2w3aA382MhZyJKG5amXZ6fpthJYoLsdM9x0gU/edit?gid="&amp;XLOOKUP(B232,ID___!A:A,ID___!B:B,"")&amp;"#gid="&amp;XLOOKUP(B232,ID___!A:A,ID___!B:B,"")&amp;"&amp;range=A1:J1","Click"))</f>
        <v>Click</v>
      </c>
      <c r="B232" s="19" t="str">
        <f>IFERROR(__xludf.DUMMYFUNCTION("""COMPUTED_VALUE"""),"SMKD")</f>
        <v>SMKD</v>
      </c>
      <c r="C232" s="17" t="str">
        <f>IFERROR(__xludf.DUMMYFUNCTION("""COMPUTED_VALUE"""),"Sheikh Samiul Kadir")</f>
        <v>Sheikh Samiul Kadir</v>
      </c>
      <c r="D232" s="16" t="str">
        <f>IFERROR(__xludf.DUMMYFUNCTION("""COMPUTED_VALUE"""),"C. Lecturer")</f>
        <v>C. Lecturer</v>
      </c>
      <c r="E232" s="16" t="str">
        <f>IFERROR(__xludf.DUMMYFUNCTION("""COMPUTED_VALUE"""),"Contractual")</f>
        <v>Contractual</v>
      </c>
      <c r="F232" s="16" t="str">
        <f>IFERROR(__xludf.DUMMYFUNCTION("""COMPUTED_VALUE"""),"4P")</f>
        <v>4P</v>
      </c>
      <c r="G232" s="17" t="str">
        <f>IFERROR(__xludf.DUMMYFUNCTION("""COMPUTED_VALUE"""),"ext.samiul.kadir@bracu.ac.bd")</f>
        <v>ext.samiul.kadir@bracu.ac.bd</v>
      </c>
    </row>
    <row r="233">
      <c r="A233" s="18" t="str">
        <f t="array" ref="A233">IF(ISBLANK(B233),,HYPERLINK("https://docs.google.com/spreadsheets/d/1aZ_8do2w3aA382MhZyJKG5amXZ6fpthJYoLsdM9x0gU/edit?gid="&amp;XLOOKUP(B233,ID___!A:A,ID___!B:B,"")&amp;"#gid="&amp;XLOOKUP(B233,ID___!A:A,ID___!B:B,"")&amp;"&amp;range=A1:J1","Click"))</f>
        <v>Click</v>
      </c>
      <c r="B233" s="19" t="str">
        <f>IFERROR(__xludf.DUMMYFUNCTION("""COMPUTED_VALUE"""),"THR")</f>
        <v>THR</v>
      </c>
      <c r="C233" s="17" t="str">
        <f>IFERROR(__xludf.DUMMYFUNCTION("""COMPUTED_VALUE"""),"Tahsin Tanim Ramisha")</f>
        <v>Tahsin Tanim Ramisha</v>
      </c>
      <c r="D233" s="16" t="str">
        <f>IFERROR(__xludf.DUMMYFUNCTION("""COMPUTED_VALUE"""),"C. Lecturer")</f>
        <v>C. Lecturer</v>
      </c>
      <c r="E233" s="16" t="str">
        <f>IFERROR(__xludf.DUMMYFUNCTION("""COMPUTED_VALUE"""),"Contractual")</f>
        <v>Contractual</v>
      </c>
      <c r="F233" s="16" t="str">
        <f>IFERROR(__xludf.DUMMYFUNCTION("""COMPUTED_VALUE"""),"4P")</f>
        <v>4P</v>
      </c>
      <c r="G233" s="17" t="str">
        <f>IFERROR(__xludf.DUMMYFUNCTION("""COMPUTED_VALUE"""),"ext.tahsin.ramisha@bracu.ac.bd")</f>
        <v>ext.tahsin.ramisha@bracu.ac.bd</v>
      </c>
    </row>
    <row r="234">
      <c r="A234" s="18" t="str">
        <f t="array" ref="A234">IF(ISBLANK(B234),,HYPERLINK("https://docs.google.com/spreadsheets/d/1aZ_8do2w3aA382MhZyJKG5amXZ6fpthJYoLsdM9x0gU/edit?gid="&amp;XLOOKUP(B234,ID___!A:A,ID___!B:B,"")&amp;"#gid="&amp;XLOOKUP(B234,ID___!A:A,ID___!B:B,"")&amp;"&amp;range=A1:J1","Click"))</f>
        <v>Click</v>
      </c>
      <c r="B234" s="19" t="str">
        <f>IFERROR(__xludf.DUMMYFUNCTION("""COMPUTED_VALUE"""),"TRZA")</f>
        <v>TRZA</v>
      </c>
      <c r="C234" s="17" t="str">
        <f>IFERROR(__xludf.DUMMYFUNCTION("""COMPUTED_VALUE"""),"Tanjim Reza")</f>
        <v>Tanjim Reza</v>
      </c>
      <c r="D234" s="16" t="str">
        <f>IFERROR(__xludf.DUMMYFUNCTION("""COMPUTED_VALUE"""),"C. Lecturer")</f>
        <v>C. Lecturer</v>
      </c>
      <c r="E234" s="16" t="str">
        <f>IFERROR(__xludf.DUMMYFUNCTION("""COMPUTED_VALUE"""),"Contractual")</f>
        <v>Contractual</v>
      </c>
      <c r="F234" s="16" t="str">
        <f>IFERROR(__xludf.DUMMYFUNCTION("""COMPUTED_VALUE"""),"4P")</f>
        <v>4P</v>
      </c>
      <c r="G234" s="17" t="str">
        <f>IFERROR(__xludf.DUMMYFUNCTION("""COMPUTED_VALUE"""),"ext.tanjim.reza@bracu.ac.bd")</f>
        <v>ext.tanjim.reza@bracu.ac.bd</v>
      </c>
    </row>
    <row r="235">
      <c r="A235" s="18" t="str">
        <f t="array" ref="A235">IF(ISBLANK(B235),,HYPERLINK("https://docs.google.com/spreadsheets/d/1aZ_8do2w3aA382MhZyJKG5amXZ6fpthJYoLsdM9x0gU/edit?gid="&amp;XLOOKUP(B235,ID___!A:A,ID___!B:B,"")&amp;"#gid="&amp;XLOOKUP(B235,ID___!A:A,ID___!B:B,"")&amp;"&amp;range=A1:J1","Click"))</f>
        <v>Click</v>
      </c>
      <c r="B235" s="19" t="str">
        <f>IFERROR(__xludf.DUMMYFUNCTION("""COMPUTED_VALUE"""),"WBH")</f>
        <v>WBH</v>
      </c>
      <c r="C235" s="17" t="str">
        <f>IFERROR(__xludf.DUMMYFUNCTION("""COMPUTED_VALUE"""),"Waleed Bin Habib Khan")</f>
        <v>Waleed Bin Habib Khan</v>
      </c>
      <c r="D235" s="16" t="str">
        <f>IFERROR(__xludf.DUMMYFUNCTION("""COMPUTED_VALUE"""),"C. Lecturer")</f>
        <v>C. Lecturer</v>
      </c>
      <c r="E235" s="16" t="str">
        <f>IFERROR(__xludf.DUMMYFUNCTION("""COMPUTED_VALUE"""),"Contractual")</f>
        <v>Contractual</v>
      </c>
      <c r="F235" s="16" t="str">
        <f>IFERROR(__xludf.DUMMYFUNCTION("""COMPUTED_VALUE"""),"4P")</f>
        <v>4P</v>
      </c>
      <c r="G235" s="17" t="str">
        <f>IFERROR(__xludf.DUMMYFUNCTION("""COMPUTED_VALUE"""),"ext.waleed.bin@bracu.ac.bd")</f>
        <v>ext.waleed.bin@bracu.ac.bd</v>
      </c>
    </row>
    <row r="236">
      <c r="A236" s="18" t="str">
        <f t="array" ref="A236">IF(ISBLANK(B236),,HYPERLINK("https://docs.google.com/spreadsheets/d/1aZ_8do2w3aA382MhZyJKG5amXZ6fpthJYoLsdM9x0gU/edit?gid="&amp;XLOOKUP(B236,ID___!A:A,ID___!B:B,"")&amp;"#gid="&amp;XLOOKUP(B236,ID___!A:A,ID___!B:B,"")&amp;"&amp;range=A1:J1","Click"))</f>
        <v>Click</v>
      </c>
      <c r="B236" s="19" t="str">
        <f>IFERROR(__xludf.DUMMYFUNCTION("""COMPUTED_VALUE"""),"WLV")</f>
        <v>WLV</v>
      </c>
      <c r="C236" s="17" t="str">
        <f>IFERROR(__xludf.DUMMYFUNCTION("""COMPUTED_VALUE"""),"Md.Waseq Alauddin Alvi")</f>
        <v>Md.Waseq Alauddin Alvi</v>
      </c>
      <c r="D236" s="16" t="str">
        <f>IFERROR(__xludf.DUMMYFUNCTION("""COMPUTED_VALUE"""),"C. Lecturer")</f>
        <v>C. Lecturer</v>
      </c>
      <c r="E236" s="16" t="str">
        <f>IFERROR(__xludf.DUMMYFUNCTION("""COMPUTED_VALUE"""),"Contractual")</f>
        <v>Contractual</v>
      </c>
      <c r="F236" s="16" t="str">
        <f>IFERROR(__xludf.DUMMYFUNCTION("""COMPUTED_VALUE"""),"4P")</f>
        <v>4P</v>
      </c>
      <c r="G236" s="17" t="str">
        <f>IFERROR(__xludf.DUMMYFUNCTION("""COMPUTED_VALUE"""),"ext.waseq.alvi@bracu.ac.bd")</f>
        <v>ext.waseq.alvi@bracu.ac.bd</v>
      </c>
    </row>
    <row r="237">
      <c r="A237" s="18" t="str">
        <f t="array" ref="A237">IF(ISBLANK(B237),,HYPERLINK("https://docs.google.com/spreadsheets/d/1aZ_8do2w3aA382MhZyJKG5amXZ6fpthJYoLsdM9x0gU/edit?gid="&amp;XLOOKUP(B237,ID___!A:A,ID___!B:B,"")&amp;"#gid="&amp;XLOOKUP(B237,ID___!A:A,ID___!B:B,"")&amp;"&amp;range=A1:J1","Click"))</f>
        <v>Click</v>
      </c>
      <c r="B237" s="19" t="str">
        <f>IFERROR(__xludf.DUMMYFUNCTION("""COMPUTED_VALUE"""),"ZBH")</f>
        <v>ZBH</v>
      </c>
      <c r="C237" s="17" t="str">
        <f>IFERROR(__xludf.DUMMYFUNCTION("""COMPUTED_VALUE"""),"Md. Zayed Bin Zahir Arju")</f>
        <v>Md. Zayed Bin Zahir Arju</v>
      </c>
      <c r="D237" s="16" t="str">
        <f>IFERROR(__xludf.DUMMYFUNCTION("""COMPUTED_VALUE"""),"C. Lecturer")</f>
        <v>C. Lecturer</v>
      </c>
      <c r="E237" s="16" t="str">
        <f>IFERROR(__xludf.DUMMYFUNCTION("""COMPUTED_VALUE"""),"Contractual")</f>
        <v>Contractual</v>
      </c>
      <c r="F237" s="16" t="str">
        <f>IFERROR(__xludf.DUMMYFUNCTION("""COMPUTED_VALUE"""),"4P")</f>
        <v>4P</v>
      </c>
      <c r="G237" s="17" t="str">
        <f>IFERROR(__xludf.DUMMYFUNCTION("""COMPUTED_VALUE"""),"ext.zayed.zahir@bracu.ac.bd")</f>
        <v>ext.zayed.zahir@bracu.ac.bd</v>
      </c>
    </row>
    <row r="238">
      <c r="A238" s="18" t="str">
        <f t="array" ref="A238">IF(ISBLANK(B238),,HYPERLINK("https://docs.google.com/spreadsheets/d/1aZ_8do2w3aA382MhZyJKG5amXZ6fpthJYoLsdM9x0gU/edit?gid="&amp;XLOOKUP(B238,ID___!A:A,ID___!B:B,"")&amp;"#gid="&amp;XLOOKUP(B238,ID___!A:A,ID___!B:B,"")&amp;"&amp;range=A1:J1","Click"))</f>
        <v>Click</v>
      </c>
      <c r="B238" s="19" t="str">
        <f>IFERROR(__xludf.DUMMYFUNCTION("""COMPUTED_VALUE"""),"ZIZE")</f>
        <v>ZIZE</v>
      </c>
      <c r="C238" s="17" t="str">
        <f>IFERROR(__xludf.DUMMYFUNCTION("""COMPUTED_VALUE"""),"Zahin Iqbal Zeal")</f>
        <v>Zahin Iqbal Zeal</v>
      </c>
      <c r="D238" s="16" t="str">
        <f>IFERROR(__xludf.DUMMYFUNCTION("""COMPUTED_VALUE"""),"C. Lecturer")</f>
        <v>C. Lecturer</v>
      </c>
      <c r="E238" s="16" t="str">
        <f>IFERROR(__xludf.DUMMYFUNCTION("""COMPUTED_VALUE"""),"Contractual")</f>
        <v>Contractual</v>
      </c>
      <c r="F238" s="16" t="str">
        <f>IFERROR(__xludf.DUMMYFUNCTION("""COMPUTED_VALUE"""),"4P")</f>
        <v>4P</v>
      </c>
      <c r="G238" s="17" t="str">
        <f>IFERROR(__xludf.DUMMYFUNCTION("""COMPUTED_VALUE"""),"ext.zahin.ikbal@bracu.ac.bd")</f>
        <v>ext.zahin.ikbal@bracu.ac.bd</v>
      </c>
    </row>
    <row r="239">
      <c r="A239" s="16" t="str">
        <f t="array" ref="A239">IF(ISBLANK(B239),,HYPERLINK("https://docs.google.com/spreadsheets/d/1aZ_8do2w3aA382MhZyJKG5amXZ6fpthJYoLsdM9x0gU/edit?gid="&amp;XLOOKUP(B239,ID___!A:A,ID___!B:B,"")&amp;"#gid="&amp;XLOOKUP(B239,ID___!A:A,ID___!B:B,"")&amp;"&amp;range=A1:J1","Click"))</f>
        <v/>
      </c>
      <c r="B239" s="19"/>
      <c r="C239" s="17"/>
      <c r="D239" s="16"/>
      <c r="E239" s="16"/>
      <c r="F239" s="16"/>
      <c r="G239" s="17"/>
    </row>
    <row r="240">
      <c r="A240" s="16" t="str">
        <f t="array" ref="A240">IF(ISBLANK(B240),,HYPERLINK("https://docs.google.com/spreadsheets/d/1aZ_8do2w3aA382MhZyJKG5amXZ6fpthJYoLsdM9x0gU/edit?gid="&amp;XLOOKUP(B240,ID___!A:A,ID___!B:B,"")&amp;"#gid="&amp;XLOOKUP(B240,ID___!A:A,ID___!B:B,"")&amp;"&amp;range=A1:J1","Click"))</f>
        <v/>
      </c>
      <c r="B240" s="19"/>
      <c r="C240" s="17"/>
      <c r="D240" s="16"/>
      <c r="E240" s="16"/>
      <c r="F240" s="16"/>
      <c r="G240" s="17"/>
    </row>
    <row r="241">
      <c r="A241" s="16" t="str">
        <f t="array" ref="A241">IF(ISBLANK(B241),,HYPERLINK("https://docs.google.com/spreadsheets/d/1aZ_8do2w3aA382MhZyJKG5amXZ6fpthJYoLsdM9x0gU/edit?gid="&amp;XLOOKUP(B241,ID___!A:A,ID___!B:B,"")&amp;"#gid="&amp;XLOOKUP(B241,ID___!A:A,ID___!B:B,"")&amp;"&amp;range=A1:J1","Click"))</f>
        <v/>
      </c>
      <c r="B241" s="19"/>
      <c r="C241" s="17"/>
      <c r="D241" s="16"/>
      <c r="E241" s="16"/>
      <c r="F241" s="16"/>
      <c r="G241" s="17"/>
    </row>
    <row r="242">
      <c r="A242" s="16" t="str">
        <f t="array" ref="A242">IF(ISBLANK(B242),,HYPERLINK("https://docs.google.com/spreadsheets/d/1aZ_8do2w3aA382MhZyJKG5amXZ6fpthJYoLsdM9x0gU/edit?gid="&amp;XLOOKUP(B242,ID___!A:A,ID___!B:B,"")&amp;"#gid="&amp;XLOOKUP(B242,ID___!A:A,ID___!B:B,"")&amp;"&amp;range=A1:J1","Click"))</f>
        <v/>
      </c>
      <c r="B242" s="19"/>
      <c r="C242" s="17"/>
      <c r="D242" s="16"/>
      <c r="E242" s="16"/>
      <c r="F242" s="16"/>
      <c r="G242" s="17"/>
    </row>
    <row r="243">
      <c r="A243" s="16" t="str">
        <f t="array" ref="A243">IF(ISBLANK(B243),,HYPERLINK("https://docs.google.com/spreadsheets/d/1aZ_8do2w3aA382MhZyJKG5amXZ6fpthJYoLsdM9x0gU/edit?gid="&amp;XLOOKUP(B243,ID___!A:A,ID___!B:B,"")&amp;"#gid="&amp;XLOOKUP(B243,ID___!A:A,ID___!B:B,"")&amp;"&amp;range=A1:J1","Click"))</f>
        <v/>
      </c>
      <c r="B243" s="19"/>
      <c r="C243" s="17"/>
      <c r="D243" s="16"/>
      <c r="E243" s="16"/>
      <c r="F243" s="16"/>
      <c r="G243" s="17"/>
    </row>
    <row r="244">
      <c r="A244" s="16" t="str">
        <f t="array" ref="A244">IF(ISBLANK(B244),,HYPERLINK("https://docs.google.com/spreadsheets/d/1aZ_8do2w3aA382MhZyJKG5amXZ6fpthJYoLsdM9x0gU/edit?gid="&amp;XLOOKUP(B244,ID___!A:A,ID___!B:B,"")&amp;"#gid="&amp;XLOOKUP(B244,ID___!A:A,ID___!B:B,"")&amp;"&amp;range=A1:J1","Click"))</f>
        <v/>
      </c>
      <c r="B244" s="19"/>
      <c r="C244" s="17"/>
      <c r="D244" s="16"/>
      <c r="E244" s="16"/>
      <c r="F244" s="16"/>
      <c r="G244" s="17"/>
    </row>
    <row r="245">
      <c r="A245" s="16" t="str">
        <f t="array" ref="A245">IF(ISBLANK(B245),,HYPERLINK("https://docs.google.com/spreadsheets/d/1aZ_8do2w3aA382MhZyJKG5amXZ6fpthJYoLsdM9x0gU/edit?gid="&amp;XLOOKUP(B245,ID___!A:A,ID___!B:B,"")&amp;"#gid="&amp;XLOOKUP(B245,ID___!A:A,ID___!B:B,"")&amp;"&amp;range=A1:J1","Click"))</f>
        <v/>
      </c>
      <c r="B245" s="19"/>
      <c r="C245" s="17"/>
      <c r="D245" s="16"/>
      <c r="E245" s="16"/>
      <c r="F245" s="16"/>
      <c r="G245" s="17"/>
    </row>
    <row r="246">
      <c r="A246" s="16" t="str">
        <f t="array" ref="A246">IF(ISBLANK(B246),,HYPERLINK("https://docs.google.com/spreadsheets/d/1aZ_8do2w3aA382MhZyJKG5amXZ6fpthJYoLsdM9x0gU/edit?gid="&amp;XLOOKUP(B246,ID___!A:A,ID___!B:B,"")&amp;"#gid="&amp;XLOOKUP(B246,ID___!A:A,ID___!B:B,"")&amp;"&amp;range=A1:J1","Click"))</f>
        <v/>
      </c>
      <c r="B246" s="19"/>
      <c r="C246" s="17"/>
      <c r="D246" s="16"/>
      <c r="E246" s="16"/>
      <c r="F246" s="16"/>
      <c r="G246" s="17"/>
    </row>
    <row r="247">
      <c r="A247" s="16" t="str">
        <f t="array" ref="A247">IF(ISBLANK(B247),,HYPERLINK("https://docs.google.com/spreadsheets/d/1aZ_8do2w3aA382MhZyJKG5amXZ6fpthJYoLsdM9x0gU/edit?gid="&amp;XLOOKUP(B247,ID___!A:A,ID___!B:B,"")&amp;"#gid="&amp;XLOOKUP(B247,ID___!A:A,ID___!B:B,"")&amp;"&amp;range=A1:J1","Click"))</f>
        <v/>
      </c>
      <c r="B247" s="19"/>
      <c r="C247" s="17"/>
      <c r="D247" s="16"/>
      <c r="E247" s="16"/>
      <c r="F247" s="16"/>
      <c r="G247" s="17"/>
    </row>
    <row r="248">
      <c r="A248" s="16" t="str">
        <f t="array" ref="A248">IF(ISBLANK(B248),,HYPERLINK("https://docs.google.com/spreadsheets/d/1aZ_8do2w3aA382MhZyJKG5amXZ6fpthJYoLsdM9x0gU/edit?gid="&amp;XLOOKUP(B248,ID___!A:A,ID___!B:B,"")&amp;"#gid="&amp;XLOOKUP(B248,ID___!A:A,ID___!B:B,"")&amp;"&amp;range=A1:J1","Click"))</f>
        <v/>
      </c>
      <c r="B248" s="19"/>
      <c r="C248" s="17"/>
      <c r="D248" s="16"/>
      <c r="E248" s="16"/>
      <c r="F248" s="16"/>
      <c r="G248" s="17"/>
    </row>
    <row r="249">
      <c r="A249" s="16" t="str">
        <f t="array" ref="A249">IF(ISBLANK(B249),,HYPERLINK("https://docs.google.com/spreadsheets/d/1aZ_8do2w3aA382MhZyJKG5amXZ6fpthJYoLsdM9x0gU/edit?gid="&amp;XLOOKUP(B249,ID___!A:A,ID___!B:B,"")&amp;"#gid="&amp;XLOOKUP(B249,ID___!A:A,ID___!B:B,"")&amp;"&amp;range=A1:J1","Click"))</f>
        <v/>
      </c>
      <c r="B249" s="19"/>
      <c r="C249" s="17"/>
      <c r="D249" s="16"/>
      <c r="E249" s="16"/>
      <c r="F249" s="16"/>
      <c r="G249" s="17"/>
    </row>
    <row r="250">
      <c r="A250" s="16" t="str">
        <f t="array" ref="A250">IF(ISBLANK(B250),,HYPERLINK("https://docs.google.com/spreadsheets/d/1aZ_8do2w3aA382MhZyJKG5amXZ6fpthJYoLsdM9x0gU/edit?gid="&amp;XLOOKUP(B250,ID___!A:A,ID___!B:B,"")&amp;"#gid="&amp;XLOOKUP(B250,ID___!A:A,ID___!B:B,"")&amp;"&amp;range=A1:J1","Click"))</f>
        <v/>
      </c>
      <c r="B250" s="19"/>
      <c r="C250" s="17"/>
      <c r="D250" s="16"/>
      <c r="E250" s="16"/>
      <c r="F250" s="16"/>
      <c r="G250" s="17"/>
    </row>
    <row r="251">
      <c r="A251" s="16" t="str">
        <f t="array" ref="A251">IF(ISBLANK(B251),,HYPERLINK("https://docs.google.com/spreadsheets/d/1aZ_8do2w3aA382MhZyJKG5amXZ6fpthJYoLsdM9x0gU/edit?gid="&amp;XLOOKUP(B251,ID___!A:A,ID___!B:B,"")&amp;"#gid="&amp;XLOOKUP(B251,ID___!A:A,ID___!B:B,"")&amp;"&amp;range=A1:J1","Click"))</f>
        <v/>
      </c>
      <c r="B251" s="19"/>
      <c r="C251" s="17"/>
      <c r="D251" s="16"/>
      <c r="E251" s="16"/>
      <c r="F251" s="16"/>
      <c r="G251" s="17"/>
    </row>
    <row r="252">
      <c r="A252" s="16" t="str">
        <f t="array" ref="A252">IF(ISBLANK(B252),,HYPERLINK("https://docs.google.com/spreadsheets/d/1aZ_8do2w3aA382MhZyJKG5amXZ6fpthJYoLsdM9x0gU/edit?gid="&amp;XLOOKUP(B252,ID___!A:A,ID___!B:B,"")&amp;"#gid="&amp;XLOOKUP(B252,ID___!A:A,ID___!B:B,"")&amp;"&amp;range=A1:J1","Click"))</f>
        <v/>
      </c>
      <c r="B252" s="19"/>
      <c r="C252" s="17"/>
      <c r="D252" s="16"/>
      <c r="E252" s="16"/>
      <c r="F252" s="16"/>
      <c r="G252" s="17"/>
    </row>
    <row r="253">
      <c r="A253" s="16" t="str">
        <f t="array" ref="A253">IF(ISBLANK(B253),,HYPERLINK("https://docs.google.com/spreadsheets/d/1aZ_8do2w3aA382MhZyJKG5amXZ6fpthJYoLsdM9x0gU/edit?gid="&amp;XLOOKUP(B253,ID___!A:A,ID___!B:B,"")&amp;"#gid="&amp;XLOOKUP(B253,ID___!A:A,ID___!B:B,"")&amp;"&amp;range=A1:J1","Click"))</f>
        <v/>
      </c>
      <c r="B253" s="19"/>
      <c r="C253" s="17"/>
      <c r="D253" s="16"/>
      <c r="E253" s="16"/>
      <c r="F253" s="16"/>
      <c r="G253" s="17"/>
    </row>
    <row r="254">
      <c r="A254" s="16" t="str">
        <f t="array" ref="A254">IF(ISBLANK(B254),,HYPERLINK("https://docs.google.com/spreadsheets/d/1aZ_8do2w3aA382MhZyJKG5amXZ6fpthJYoLsdM9x0gU/edit?gid="&amp;XLOOKUP(B254,ID___!A:A,ID___!B:B,"")&amp;"#gid="&amp;XLOOKUP(B254,ID___!A:A,ID___!B:B,"")&amp;"&amp;range=A1:J1","Click"))</f>
        <v/>
      </c>
      <c r="B254" s="19"/>
      <c r="C254" s="17"/>
      <c r="D254" s="16"/>
      <c r="E254" s="16"/>
      <c r="F254" s="16"/>
      <c r="G254" s="17"/>
    </row>
    <row r="255">
      <c r="A255" s="16" t="str">
        <f t="array" ref="A255">IF(ISBLANK(B255),,HYPERLINK("https://docs.google.com/spreadsheets/d/1aZ_8do2w3aA382MhZyJKG5amXZ6fpthJYoLsdM9x0gU/edit?gid="&amp;XLOOKUP(B255,ID___!A:A,ID___!B:B,"")&amp;"#gid="&amp;XLOOKUP(B255,ID___!A:A,ID___!B:B,"")&amp;"&amp;range=A1:J1","Click"))</f>
        <v/>
      </c>
      <c r="B255" s="19"/>
      <c r="C255" s="17"/>
      <c r="D255" s="16"/>
      <c r="E255" s="16"/>
      <c r="F255" s="16"/>
      <c r="G255" s="17"/>
    </row>
    <row r="256">
      <c r="A256" s="16" t="str">
        <f t="array" ref="A256">IF(ISBLANK(B256),,HYPERLINK("https://docs.google.com/spreadsheets/d/1aZ_8do2w3aA382MhZyJKG5amXZ6fpthJYoLsdM9x0gU/edit?gid="&amp;XLOOKUP(B256,ID___!A:A,ID___!B:B,"")&amp;"#gid="&amp;XLOOKUP(B256,ID___!A:A,ID___!B:B,"")&amp;"&amp;range=A1:J1","Click"))</f>
        <v/>
      </c>
      <c r="B256" s="19"/>
      <c r="C256" s="17"/>
      <c r="D256" s="16"/>
      <c r="E256" s="16"/>
      <c r="F256" s="16"/>
      <c r="G256" s="17"/>
    </row>
    <row r="257">
      <c r="A257" s="16" t="str">
        <f t="array" ref="A257">IF(ISBLANK(B257),,HYPERLINK("https://docs.google.com/spreadsheets/d/1aZ_8do2w3aA382MhZyJKG5amXZ6fpthJYoLsdM9x0gU/edit?gid="&amp;XLOOKUP(B257,ID___!A:A,ID___!B:B,"")&amp;"#gid="&amp;XLOOKUP(B257,ID___!A:A,ID___!B:B,"")&amp;"&amp;range=A1:J1","Click"))</f>
        <v/>
      </c>
      <c r="B257" s="19"/>
      <c r="C257" s="17"/>
      <c r="D257" s="16"/>
      <c r="E257" s="16"/>
      <c r="F257" s="16"/>
      <c r="G257" s="17"/>
    </row>
    <row r="258">
      <c r="A258" s="16" t="str">
        <f t="array" ref="A258">IF(ISBLANK(B258),,HYPERLINK("https://docs.google.com/spreadsheets/d/1aZ_8do2w3aA382MhZyJKG5amXZ6fpthJYoLsdM9x0gU/edit?gid="&amp;XLOOKUP(B258,ID___!A:A,ID___!B:B,"")&amp;"#gid="&amp;XLOOKUP(B258,ID___!A:A,ID___!B:B,"")&amp;"&amp;range=A1:J1","Click"))</f>
        <v/>
      </c>
      <c r="B258" s="19"/>
      <c r="C258" s="17"/>
      <c r="D258" s="16"/>
      <c r="E258" s="16"/>
      <c r="F258" s="16"/>
      <c r="G258" s="17"/>
    </row>
    <row r="259">
      <c r="A259" s="16" t="str">
        <f t="array" ref="A259">IF(ISBLANK(B259),,HYPERLINK("https://docs.google.com/spreadsheets/d/1aZ_8do2w3aA382MhZyJKG5amXZ6fpthJYoLsdM9x0gU/edit?gid="&amp;XLOOKUP(B259,ID___!A:A,ID___!B:B,"")&amp;"#gid="&amp;XLOOKUP(B259,ID___!A:A,ID___!B:B,"")&amp;"&amp;range=A1:J1","Click"))</f>
        <v/>
      </c>
      <c r="B259" s="19"/>
      <c r="C259" s="17"/>
      <c r="D259" s="16"/>
      <c r="E259" s="16"/>
      <c r="F259" s="16"/>
      <c r="G259" s="17"/>
    </row>
    <row r="260">
      <c r="A260" s="16" t="str">
        <f t="array" ref="A260">IF(ISBLANK(B260),,HYPERLINK("https://docs.google.com/spreadsheets/d/1aZ_8do2w3aA382MhZyJKG5amXZ6fpthJYoLsdM9x0gU/edit?gid="&amp;XLOOKUP(B260,ID___!A:A,ID___!B:B,"")&amp;"#gid="&amp;XLOOKUP(B260,ID___!A:A,ID___!B:B,"")&amp;"&amp;range=A1:J1","Click"))</f>
        <v/>
      </c>
      <c r="B260" s="19"/>
      <c r="C260" s="17"/>
      <c r="D260" s="16"/>
      <c r="E260" s="16"/>
      <c r="F260" s="16"/>
      <c r="G260" s="17"/>
    </row>
    <row r="261">
      <c r="A261" s="16" t="str">
        <f t="array" ref="A261">IF(ISBLANK(B261),,HYPERLINK("https://docs.google.com/spreadsheets/d/1aZ_8do2w3aA382MhZyJKG5amXZ6fpthJYoLsdM9x0gU/edit?gid="&amp;XLOOKUP(B261,ID___!A:A,ID___!B:B,"")&amp;"#gid="&amp;XLOOKUP(B261,ID___!A:A,ID___!B:B,"")&amp;"&amp;range=A1:J1","Click"))</f>
        <v/>
      </c>
      <c r="B261" s="19"/>
      <c r="C261" s="17"/>
      <c r="D261" s="16"/>
      <c r="E261" s="16"/>
      <c r="F261" s="16"/>
      <c r="G261" s="17"/>
    </row>
    <row r="262">
      <c r="A262" s="16" t="str">
        <f t="array" ref="A262">IF(ISBLANK(B262),,HYPERLINK("https://docs.google.com/spreadsheets/d/1aZ_8do2w3aA382MhZyJKG5amXZ6fpthJYoLsdM9x0gU/edit?gid="&amp;XLOOKUP(B262,ID___!A:A,ID___!B:B,"")&amp;"#gid="&amp;XLOOKUP(B262,ID___!A:A,ID___!B:B,"")&amp;"&amp;range=A1:J1","Click"))</f>
        <v/>
      </c>
      <c r="B262" s="19"/>
      <c r="C262" s="17"/>
      <c r="D262" s="16"/>
      <c r="E262" s="16"/>
      <c r="F262" s="16"/>
      <c r="G262" s="17"/>
    </row>
    <row r="263">
      <c r="A263" s="16" t="str">
        <f t="array" ref="A263">IF(ISBLANK(B263),,HYPERLINK("https://docs.google.com/spreadsheets/d/1aZ_8do2w3aA382MhZyJKG5amXZ6fpthJYoLsdM9x0gU/edit?gid="&amp;XLOOKUP(B263,ID___!A:A,ID___!B:B,"")&amp;"#gid="&amp;XLOOKUP(B263,ID___!A:A,ID___!B:B,"")&amp;"&amp;range=A1:J1","Click"))</f>
        <v/>
      </c>
      <c r="B263" s="19"/>
      <c r="C263" s="17"/>
      <c r="D263" s="16"/>
      <c r="E263" s="16"/>
      <c r="F263" s="16"/>
      <c r="G263" s="17"/>
    </row>
    <row r="264">
      <c r="A264" s="16" t="str">
        <f t="array" ref="A264">IF(ISBLANK(B264),,HYPERLINK("https://docs.google.com/spreadsheets/d/1aZ_8do2w3aA382MhZyJKG5amXZ6fpthJYoLsdM9x0gU/edit?gid="&amp;XLOOKUP(B264,ID___!A:A,ID___!B:B,"")&amp;"#gid="&amp;XLOOKUP(B264,ID___!A:A,ID___!B:B,"")&amp;"&amp;range=A1:J1","Click"))</f>
        <v/>
      </c>
      <c r="B264" s="19"/>
      <c r="C264" s="17"/>
      <c r="D264" s="16"/>
      <c r="E264" s="16"/>
      <c r="F264" s="16"/>
      <c r="G264" s="17"/>
    </row>
    <row r="265">
      <c r="A265" s="16" t="str">
        <f t="array" ref="A265">IF(ISBLANK(B265),,HYPERLINK("https://docs.google.com/spreadsheets/d/1aZ_8do2w3aA382MhZyJKG5amXZ6fpthJYoLsdM9x0gU/edit?gid="&amp;XLOOKUP(B265,ID___!A:A,ID___!B:B,"")&amp;"#gid="&amp;XLOOKUP(B265,ID___!A:A,ID___!B:B,"")&amp;"&amp;range=A1:J1","Click"))</f>
        <v/>
      </c>
      <c r="B265" s="19"/>
      <c r="C265" s="17"/>
      <c r="D265" s="16"/>
      <c r="E265" s="16"/>
      <c r="F265" s="16"/>
      <c r="G265" s="17"/>
    </row>
    <row r="266">
      <c r="A266" s="16" t="str">
        <f t="array" ref="A266">IF(ISBLANK(B266),,HYPERLINK("https://docs.google.com/spreadsheets/d/1aZ_8do2w3aA382MhZyJKG5amXZ6fpthJYoLsdM9x0gU/edit?gid="&amp;XLOOKUP(B266,ID___!A:A,ID___!B:B,"")&amp;"#gid="&amp;XLOOKUP(B266,ID___!A:A,ID___!B:B,"")&amp;"&amp;range=A1:J1","Click"))</f>
        <v/>
      </c>
      <c r="B266" s="19"/>
      <c r="C266" s="17"/>
      <c r="D266" s="16"/>
      <c r="E266" s="16"/>
      <c r="F266" s="16"/>
      <c r="G266" s="17"/>
    </row>
    <row r="267">
      <c r="A267" s="16" t="str">
        <f t="array" ref="A267">IF(ISBLANK(B267),,HYPERLINK("https://docs.google.com/spreadsheets/d/1aZ_8do2w3aA382MhZyJKG5amXZ6fpthJYoLsdM9x0gU/edit?gid="&amp;XLOOKUP(B267,ID___!A:A,ID___!B:B,"")&amp;"#gid="&amp;XLOOKUP(B267,ID___!A:A,ID___!B:B,"")&amp;"&amp;range=A1:J1","Click"))</f>
        <v/>
      </c>
      <c r="B267" s="19"/>
      <c r="C267" s="17"/>
      <c r="D267" s="16"/>
      <c r="E267" s="16"/>
      <c r="F267" s="16"/>
      <c r="G267" s="17"/>
    </row>
    <row r="268">
      <c r="A268" s="16" t="str">
        <f t="array" ref="A268">IF(ISBLANK(B268),,HYPERLINK("https://docs.google.com/spreadsheets/d/1aZ_8do2w3aA382MhZyJKG5amXZ6fpthJYoLsdM9x0gU/edit?gid="&amp;XLOOKUP(B268,ID___!A:A,ID___!B:B,"")&amp;"#gid="&amp;XLOOKUP(B268,ID___!A:A,ID___!B:B,"")&amp;"&amp;range=A1:J1","Click"))</f>
        <v/>
      </c>
      <c r="B268" s="19"/>
      <c r="C268" s="17"/>
      <c r="D268" s="16"/>
      <c r="E268" s="16"/>
      <c r="F268" s="16"/>
      <c r="G268" s="17"/>
    </row>
    <row r="269">
      <c r="A269" s="16" t="str">
        <f t="array" ref="A269">IF(ISBLANK(B269),,HYPERLINK("https://docs.google.com/spreadsheets/d/1aZ_8do2w3aA382MhZyJKG5amXZ6fpthJYoLsdM9x0gU/edit?gid="&amp;XLOOKUP(B269,ID___!A:A,ID___!B:B,"")&amp;"#gid="&amp;XLOOKUP(B269,ID___!A:A,ID___!B:B,"")&amp;"&amp;range=A1:J1","Click"))</f>
        <v/>
      </c>
      <c r="B269" s="19"/>
      <c r="C269" s="17"/>
      <c r="D269" s="16"/>
      <c r="E269" s="16"/>
      <c r="F269" s="16"/>
      <c r="G269" s="17"/>
    </row>
    <row r="270">
      <c r="A270" s="16" t="str">
        <f t="array" ref="A270">IF(ISBLANK(B270),,HYPERLINK("https://docs.google.com/spreadsheets/d/1aZ_8do2w3aA382MhZyJKG5amXZ6fpthJYoLsdM9x0gU/edit?gid="&amp;XLOOKUP(B270,ID___!A:A,ID___!B:B,"")&amp;"#gid="&amp;XLOOKUP(B270,ID___!A:A,ID___!B:B,"")&amp;"&amp;range=A1:J1","Click"))</f>
        <v/>
      </c>
      <c r="B270" s="19"/>
      <c r="C270" s="17"/>
      <c r="D270" s="16"/>
      <c r="E270" s="16"/>
      <c r="F270" s="16"/>
      <c r="G270" s="17"/>
    </row>
    <row r="271">
      <c r="A271" s="16" t="str">
        <f t="array" ref="A271">IF(ISBLANK(B271),,HYPERLINK("https://docs.google.com/spreadsheets/d/1aZ_8do2w3aA382MhZyJKG5amXZ6fpthJYoLsdM9x0gU/edit?gid="&amp;XLOOKUP(B271,ID___!A:A,ID___!B:B,"")&amp;"#gid="&amp;XLOOKUP(B271,ID___!A:A,ID___!B:B,"")&amp;"&amp;range=A1:J1","Click"))</f>
        <v/>
      </c>
      <c r="B271" s="19"/>
      <c r="C271" s="17"/>
      <c r="D271" s="16"/>
      <c r="E271" s="16"/>
      <c r="F271" s="16"/>
      <c r="G271" s="17"/>
    </row>
    <row r="272">
      <c r="A272" s="16" t="str">
        <f t="array" ref="A272">IF(ISBLANK(B272),,HYPERLINK("https://docs.google.com/spreadsheets/d/1aZ_8do2w3aA382MhZyJKG5amXZ6fpthJYoLsdM9x0gU/edit?gid="&amp;XLOOKUP(B272,ID___!A:A,ID___!B:B,"")&amp;"#gid="&amp;XLOOKUP(B272,ID___!A:A,ID___!B:B,"")&amp;"&amp;range=A1:J1","Click"))</f>
        <v/>
      </c>
      <c r="B272" s="19"/>
      <c r="C272" s="17"/>
      <c r="D272" s="16"/>
      <c r="E272" s="16"/>
      <c r="F272" s="16"/>
      <c r="G272" s="17"/>
    </row>
    <row r="273">
      <c r="A273" s="16" t="str">
        <f t="array" ref="A273">IF(ISBLANK(B273),,HYPERLINK("https://docs.google.com/spreadsheets/d/1aZ_8do2w3aA382MhZyJKG5amXZ6fpthJYoLsdM9x0gU/edit?gid="&amp;XLOOKUP(B273,ID___!A:A,ID___!B:B,"")&amp;"#gid="&amp;XLOOKUP(B273,ID___!A:A,ID___!B:B,"")&amp;"&amp;range=A1:J1","Click"))</f>
        <v/>
      </c>
      <c r="B273" s="19"/>
      <c r="C273" s="17"/>
      <c r="D273" s="16"/>
      <c r="E273" s="16"/>
      <c r="F273" s="16"/>
      <c r="G273" s="17"/>
    </row>
    <row r="274">
      <c r="A274" s="16" t="str">
        <f t="array" ref="A274">IF(ISBLANK(B274),,HYPERLINK("https://docs.google.com/spreadsheets/d/1aZ_8do2w3aA382MhZyJKG5amXZ6fpthJYoLsdM9x0gU/edit?gid="&amp;XLOOKUP(B274,ID___!A:A,ID___!B:B,"")&amp;"#gid="&amp;XLOOKUP(B274,ID___!A:A,ID___!B:B,"")&amp;"&amp;range=A1:J1","Click"))</f>
        <v/>
      </c>
      <c r="B274" s="19"/>
      <c r="C274" s="17"/>
      <c r="D274" s="16"/>
      <c r="E274" s="16"/>
      <c r="F274" s="16"/>
      <c r="G274" s="17"/>
    </row>
    <row r="275">
      <c r="A275" s="16" t="str">
        <f t="array" ref="A275">IF(ISBLANK(B275),,HYPERLINK("https://docs.google.com/spreadsheets/d/1aZ_8do2w3aA382MhZyJKG5amXZ6fpthJYoLsdM9x0gU/edit?gid="&amp;XLOOKUP(B275,ID___!A:A,ID___!B:B,"")&amp;"#gid="&amp;XLOOKUP(B275,ID___!A:A,ID___!B:B,"")&amp;"&amp;range=A1:J1","Click"))</f>
        <v/>
      </c>
      <c r="B275" s="19"/>
      <c r="C275" s="17"/>
      <c r="D275" s="16"/>
      <c r="E275" s="16"/>
      <c r="F275" s="16"/>
      <c r="G275" s="17"/>
    </row>
    <row r="276">
      <c r="A276" s="16" t="str">
        <f t="array" ref="A276">IF(ISBLANK(B276),,HYPERLINK("https://docs.google.com/spreadsheets/d/1aZ_8do2w3aA382MhZyJKG5amXZ6fpthJYoLsdM9x0gU/edit?gid="&amp;XLOOKUP(B276,ID___!A:A,ID___!B:B,"")&amp;"#gid="&amp;XLOOKUP(B276,ID___!A:A,ID___!B:B,"")&amp;"&amp;range=A1:J1","Click"))</f>
        <v/>
      </c>
      <c r="B276" s="19"/>
      <c r="C276" s="17"/>
      <c r="D276" s="16"/>
      <c r="E276" s="16"/>
      <c r="F276" s="16"/>
      <c r="G276" s="17"/>
    </row>
    <row r="277">
      <c r="A277" s="16" t="str">
        <f t="array" ref="A277">IF(ISBLANK(B277),,HYPERLINK("https://docs.google.com/spreadsheets/d/1aZ_8do2w3aA382MhZyJKG5amXZ6fpthJYoLsdM9x0gU/edit?gid="&amp;XLOOKUP(B277,ID___!A:A,ID___!B:B,"")&amp;"#gid="&amp;XLOOKUP(B277,ID___!A:A,ID___!B:B,"")&amp;"&amp;range=A1:J1","Click"))</f>
        <v/>
      </c>
      <c r="B277" s="19"/>
      <c r="C277" s="17"/>
      <c r="D277" s="16"/>
      <c r="E277" s="16"/>
      <c r="F277" s="16"/>
      <c r="G277" s="17"/>
    </row>
    <row r="278">
      <c r="A278" s="16" t="str">
        <f t="array" ref="A278">IF(ISBLANK(B278),,HYPERLINK("https://docs.google.com/spreadsheets/d/1aZ_8do2w3aA382MhZyJKG5amXZ6fpthJYoLsdM9x0gU/edit?gid="&amp;XLOOKUP(B278,ID___!A:A,ID___!B:B,"")&amp;"#gid="&amp;XLOOKUP(B278,ID___!A:A,ID___!B:B,"")&amp;"&amp;range=A1:J1","Click"))</f>
        <v/>
      </c>
      <c r="B278" s="19"/>
      <c r="C278" s="17"/>
      <c r="D278" s="16"/>
      <c r="E278" s="16"/>
      <c r="F278" s="16"/>
      <c r="G278" s="17"/>
    </row>
    <row r="279">
      <c r="A279" s="16" t="str">
        <f t="array" ref="A279">IF(ISBLANK(B279),,HYPERLINK("https://docs.google.com/spreadsheets/d/1aZ_8do2w3aA382MhZyJKG5amXZ6fpthJYoLsdM9x0gU/edit?gid="&amp;XLOOKUP(B279,ID___!A:A,ID___!B:B,"")&amp;"#gid="&amp;XLOOKUP(B279,ID___!A:A,ID___!B:B,"")&amp;"&amp;range=A1:J1","Click"))</f>
        <v/>
      </c>
      <c r="B279" s="19"/>
      <c r="C279" s="17"/>
      <c r="D279" s="16"/>
      <c r="E279" s="16"/>
      <c r="F279" s="16"/>
      <c r="G279" s="17"/>
    </row>
    <row r="280">
      <c r="A280" s="16" t="str">
        <f t="array" ref="A280">IF(ISBLANK(B280),,HYPERLINK("https://docs.google.com/spreadsheets/d/1aZ_8do2w3aA382MhZyJKG5amXZ6fpthJYoLsdM9x0gU/edit?gid="&amp;XLOOKUP(B280,ID___!A:A,ID___!B:B,"")&amp;"#gid="&amp;XLOOKUP(B280,ID___!A:A,ID___!B:B,"")&amp;"&amp;range=A1:J1","Click"))</f>
        <v/>
      </c>
      <c r="B280" s="19"/>
      <c r="C280" s="17"/>
      <c r="D280" s="16"/>
      <c r="E280" s="16"/>
      <c r="F280" s="16"/>
      <c r="G280" s="17"/>
    </row>
    <row r="281">
      <c r="A281" s="16" t="str">
        <f t="array" ref="A281">IF(ISBLANK(B281),,HYPERLINK("https://docs.google.com/spreadsheets/d/1aZ_8do2w3aA382MhZyJKG5amXZ6fpthJYoLsdM9x0gU/edit?gid="&amp;XLOOKUP(B281,ID___!A:A,ID___!B:B,"")&amp;"#gid="&amp;XLOOKUP(B281,ID___!A:A,ID___!B:B,"")&amp;"&amp;range=A1:J1","Click"))</f>
        <v/>
      </c>
      <c r="B281" s="19"/>
      <c r="C281" s="17"/>
      <c r="D281" s="16"/>
      <c r="E281" s="16"/>
      <c r="F281" s="16"/>
      <c r="G281" s="17"/>
    </row>
    <row r="282">
      <c r="A282" s="16" t="str">
        <f t="array" ref="A282">IF(ISBLANK(B282),,HYPERLINK("https://docs.google.com/spreadsheets/d/1aZ_8do2w3aA382MhZyJKG5amXZ6fpthJYoLsdM9x0gU/edit?gid="&amp;XLOOKUP(B282,ID___!A:A,ID___!B:B,"")&amp;"#gid="&amp;XLOOKUP(B282,ID___!A:A,ID___!B:B,"")&amp;"&amp;range=A1:J1","Click"))</f>
        <v/>
      </c>
      <c r="B282" s="19"/>
      <c r="C282" s="17"/>
      <c r="D282" s="16"/>
      <c r="E282" s="16"/>
      <c r="F282" s="16"/>
      <c r="G282" s="17"/>
    </row>
    <row r="283">
      <c r="A283" s="16" t="str">
        <f t="array" ref="A283">IF(ISBLANK(B283),,HYPERLINK("https://docs.google.com/spreadsheets/d/1aZ_8do2w3aA382MhZyJKG5amXZ6fpthJYoLsdM9x0gU/edit?gid="&amp;XLOOKUP(B283,ID___!A:A,ID___!B:B,"")&amp;"#gid="&amp;XLOOKUP(B283,ID___!A:A,ID___!B:B,"")&amp;"&amp;range=A1:J1","Click"))</f>
        <v/>
      </c>
      <c r="B283" s="19"/>
      <c r="C283" s="17"/>
      <c r="D283" s="16"/>
      <c r="E283" s="16"/>
      <c r="F283" s="16"/>
      <c r="G283" s="17"/>
    </row>
    <row r="284">
      <c r="A284" s="16" t="str">
        <f t="array" ref="A284">IF(ISBLANK(B284),,HYPERLINK("https://docs.google.com/spreadsheets/d/1aZ_8do2w3aA382MhZyJKG5amXZ6fpthJYoLsdM9x0gU/edit?gid="&amp;XLOOKUP(B284,ID___!A:A,ID___!B:B,"")&amp;"#gid="&amp;XLOOKUP(B284,ID___!A:A,ID___!B:B,"")&amp;"&amp;range=A1:J1","Click"))</f>
        <v/>
      </c>
      <c r="B284" s="19"/>
      <c r="C284" s="17"/>
      <c r="D284" s="16"/>
      <c r="E284" s="16"/>
      <c r="F284" s="16"/>
      <c r="G284" s="17"/>
    </row>
    <row r="285">
      <c r="A285" s="16" t="str">
        <f t="array" ref="A285">IF(ISBLANK(B285),,HYPERLINK("https://docs.google.com/spreadsheets/d/1aZ_8do2w3aA382MhZyJKG5amXZ6fpthJYoLsdM9x0gU/edit?gid="&amp;XLOOKUP(B285,ID___!A:A,ID___!B:B,"")&amp;"#gid="&amp;XLOOKUP(B285,ID___!A:A,ID___!B:B,"")&amp;"&amp;range=A1:J1","Click"))</f>
        <v/>
      </c>
      <c r="B285" s="19"/>
      <c r="C285" s="17"/>
      <c r="D285" s="16"/>
      <c r="E285" s="16"/>
      <c r="F285" s="16"/>
      <c r="G285" s="17"/>
    </row>
    <row r="286">
      <c r="A286" s="16" t="str">
        <f t="array" ref="A286">IF(ISBLANK(B286),,HYPERLINK("https://docs.google.com/spreadsheets/d/1aZ_8do2w3aA382MhZyJKG5amXZ6fpthJYoLsdM9x0gU/edit?gid="&amp;XLOOKUP(B286,ID___!A:A,ID___!B:B,"")&amp;"#gid="&amp;XLOOKUP(B286,ID___!A:A,ID___!B:B,"")&amp;"&amp;range=A1:J1","Click"))</f>
        <v/>
      </c>
      <c r="B286" s="19"/>
      <c r="C286" s="17"/>
      <c r="D286" s="16"/>
      <c r="E286" s="16"/>
      <c r="F286" s="16"/>
      <c r="G286" s="17"/>
    </row>
    <row r="287">
      <c r="A287" s="16" t="str">
        <f t="array" ref="A287">IF(ISBLANK(B287),,HYPERLINK("https://docs.google.com/spreadsheets/d/1aZ_8do2w3aA382MhZyJKG5amXZ6fpthJYoLsdM9x0gU/edit?gid="&amp;XLOOKUP(B287,ID___!A:A,ID___!B:B,"")&amp;"#gid="&amp;XLOOKUP(B287,ID___!A:A,ID___!B:B,"")&amp;"&amp;range=A1:J1","Click"))</f>
        <v/>
      </c>
      <c r="B287" s="19"/>
      <c r="C287" s="17"/>
      <c r="D287" s="16"/>
      <c r="E287" s="16"/>
      <c r="F287" s="16"/>
      <c r="G287" s="17"/>
    </row>
    <row r="288">
      <c r="A288" s="16" t="str">
        <f t="array" ref="A288">IF(ISBLANK(B288),,HYPERLINK("https://docs.google.com/spreadsheets/d/1aZ_8do2w3aA382MhZyJKG5amXZ6fpthJYoLsdM9x0gU/edit?gid="&amp;XLOOKUP(B288,ID___!A:A,ID___!B:B,"")&amp;"#gid="&amp;XLOOKUP(B288,ID___!A:A,ID___!B:B,"")&amp;"&amp;range=A1:J1","Click"))</f>
        <v/>
      </c>
      <c r="B288" s="19"/>
      <c r="C288" s="17"/>
      <c r="D288" s="16"/>
      <c r="E288" s="16"/>
      <c r="F288" s="16"/>
      <c r="G288" s="17"/>
    </row>
    <row r="289">
      <c r="A289" s="16" t="str">
        <f t="array" ref="A289">IF(ISBLANK(B289),,HYPERLINK("https://docs.google.com/spreadsheets/d/1aZ_8do2w3aA382MhZyJKG5amXZ6fpthJYoLsdM9x0gU/edit?gid="&amp;XLOOKUP(B289,ID___!A:A,ID___!B:B,"")&amp;"#gid="&amp;XLOOKUP(B289,ID___!A:A,ID___!B:B,"")&amp;"&amp;range=A1:J1","Click"))</f>
        <v/>
      </c>
      <c r="B289" s="19"/>
      <c r="C289" s="17"/>
      <c r="D289" s="16"/>
      <c r="E289" s="16"/>
      <c r="F289" s="16"/>
      <c r="G289" s="17"/>
    </row>
    <row r="290">
      <c r="A290" s="16" t="str">
        <f t="array" ref="A290">IF(ISBLANK(B290),,HYPERLINK("https://docs.google.com/spreadsheets/d/1aZ_8do2w3aA382MhZyJKG5amXZ6fpthJYoLsdM9x0gU/edit?gid="&amp;XLOOKUP(B290,ID___!A:A,ID___!B:B,"")&amp;"#gid="&amp;XLOOKUP(B290,ID___!A:A,ID___!B:B,"")&amp;"&amp;range=A1:J1","Click"))</f>
        <v/>
      </c>
      <c r="B290" s="19"/>
      <c r="C290" s="17"/>
      <c r="D290" s="16"/>
      <c r="E290" s="16"/>
      <c r="F290" s="16"/>
      <c r="G290" s="17"/>
    </row>
    <row r="291">
      <c r="A291" s="16" t="str">
        <f t="array" ref="A291">IF(ISBLANK(B291),,HYPERLINK("https://docs.google.com/spreadsheets/d/1aZ_8do2w3aA382MhZyJKG5amXZ6fpthJYoLsdM9x0gU/edit?gid="&amp;XLOOKUP(B291,ID___!A:A,ID___!B:B,"")&amp;"#gid="&amp;XLOOKUP(B291,ID___!A:A,ID___!B:B,"")&amp;"&amp;range=A1:J1","Click"))</f>
        <v/>
      </c>
      <c r="B291" s="19"/>
      <c r="C291" s="17"/>
      <c r="D291" s="16"/>
      <c r="E291" s="16"/>
      <c r="F291" s="16"/>
      <c r="G291" s="17"/>
    </row>
    <row r="292">
      <c r="A292" s="16" t="str">
        <f t="array" ref="A292">IF(ISBLANK(B292),,HYPERLINK("https://docs.google.com/spreadsheets/d/1aZ_8do2w3aA382MhZyJKG5amXZ6fpthJYoLsdM9x0gU/edit?gid="&amp;XLOOKUP(B292,ID___!A:A,ID___!B:B,"")&amp;"#gid="&amp;XLOOKUP(B292,ID___!A:A,ID___!B:B,"")&amp;"&amp;range=A1:J1","Click"))</f>
        <v/>
      </c>
      <c r="B292" s="19"/>
      <c r="C292" s="17"/>
      <c r="D292" s="16"/>
      <c r="E292" s="16"/>
      <c r="F292" s="16"/>
      <c r="G292" s="17"/>
    </row>
    <row r="293">
      <c r="A293" s="16" t="str">
        <f t="array" ref="A293">IF(ISBLANK(B293),,HYPERLINK("https://docs.google.com/spreadsheets/d/1aZ_8do2w3aA382MhZyJKG5amXZ6fpthJYoLsdM9x0gU/edit?gid="&amp;XLOOKUP(B293,ID___!A:A,ID___!B:B,"")&amp;"#gid="&amp;XLOOKUP(B293,ID___!A:A,ID___!B:B,"")&amp;"&amp;range=A1:J1","Click"))</f>
        <v/>
      </c>
      <c r="B293" s="19"/>
      <c r="C293" s="17"/>
      <c r="D293" s="16"/>
      <c r="E293" s="16"/>
      <c r="F293" s="16"/>
      <c r="G293" s="17"/>
    </row>
    <row r="294">
      <c r="A294" s="16" t="str">
        <f t="array" ref="A294">IF(ISBLANK(B294),,HYPERLINK("https://docs.google.com/spreadsheets/d/1aZ_8do2w3aA382MhZyJKG5amXZ6fpthJYoLsdM9x0gU/edit?gid="&amp;XLOOKUP(B294,ID___!A:A,ID___!B:B,"")&amp;"#gid="&amp;XLOOKUP(B294,ID___!A:A,ID___!B:B,"")&amp;"&amp;range=A1:J1","Click"))</f>
        <v/>
      </c>
      <c r="B294" s="19"/>
      <c r="C294" s="17"/>
      <c r="D294" s="16"/>
      <c r="E294" s="16"/>
      <c r="F294" s="16"/>
      <c r="G294" s="17"/>
    </row>
    <row r="295">
      <c r="A295" s="16" t="str">
        <f t="array" ref="A295">IF(ISBLANK(B295),,HYPERLINK("https://docs.google.com/spreadsheets/d/1aZ_8do2w3aA382MhZyJKG5amXZ6fpthJYoLsdM9x0gU/edit?gid="&amp;XLOOKUP(B295,ID___!A:A,ID___!B:B,"")&amp;"#gid="&amp;XLOOKUP(B295,ID___!A:A,ID___!B:B,"")&amp;"&amp;range=A1:J1","Click"))</f>
        <v/>
      </c>
      <c r="B295" s="19"/>
      <c r="C295" s="17"/>
      <c r="D295" s="16"/>
      <c r="E295" s="16"/>
      <c r="F295" s="16"/>
      <c r="G295" s="17"/>
    </row>
    <row r="296">
      <c r="A296" s="16" t="str">
        <f t="array" ref="A296">IF(ISBLANK(B296),,HYPERLINK("https://docs.google.com/spreadsheets/d/1aZ_8do2w3aA382MhZyJKG5amXZ6fpthJYoLsdM9x0gU/edit?gid="&amp;XLOOKUP(B296,ID___!A:A,ID___!B:B,"")&amp;"#gid="&amp;XLOOKUP(B296,ID___!A:A,ID___!B:B,"")&amp;"&amp;range=A1:J1","Click"))</f>
        <v/>
      </c>
      <c r="B296" s="19"/>
      <c r="C296" s="17"/>
      <c r="D296" s="16"/>
      <c r="E296" s="16"/>
      <c r="F296" s="16"/>
      <c r="G296" s="17"/>
    </row>
    <row r="297">
      <c r="A297" s="16" t="str">
        <f t="array" ref="A297">IF(ISBLANK(B297),,HYPERLINK("https://docs.google.com/spreadsheets/d/1aZ_8do2w3aA382MhZyJKG5amXZ6fpthJYoLsdM9x0gU/edit?gid="&amp;XLOOKUP(B297,ID___!A:A,ID___!B:B,"")&amp;"#gid="&amp;XLOOKUP(B297,ID___!A:A,ID___!B:B,"")&amp;"&amp;range=A1:J1","Click"))</f>
        <v/>
      </c>
      <c r="B297" s="19"/>
      <c r="C297" s="17"/>
      <c r="D297" s="16"/>
      <c r="E297" s="16"/>
      <c r="F297" s="16"/>
      <c r="G297" s="17"/>
    </row>
    <row r="298">
      <c r="A298" s="16" t="str">
        <f t="array" ref="A298">IF(ISBLANK(B298),,HYPERLINK("https://docs.google.com/spreadsheets/d/1aZ_8do2w3aA382MhZyJKG5amXZ6fpthJYoLsdM9x0gU/edit?gid="&amp;XLOOKUP(B298,ID___!A:A,ID___!B:B,"")&amp;"#gid="&amp;XLOOKUP(B298,ID___!A:A,ID___!B:B,"")&amp;"&amp;range=A1:J1","Click"))</f>
        <v/>
      </c>
      <c r="B298" s="19"/>
      <c r="C298" s="17"/>
      <c r="D298" s="16"/>
      <c r="E298" s="16"/>
      <c r="F298" s="16"/>
      <c r="G298" s="17"/>
    </row>
    <row r="299">
      <c r="A299" s="16" t="str">
        <f t="array" ref="A299">IF(ISBLANK(B299),,HYPERLINK("https://docs.google.com/spreadsheets/d/1aZ_8do2w3aA382MhZyJKG5amXZ6fpthJYoLsdM9x0gU/edit?gid="&amp;XLOOKUP(B299,ID___!A:A,ID___!B:B,"")&amp;"#gid="&amp;XLOOKUP(B299,ID___!A:A,ID___!B:B,"")&amp;"&amp;range=A1:J1","Click"))</f>
        <v/>
      </c>
      <c r="B299" s="19"/>
      <c r="C299" s="17"/>
      <c r="D299" s="16"/>
      <c r="E299" s="16"/>
      <c r="F299" s="16"/>
      <c r="G299" s="17"/>
    </row>
    <row r="300">
      <c r="A300" s="16" t="str">
        <f t="array" ref="A300">IF(ISBLANK(B300),,HYPERLINK("https://docs.google.com/spreadsheets/d/1aZ_8do2w3aA382MhZyJKG5amXZ6fpthJYoLsdM9x0gU/edit?gid="&amp;XLOOKUP(B300,ID___!A:A,ID___!B:B,"")&amp;"#gid="&amp;XLOOKUP(B300,ID___!A:A,ID___!B:B,"")&amp;"&amp;range=A1:J1","Click"))</f>
        <v/>
      </c>
      <c r="B300" s="19"/>
      <c r="C300" s="17"/>
      <c r="D300" s="16"/>
      <c r="E300" s="16"/>
      <c r="F300" s="16"/>
      <c r="G300" s="17"/>
    </row>
    <row r="301">
      <c r="A301" s="16" t="str">
        <f t="array" ref="A301">IF(ISBLANK(B301),,HYPERLINK("https://docs.google.com/spreadsheets/d/1HrklyxLdxO6wfiV9Oy4UeWyZ1Pzcz9yrl4CaGNHqgVU/edit?gid="&amp;XLOOKUP(B301,ID___!A:A,ID___!B:B,"")&amp;"#gid="&amp;XLOOKUP(B301,ID___!A:A,ID___!B:B,"")&amp;"&amp;range=A1:J1","Click"))</f>
        <v/>
      </c>
      <c r="B301" s="19"/>
      <c r="C301" s="17"/>
      <c r="D301" s="16"/>
      <c r="E301" s="16"/>
      <c r="F301" s="16"/>
      <c r="G301" s="17"/>
    </row>
    <row r="302">
      <c r="A302" s="16" t="str">
        <f t="array" ref="A302">IF(ISBLANK(B302),,HYPERLINK("https://docs.google.com/spreadsheets/d/1HrklyxLdxO6wfiV9Oy4UeWyZ1Pzcz9yrl4CaGNHqgVU/edit?gid="&amp;XLOOKUP(B302,ID___!A:A,ID___!B:B,"")&amp;"#gid="&amp;XLOOKUP(B302,ID___!A:A,ID___!B:B,"")&amp;"&amp;range=A1:J1","Click"))</f>
        <v/>
      </c>
      <c r="B302" s="19"/>
      <c r="C302" s="17"/>
      <c r="D302" s="16"/>
      <c r="E302" s="16"/>
      <c r="F302" s="16"/>
      <c r="G302" s="17"/>
    </row>
    <row r="303">
      <c r="A303" s="16" t="str">
        <f t="array" ref="A303">IF(ISBLANK(B303),,HYPERLINK("https://docs.google.com/spreadsheets/d/1HrklyxLdxO6wfiV9Oy4UeWyZ1Pzcz9yrl4CaGNHqgVU/edit?gid="&amp;XLOOKUP(B303,ID___!A:A,ID___!B:B,"")&amp;"#gid="&amp;XLOOKUP(B303,ID___!A:A,ID___!B:B,"")&amp;"&amp;range=A1:J1","Click"))</f>
        <v/>
      </c>
      <c r="B303" s="19"/>
      <c r="C303" s="17"/>
      <c r="D303" s="16"/>
      <c r="E303" s="16"/>
      <c r="F303" s="16"/>
      <c r="G303" s="17"/>
    </row>
    <row r="304">
      <c r="A304" s="16" t="str">
        <f t="array" ref="A304">IF(ISBLANK(B304),,HYPERLINK("https://docs.google.com/spreadsheets/d/1HrklyxLdxO6wfiV9Oy4UeWyZ1Pzcz9yrl4CaGNHqgVU/edit?gid="&amp;XLOOKUP(B304,ID___!A:A,ID___!B:B,"")&amp;"#gid="&amp;XLOOKUP(B304,ID___!A:A,ID___!B:B,"")&amp;"&amp;range=A1:J1","Click"))</f>
        <v/>
      </c>
      <c r="B304" s="19"/>
      <c r="C304" s="17"/>
      <c r="D304" s="16"/>
      <c r="E304" s="16"/>
      <c r="F304" s="16"/>
      <c r="G304" s="17"/>
    </row>
    <row r="305">
      <c r="A305" s="16" t="str">
        <f t="array" ref="A305">IF(ISBLANK(B305),,HYPERLINK("https://docs.google.com/spreadsheets/d/1HrklyxLdxO6wfiV9Oy4UeWyZ1Pzcz9yrl4CaGNHqgVU/edit?gid="&amp;XLOOKUP(B305,ID___!A:A,ID___!B:B,"")&amp;"#gid="&amp;XLOOKUP(B305,ID___!A:A,ID___!B:B,"")&amp;"&amp;range=A1:J1","Click"))</f>
        <v/>
      </c>
      <c r="B305" s="19"/>
      <c r="C305" s="17"/>
      <c r="D305" s="16"/>
      <c r="E305" s="16"/>
      <c r="F305" s="16"/>
      <c r="G305" s="17"/>
    </row>
    <row r="306">
      <c r="A306" s="16" t="str">
        <f t="array" ref="A306">IF(ISBLANK(B306),,HYPERLINK("https://docs.google.com/spreadsheets/d/1HrklyxLdxO6wfiV9Oy4UeWyZ1Pzcz9yrl4CaGNHqgVU/edit?gid="&amp;XLOOKUP(B306,ID___!A:A,ID___!B:B,"")&amp;"#gid="&amp;XLOOKUP(B306,ID___!A:A,ID___!B:B,"")&amp;"&amp;range=A1:J1","Click"))</f>
        <v/>
      </c>
      <c r="B306" s="19"/>
      <c r="C306" s="17"/>
      <c r="D306" s="16"/>
      <c r="E306" s="16"/>
      <c r="F306" s="16"/>
      <c r="G306" s="17"/>
    </row>
    <row r="307">
      <c r="A307" s="16" t="str">
        <f t="array" ref="A307">IF(ISBLANK(B307),,HYPERLINK("https://docs.google.com/spreadsheets/d/1HrklyxLdxO6wfiV9Oy4UeWyZ1Pzcz9yrl4CaGNHqgVU/edit?gid="&amp;XLOOKUP(B307,ID___!A:A,ID___!B:B,"")&amp;"#gid="&amp;XLOOKUP(B307,ID___!A:A,ID___!B:B,"")&amp;"&amp;range=A1:J1","Click"))</f>
        <v/>
      </c>
      <c r="B307" s="19"/>
      <c r="C307" s="17"/>
      <c r="D307" s="16"/>
      <c r="E307" s="16"/>
      <c r="F307" s="16"/>
      <c r="G307" s="17"/>
    </row>
    <row r="308">
      <c r="A308" s="16" t="str">
        <f t="array" ref="A308">IF(ISBLANK(B308),,HYPERLINK("https://docs.google.com/spreadsheets/d/1HrklyxLdxO6wfiV9Oy4UeWyZ1Pzcz9yrl4CaGNHqgVU/edit?gid="&amp;XLOOKUP(B308,ID___!A:A,ID___!B:B,"")&amp;"#gid="&amp;XLOOKUP(B308,ID___!A:A,ID___!B:B,"")&amp;"&amp;range=A1:J1","Click"))</f>
        <v/>
      </c>
      <c r="B308" s="19"/>
      <c r="C308" s="17"/>
      <c r="D308" s="16"/>
      <c r="E308" s="16"/>
      <c r="F308" s="16"/>
      <c r="G308" s="17"/>
    </row>
    <row r="309">
      <c r="A309" s="16" t="str">
        <f t="array" ref="A309">IF(ISBLANK(B309),,HYPERLINK("https://docs.google.com/spreadsheets/d/1HrklyxLdxO6wfiV9Oy4UeWyZ1Pzcz9yrl4CaGNHqgVU/edit?gid="&amp;XLOOKUP(B309,ID___!A:A,ID___!B:B,"")&amp;"#gid="&amp;XLOOKUP(B309,ID___!A:A,ID___!B:B,"")&amp;"&amp;range=A1:J1","Click"))</f>
        <v/>
      </c>
      <c r="B309" s="19"/>
      <c r="C309" s="17"/>
      <c r="D309" s="16"/>
      <c r="E309" s="16"/>
      <c r="F309" s="16"/>
      <c r="G309" s="17"/>
    </row>
    <row r="310">
      <c r="A310" s="16" t="str">
        <f t="array" ref="A310">IF(ISBLANK(B310),,HYPERLINK("https://docs.google.com/spreadsheets/d/1HrklyxLdxO6wfiV9Oy4UeWyZ1Pzcz9yrl4CaGNHqgVU/edit?gid="&amp;XLOOKUP(B310,ID___!A:A,ID___!B:B,"")&amp;"#gid="&amp;XLOOKUP(B310,ID___!A:A,ID___!B:B,"")&amp;"&amp;range=A1:J1","Click"))</f>
        <v/>
      </c>
      <c r="B310" s="19"/>
      <c r="C310" s="17"/>
      <c r="D310" s="16"/>
      <c r="E310" s="16"/>
      <c r="F310" s="16"/>
      <c r="G310" s="17"/>
    </row>
    <row r="311">
      <c r="A311" s="16" t="str">
        <f t="array" ref="A311">IF(ISBLANK(B311),,HYPERLINK("https://docs.google.com/spreadsheets/d/1HrklyxLdxO6wfiV9Oy4UeWyZ1Pzcz9yrl4CaGNHqgVU/edit?gid="&amp;XLOOKUP(B311,ID___!A:A,ID___!B:B,"")&amp;"#gid="&amp;XLOOKUP(B311,ID___!A:A,ID___!B:B,"")&amp;"&amp;range=A1:J1","Click"))</f>
        <v/>
      </c>
      <c r="B311" s="19"/>
      <c r="C311" s="17"/>
      <c r="D311" s="16"/>
      <c r="E311" s="16"/>
      <c r="F311" s="16"/>
      <c r="G311" s="17"/>
    </row>
    <row r="312">
      <c r="A312" s="16" t="str">
        <f t="array" ref="A312">IF(ISBLANK(B312),,HYPERLINK("https://docs.google.com/spreadsheets/d/1HrklyxLdxO6wfiV9Oy4UeWyZ1Pzcz9yrl4CaGNHqgVU/edit?gid="&amp;XLOOKUP(B312,ID___!A:A,ID___!B:B,"")&amp;"#gid="&amp;XLOOKUP(B312,ID___!A:A,ID___!B:B,"")&amp;"&amp;range=A1:J1","Click"))</f>
        <v/>
      </c>
      <c r="B312" s="19"/>
      <c r="C312" s="17"/>
      <c r="D312" s="16"/>
      <c r="E312" s="16"/>
      <c r="F312" s="16"/>
      <c r="G312" s="17"/>
    </row>
    <row r="313">
      <c r="A313" s="16" t="str">
        <f t="array" ref="A313">IF(ISBLANK(B313),,HYPERLINK("https://docs.google.com/spreadsheets/d/1HrklyxLdxO6wfiV9Oy4UeWyZ1Pzcz9yrl4CaGNHqgVU/edit?gid="&amp;XLOOKUP(B313,ID___!A:A,ID___!B:B,"")&amp;"#gid="&amp;XLOOKUP(B313,ID___!A:A,ID___!B:B,"")&amp;"&amp;range=A1:J1","Click"))</f>
        <v/>
      </c>
      <c r="B313" s="19"/>
      <c r="C313" s="17"/>
      <c r="D313" s="16"/>
      <c r="E313" s="16"/>
      <c r="F313" s="16"/>
      <c r="G313" s="17"/>
    </row>
    <row r="314">
      <c r="A314" s="16" t="str">
        <f t="array" ref="A314">IF(ISBLANK(B314),,HYPERLINK("https://docs.google.com/spreadsheets/d/1HrklyxLdxO6wfiV9Oy4UeWyZ1Pzcz9yrl4CaGNHqgVU/edit?gid="&amp;XLOOKUP(B314,ID___!A:A,ID___!B:B,"")&amp;"#gid="&amp;XLOOKUP(B314,ID___!A:A,ID___!B:B,"")&amp;"&amp;range=A1:J1","Click"))</f>
        <v/>
      </c>
      <c r="B314" s="19"/>
      <c r="C314" s="17"/>
      <c r="D314" s="16"/>
      <c r="E314" s="16"/>
      <c r="F314" s="16"/>
      <c r="G314" s="17"/>
    </row>
    <row r="315">
      <c r="A315" s="16" t="str">
        <f t="array" ref="A315">IF(ISBLANK(B315),,HYPERLINK("https://docs.google.com/spreadsheets/d/1HrklyxLdxO6wfiV9Oy4UeWyZ1Pzcz9yrl4CaGNHqgVU/edit?gid="&amp;XLOOKUP(B315,ID___!A:A,ID___!B:B,"")&amp;"#gid="&amp;XLOOKUP(B315,ID___!A:A,ID___!B:B,"")&amp;"&amp;range=A1:J1","Click"))</f>
        <v/>
      </c>
      <c r="B315" s="19"/>
      <c r="C315" s="17"/>
      <c r="D315" s="16"/>
      <c r="E315" s="16"/>
      <c r="F315" s="16"/>
      <c r="G315" s="17"/>
    </row>
    <row r="316">
      <c r="A316" s="16" t="str">
        <f t="array" ref="A316">IF(ISBLANK(B316),,HYPERLINK("https://docs.google.com/spreadsheets/d/1HrklyxLdxO6wfiV9Oy4UeWyZ1Pzcz9yrl4CaGNHqgVU/edit?gid="&amp;XLOOKUP(B316,ID___!A:A,ID___!B:B,"")&amp;"#gid="&amp;XLOOKUP(B316,ID___!A:A,ID___!B:B,"")&amp;"&amp;range=A1:J1","Click"))</f>
        <v/>
      </c>
      <c r="B316" s="19"/>
      <c r="C316" s="17"/>
      <c r="D316" s="16"/>
      <c r="E316" s="16"/>
      <c r="F316" s="16"/>
      <c r="G316" s="17"/>
    </row>
    <row r="317">
      <c r="A317" s="16" t="str">
        <f t="array" ref="A317">IF(ISBLANK(B317),,HYPERLINK("https://docs.google.com/spreadsheets/d/1HrklyxLdxO6wfiV9Oy4UeWyZ1Pzcz9yrl4CaGNHqgVU/edit?gid="&amp;XLOOKUP(B317,ID___!A:A,ID___!B:B,"")&amp;"#gid="&amp;XLOOKUP(B317,ID___!A:A,ID___!B:B,"")&amp;"&amp;range=A1:J1","Click"))</f>
        <v/>
      </c>
      <c r="B317" s="19"/>
      <c r="C317" s="17"/>
      <c r="D317" s="16"/>
      <c r="E317" s="16"/>
      <c r="F317" s="16"/>
      <c r="G317" s="17"/>
    </row>
    <row r="318">
      <c r="A318" s="16" t="str">
        <f t="array" ref="A318">IF(ISBLANK(B318),,HYPERLINK("https://docs.google.com/spreadsheets/d/1HrklyxLdxO6wfiV9Oy4UeWyZ1Pzcz9yrl4CaGNHqgVU/edit?gid="&amp;XLOOKUP(B318,ID___!A:A,ID___!B:B,"")&amp;"#gid="&amp;XLOOKUP(B318,ID___!A:A,ID___!B:B,"")&amp;"&amp;range=A1:J1","Click"))</f>
        <v/>
      </c>
      <c r="B318" s="19"/>
      <c r="C318" s="17"/>
      <c r="D318" s="16"/>
      <c r="E318" s="16"/>
      <c r="F318" s="16"/>
      <c r="G318" s="17"/>
    </row>
    <row r="319">
      <c r="A319" s="16" t="str">
        <f t="array" ref="A319">IF(ISBLANK(B319),,HYPERLINK("https://docs.google.com/spreadsheets/d/1HrklyxLdxO6wfiV9Oy4UeWyZ1Pzcz9yrl4CaGNHqgVU/edit?gid="&amp;XLOOKUP(B319,ID___!A:A,ID___!B:B,"")&amp;"#gid="&amp;XLOOKUP(B319,ID___!A:A,ID___!B:B,"")&amp;"&amp;range=A1:J1","Click"))</f>
        <v/>
      </c>
      <c r="B319" s="19"/>
      <c r="C319" s="17"/>
      <c r="D319" s="16"/>
      <c r="E319" s="16"/>
      <c r="F319" s="16"/>
      <c r="G319" s="17"/>
    </row>
    <row r="320">
      <c r="A320" s="16" t="str">
        <f t="array" ref="A320">IF(ISBLANK(B320),,HYPERLINK("https://docs.google.com/spreadsheets/d/1HrklyxLdxO6wfiV9Oy4UeWyZ1Pzcz9yrl4CaGNHqgVU/edit?gid="&amp;XLOOKUP(B320,ID___!A:A,ID___!B:B,"")&amp;"#gid="&amp;XLOOKUP(B320,ID___!A:A,ID___!B:B,"")&amp;"&amp;range=A1:J1","Click"))</f>
        <v/>
      </c>
      <c r="B320" s="19"/>
      <c r="C320" s="17"/>
      <c r="D320" s="16"/>
      <c r="E320" s="16"/>
      <c r="F320" s="16"/>
      <c r="G320" s="17"/>
    </row>
    <row r="321">
      <c r="A321" s="16" t="str">
        <f t="array" ref="A321">IF(ISBLANK(B321),,HYPERLINK("https://docs.google.com/spreadsheets/d/1HrklyxLdxO6wfiV9Oy4UeWyZ1Pzcz9yrl4CaGNHqgVU/edit?gid="&amp;XLOOKUP(B321,ID___!A:A,ID___!B:B,"")&amp;"#gid="&amp;XLOOKUP(B321,ID___!A:A,ID___!B:B,"")&amp;"&amp;range=A1:J1","Click"))</f>
        <v/>
      </c>
      <c r="B321" s="19"/>
      <c r="C321" s="17"/>
      <c r="D321" s="16"/>
      <c r="E321" s="16"/>
      <c r="F321" s="16"/>
      <c r="G321" s="17"/>
    </row>
    <row r="322">
      <c r="A322" s="16" t="str">
        <f t="array" ref="A322">IF(ISBLANK(B322),,HYPERLINK("https://docs.google.com/spreadsheets/d/1HrklyxLdxO6wfiV9Oy4UeWyZ1Pzcz9yrl4CaGNHqgVU/edit?gid="&amp;XLOOKUP(B322,ID___!A:A,ID___!B:B,"")&amp;"#gid="&amp;XLOOKUP(B322,ID___!A:A,ID___!B:B,"")&amp;"&amp;range=A1:J1","Click"))</f>
        <v/>
      </c>
      <c r="B322" s="19"/>
      <c r="C322" s="17"/>
      <c r="D322" s="16"/>
      <c r="E322" s="16"/>
      <c r="F322" s="16"/>
      <c r="G322" s="17"/>
    </row>
    <row r="323">
      <c r="A323" s="16" t="str">
        <f t="array" ref="A323">IF(ISBLANK(B323),,HYPERLINK("https://docs.google.com/spreadsheets/d/1HrklyxLdxO6wfiV9Oy4UeWyZ1Pzcz9yrl4CaGNHqgVU/edit?gid="&amp;XLOOKUP(B323,ID___!A:A,ID___!B:B,"")&amp;"#gid="&amp;XLOOKUP(B323,ID___!A:A,ID___!B:B,"")&amp;"&amp;range=A1:J1","Click"))</f>
        <v/>
      </c>
      <c r="B323" s="19"/>
      <c r="C323" s="17"/>
      <c r="D323" s="16"/>
      <c r="E323" s="16"/>
      <c r="F323" s="16"/>
      <c r="G323" s="17"/>
    </row>
    <row r="324">
      <c r="A324" s="16" t="str">
        <f t="array" ref="A324">IF(ISBLANK(B324),,HYPERLINK("https://docs.google.com/spreadsheets/d/1HrklyxLdxO6wfiV9Oy4UeWyZ1Pzcz9yrl4CaGNHqgVU/edit?gid="&amp;XLOOKUP(B324,ID___!A:A,ID___!B:B,"")&amp;"#gid="&amp;XLOOKUP(B324,ID___!A:A,ID___!B:B,"")&amp;"&amp;range=A1:J1","Click"))</f>
        <v/>
      </c>
      <c r="B324" s="19"/>
      <c r="C324" s="17"/>
      <c r="D324" s="16"/>
      <c r="E324" s="16"/>
      <c r="F324" s="16"/>
      <c r="G324" s="17"/>
    </row>
    <row r="325">
      <c r="A325" s="16" t="str">
        <f t="array" ref="A325">IF(ISBLANK(B325),,HYPERLINK("https://docs.google.com/spreadsheets/d/1HrklyxLdxO6wfiV9Oy4UeWyZ1Pzcz9yrl4CaGNHqgVU/edit?gid="&amp;XLOOKUP(B325,ID___!A:A,ID___!B:B,"")&amp;"#gid="&amp;XLOOKUP(B325,ID___!A:A,ID___!B:B,"")&amp;"&amp;range=A1:J1","Click"))</f>
        <v/>
      </c>
      <c r="B325" s="19"/>
      <c r="C325" s="17"/>
      <c r="D325" s="16"/>
      <c r="E325" s="16"/>
      <c r="F325" s="16"/>
      <c r="G325" s="17"/>
    </row>
    <row r="326">
      <c r="A326" s="16" t="str">
        <f t="array" ref="A326">IF(ISBLANK(B326),,HYPERLINK("https://docs.google.com/spreadsheets/d/1HrklyxLdxO6wfiV9Oy4UeWyZ1Pzcz9yrl4CaGNHqgVU/edit?gid="&amp;XLOOKUP(B326,ID___!A:A,ID___!B:B,"")&amp;"#gid="&amp;XLOOKUP(B326,ID___!A:A,ID___!B:B,"")&amp;"&amp;range=A1:J1","Click"))</f>
        <v/>
      </c>
      <c r="B326" s="19"/>
      <c r="C326" s="17"/>
      <c r="D326" s="16"/>
      <c r="E326" s="16"/>
      <c r="F326" s="16"/>
      <c r="G326" s="17"/>
    </row>
    <row r="327">
      <c r="A327" s="16" t="str">
        <f t="array" ref="A327">IF(ISBLANK(B327),,HYPERLINK("https://docs.google.com/spreadsheets/d/1HrklyxLdxO6wfiV9Oy4UeWyZ1Pzcz9yrl4CaGNHqgVU/edit?gid="&amp;XLOOKUP(B327,ID___!A:A,ID___!B:B,"")&amp;"#gid="&amp;XLOOKUP(B327,ID___!A:A,ID___!B:B,"")&amp;"&amp;range=A1:J1","Click"))</f>
        <v/>
      </c>
      <c r="B327" s="19"/>
      <c r="C327" s="17"/>
      <c r="D327" s="16"/>
      <c r="E327" s="16"/>
      <c r="F327" s="16"/>
      <c r="G327" s="17"/>
    </row>
    <row r="328">
      <c r="A328" s="16" t="str">
        <f t="array" ref="A328">IF(ISBLANK(B328),,HYPERLINK("https://docs.google.com/spreadsheets/d/1HrklyxLdxO6wfiV9Oy4UeWyZ1Pzcz9yrl4CaGNHqgVU/edit?gid="&amp;XLOOKUP(B328,ID___!A:A,ID___!B:B,"")&amp;"#gid="&amp;XLOOKUP(B328,ID___!A:A,ID___!B:B,"")&amp;"&amp;range=A1:J1","Click"))</f>
        <v/>
      </c>
      <c r="B328" s="19"/>
      <c r="C328" s="17"/>
      <c r="D328" s="16"/>
      <c r="E328" s="16"/>
      <c r="F328" s="16"/>
      <c r="G328" s="17"/>
    </row>
    <row r="329">
      <c r="A329" s="16" t="str">
        <f t="array" ref="A329">IF(ISBLANK(B329),,HYPERLINK("https://docs.google.com/spreadsheets/d/1HrklyxLdxO6wfiV9Oy4UeWyZ1Pzcz9yrl4CaGNHqgVU/edit?gid="&amp;XLOOKUP(B329,ID___!A:A,ID___!B:B,"")&amp;"#gid="&amp;XLOOKUP(B329,ID___!A:A,ID___!B:B,"")&amp;"&amp;range=A1:J1","Click"))</f>
        <v/>
      </c>
      <c r="B329" s="19"/>
      <c r="C329" s="17"/>
      <c r="D329" s="16"/>
      <c r="E329" s="16"/>
      <c r="F329" s="16"/>
      <c r="G329" s="17"/>
    </row>
    <row r="330">
      <c r="A330" s="16" t="str">
        <f t="array" ref="A330">IF(ISBLANK(B330),,HYPERLINK("https://docs.google.com/spreadsheets/d/1HrklyxLdxO6wfiV9Oy4UeWyZ1Pzcz9yrl4CaGNHqgVU/edit?gid="&amp;XLOOKUP(B330,ID___!A:A,ID___!B:B,"")&amp;"#gid="&amp;XLOOKUP(B330,ID___!A:A,ID___!B:B,"")&amp;"&amp;range=A1:J1","Click"))</f>
        <v/>
      </c>
      <c r="B330" s="19"/>
      <c r="C330" s="17"/>
      <c r="D330" s="16"/>
      <c r="E330" s="16"/>
      <c r="F330" s="16"/>
      <c r="G330" s="17"/>
    </row>
    <row r="331">
      <c r="A331" s="16" t="str">
        <f t="array" ref="A331">IF(ISBLANK(B331),,HYPERLINK("https://docs.google.com/spreadsheets/d/1HrklyxLdxO6wfiV9Oy4UeWyZ1Pzcz9yrl4CaGNHqgVU/edit?gid="&amp;XLOOKUP(B331,ID___!A:A,ID___!B:B,"")&amp;"#gid="&amp;XLOOKUP(B331,ID___!A:A,ID___!B:B,"")&amp;"&amp;range=A1:J1","Click"))</f>
        <v/>
      </c>
      <c r="B331" s="19"/>
      <c r="C331" s="17"/>
      <c r="D331" s="16"/>
      <c r="E331" s="16"/>
      <c r="F331" s="16"/>
      <c r="G331" s="17"/>
    </row>
    <row r="332">
      <c r="A332" s="16" t="str">
        <f t="array" ref="A332">IF(ISBLANK(B332),,HYPERLINK("https://docs.google.com/spreadsheets/d/1HrklyxLdxO6wfiV9Oy4UeWyZ1Pzcz9yrl4CaGNHqgVU/edit?gid="&amp;XLOOKUP(B332,ID___!A:A,ID___!B:B,"")&amp;"#gid="&amp;XLOOKUP(B332,ID___!A:A,ID___!B:B,"")&amp;"&amp;range=A1:J1","Click"))</f>
        <v/>
      </c>
      <c r="B332" s="19"/>
      <c r="C332" s="17"/>
      <c r="D332" s="16"/>
      <c r="E332" s="16"/>
      <c r="F332" s="16"/>
      <c r="G332" s="17"/>
    </row>
    <row r="333">
      <c r="A333" s="16" t="str">
        <f t="array" ref="A333">IF(ISBLANK(B333),,HYPERLINK("https://docs.google.com/spreadsheets/d/1HrklyxLdxO6wfiV9Oy4UeWyZ1Pzcz9yrl4CaGNHqgVU/edit?gid="&amp;XLOOKUP(B333,ID___!A:A,ID___!B:B,"")&amp;"#gid="&amp;XLOOKUP(B333,ID___!A:A,ID___!B:B,"")&amp;"&amp;range=A1:J1","Click"))</f>
        <v/>
      </c>
      <c r="B333" s="19"/>
      <c r="C333" s="17"/>
      <c r="D333" s="16"/>
      <c r="E333" s="16"/>
      <c r="F333" s="16"/>
      <c r="G333" s="17"/>
    </row>
    <row r="334">
      <c r="A334" s="16" t="str">
        <f t="array" ref="A334">IF(ISBLANK(B334),,HYPERLINK("https://docs.google.com/spreadsheets/d/1HrklyxLdxO6wfiV9Oy4UeWyZ1Pzcz9yrl4CaGNHqgVU/edit?gid="&amp;XLOOKUP(B334,ID___!A:A,ID___!B:B,"")&amp;"#gid="&amp;XLOOKUP(B334,ID___!A:A,ID___!B:B,"")&amp;"&amp;range=A1:J1","Click"))</f>
        <v/>
      </c>
      <c r="B334" s="19"/>
      <c r="C334" s="17"/>
      <c r="D334" s="16"/>
      <c r="E334" s="16"/>
      <c r="F334" s="16"/>
      <c r="G334" s="17"/>
    </row>
    <row r="335">
      <c r="A335" s="16" t="str">
        <f t="array" ref="A335">IF(ISBLANK(B335),,HYPERLINK("https://docs.google.com/spreadsheets/d/1HrklyxLdxO6wfiV9Oy4UeWyZ1Pzcz9yrl4CaGNHqgVU/edit?gid="&amp;XLOOKUP(B335,ID___!A:A,ID___!B:B,"")&amp;"#gid="&amp;XLOOKUP(B335,ID___!A:A,ID___!B:B,"")&amp;"&amp;range=A1:J1","Click"))</f>
        <v/>
      </c>
      <c r="B335" s="19"/>
      <c r="C335" s="17"/>
      <c r="D335" s="16"/>
      <c r="E335" s="16"/>
      <c r="F335" s="16"/>
      <c r="G335" s="17"/>
    </row>
    <row r="336">
      <c r="A336" s="16" t="str">
        <f t="array" ref="A336">IF(ISBLANK(B336),,HYPERLINK("https://docs.google.com/spreadsheets/d/1HrklyxLdxO6wfiV9Oy4UeWyZ1Pzcz9yrl4CaGNHqgVU/edit?gid="&amp;XLOOKUP(B336,ID___!A:A,ID___!B:B,"")&amp;"#gid="&amp;XLOOKUP(B336,ID___!A:A,ID___!B:B,"")&amp;"&amp;range=A1:J1","Click"))</f>
        <v/>
      </c>
      <c r="B336" s="19"/>
      <c r="C336" s="17"/>
      <c r="D336" s="16"/>
      <c r="E336" s="16"/>
      <c r="F336" s="16"/>
      <c r="G336" s="17"/>
    </row>
    <row r="337">
      <c r="A337" s="16" t="str">
        <f t="array" ref="A337">IF(ISBLANK(B337),,HYPERLINK("https://docs.google.com/spreadsheets/d/1HrklyxLdxO6wfiV9Oy4UeWyZ1Pzcz9yrl4CaGNHqgVU/edit?gid="&amp;XLOOKUP(B337,ID___!A:A,ID___!B:B,"")&amp;"#gid="&amp;XLOOKUP(B337,ID___!A:A,ID___!B:B,"")&amp;"&amp;range=A1:J1","Click"))</f>
        <v/>
      </c>
      <c r="B337" s="19"/>
      <c r="C337" s="17"/>
      <c r="D337" s="16"/>
      <c r="E337" s="16"/>
      <c r="F337" s="16"/>
      <c r="G337" s="17"/>
    </row>
    <row r="338">
      <c r="A338" s="16" t="str">
        <f t="array" ref="A338">IF(ISBLANK(B338),,HYPERLINK("https://docs.google.com/spreadsheets/d/1HrklyxLdxO6wfiV9Oy4UeWyZ1Pzcz9yrl4CaGNHqgVU/edit?gid="&amp;XLOOKUP(B338,ID___!A:A,ID___!B:B,"")&amp;"#gid="&amp;XLOOKUP(B338,ID___!A:A,ID___!B:B,"")&amp;"&amp;range=A1:J1","Click"))</f>
        <v/>
      </c>
      <c r="B338" s="19"/>
      <c r="C338" s="17"/>
      <c r="D338" s="16"/>
      <c r="E338" s="16"/>
      <c r="F338" s="16"/>
      <c r="G338" s="17"/>
    </row>
    <row r="339">
      <c r="A339" s="16" t="str">
        <f t="array" ref="A339">IF(ISBLANK(B339),,HYPERLINK("https://docs.google.com/spreadsheets/d/1HrklyxLdxO6wfiV9Oy4UeWyZ1Pzcz9yrl4CaGNHqgVU/edit?gid="&amp;XLOOKUP(B339,ID___!A:A,ID___!B:B,"")&amp;"#gid="&amp;XLOOKUP(B339,ID___!A:A,ID___!B:B,"")&amp;"&amp;range=A1:J1","Click"))</f>
        <v/>
      </c>
      <c r="B339" s="19"/>
      <c r="C339" s="17"/>
      <c r="D339" s="16"/>
      <c r="E339" s="16"/>
      <c r="F339" s="16"/>
      <c r="G339" s="17"/>
    </row>
    <row r="340">
      <c r="A340" s="16" t="str">
        <f t="array" ref="A340">IF(ISBLANK(B340),,HYPERLINK("https://docs.google.com/spreadsheets/d/1HrklyxLdxO6wfiV9Oy4UeWyZ1Pzcz9yrl4CaGNHqgVU/edit?gid="&amp;XLOOKUP(B340,ID___!A:A,ID___!B:B,"")&amp;"#gid="&amp;XLOOKUP(B340,ID___!A:A,ID___!B:B,"")&amp;"&amp;range=A1:J1","Click"))</f>
        <v/>
      </c>
      <c r="B340" s="19"/>
      <c r="C340" s="17"/>
      <c r="D340" s="16"/>
      <c r="E340" s="16"/>
      <c r="F340" s="16"/>
      <c r="G340" s="17"/>
    </row>
    <row r="341">
      <c r="A341" s="16" t="str">
        <f t="array" ref="A341">IF(ISBLANK(B341),,HYPERLINK("https://docs.google.com/spreadsheets/d/1HrklyxLdxO6wfiV9Oy4UeWyZ1Pzcz9yrl4CaGNHqgVU/edit?gid="&amp;XLOOKUP(B341,ID___!A:A,ID___!B:B,"")&amp;"#gid="&amp;XLOOKUP(B341,ID___!A:A,ID___!B:B,"")&amp;"&amp;range=A1:J1","Click"))</f>
        <v/>
      </c>
      <c r="B341" s="19"/>
      <c r="C341" s="17"/>
      <c r="D341" s="16"/>
      <c r="E341" s="16"/>
      <c r="F341" s="16"/>
      <c r="G341" s="17"/>
    </row>
    <row r="342">
      <c r="A342" s="16" t="str">
        <f t="array" ref="A342">IF(ISBLANK(B342),,HYPERLINK("https://docs.google.com/spreadsheets/d/1HrklyxLdxO6wfiV9Oy4UeWyZ1Pzcz9yrl4CaGNHqgVU/edit?gid="&amp;XLOOKUP(B342,ID___!A:A,ID___!B:B,"")&amp;"#gid="&amp;XLOOKUP(B342,ID___!A:A,ID___!B:B,"")&amp;"&amp;range=A1:J1","Click"))</f>
        <v/>
      </c>
      <c r="B342" s="19"/>
      <c r="C342" s="17"/>
      <c r="D342" s="16"/>
      <c r="E342" s="16"/>
      <c r="F342" s="16"/>
      <c r="G342" s="17"/>
    </row>
    <row r="343">
      <c r="A343" s="16" t="str">
        <f t="array" ref="A343">IF(ISBLANK(B343),,HYPERLINK("https://docs.google.com/spreadsheets/d/1HrklyxLdxO6wfiV9Oy4UeWyZ1Pzcz9yrl4CaGNHqgVU/edit?gid="&amp;XLOOKUP(B343,ID___!A:A,ID___!B:B,"")&amp;"#gid="&amp;XLOOKUP(B343,ID___!A:A,ID___!B:B,"")&amp;"&amp;range=A1:J1","Click"))</f>
        <v/>
      </c>
      <c r="B343" s="19"/>
      <c r="C343" s="17"/>
      <c r="D343" s="16"/>
      <c r="E343" s="16"/>
      <c r="F343" s="16"/>
      <c r="G343" s="17"/>
    </row>
    <row r="344">
      <c r="A344" s="16" t="str">
        <f t="array" ref="A344">IF(ISBLANK(B344),,HYPERLINK("https://docs.google.com/spreadsheets/d/1HrklyxLdxO6wfiV9Oy4UeWyZ1Pzcz9yrl4CaGNHqgVU/edit?gid="&amp;XLOOKUP(B344,ID___!A:A,ID___!B:B,"")&amp;"#gid="&amp;XLOOKUP(B344,ID___!A:A,ID___!B:B,"")&amp;"&amp;range=A1:J1","Click"))</f>
        <v/>
      </c>
      <c r="B344" s="19"/>
      <c r="C344" s="17"/>
      <c r="D344" s="16"/>
      <c r="E344" s="16"/>
      <c r="F344" s="16"/>
      <c r="G344" s="17"/>
    </row>
    <row r="345">
      <c r="A345" s="16" t="str">
        <f t="array" ref="A345">IF(ISBLANK(B345),,HYPERLINK("https://docs.google.com/spreadsheets/d/1HrklyxLdxO6wfiV9Oy4UeWyZ1Pzcz9yrl4CaGNHqgVU/edit?gid="&amp;XLOOKUP(B345,ID___!A:A,ID___!B:B,"")&amp;"#gid="&amp;XLOOKUP(B345,ID___!A:A,ID___!B:B,"")&amp;"&amp;range=A1:J1","Click"))</f>
        <v/>
      </c>
      <c r="B345" s="19"/>
      <c r="C345" s="17"/>
      <c r="D345" s="16"/>
      <c r="E345" s="16"/>
      <c r="F345" s="16"/>
      <c r="G345" s="17"/>
    </row>
    <row r="346">
      <c r="A346" s="16" t="str">
        <f t="array" ref="A346">IF(ISBLANK(B346),,HYPERLINK("https://docs.google.com/spreadsheets/d/1HrklyxLdxO6wfiV9Oy4UeWyZ1Pzcz9yrl4CaGNHqgVU/edit?gid="&amp;XLOOKUP(B346,ID___!A:A,ID___!B:B,"")&amp;"#gid="&amp;XLOOKUP(B346,ID___!A:A,ID___!B:B,"")&amp;"&amp;range=A1:J1","Click"))</f>
        <v/>
      </c>
      <c r="B346" s="19"/>
      <c r="C346" s="17"/>
      <c r="D346" s="16"/>
      <c r="E346" s="16"/>
      <c r="F346" s="16"/>
      <c r="G346" s="17"/>
    </row>
    <row r="347">
      <c r="A347" s="16" t="str">
        <f t="array" ref="A347">IF(ISBLANK(B347),,HYPERLINK("https://docs.google.com/spreadsheets/d/1HrklyxLdxO6wfiV9Oy4UeWyZ1Pzcz9yrl4CaGNHqgVU/edit?gid="&amp;XLOOKUP(B347,ID___!A:A,ID___!B:B,"")&amp;"#gid="&amp;XLOOKUP(B347,ID___!A:A,ID___!B:B,"")&amp;"&amp;range=A1:J1","Click"))</f>
        <v/>
      </c>
      <c r="B347" s="19"/>
      <c r="C347" s="17"/>
      <c r="D347" s="16"/>
      <c r="E347" s="16"/>
      <c r="F347" s="16"/>
      <c r="G347" s="17"/>
    </row>
    <row r="348">
      <c r="A348" s="16" t="str">
        <f t="array" ref="A348">IF(ISBLANK(B348),,HYPERLINK("https://docs.google.com/spreadsheets/d/1HrklyxLdxO6wfiV9Oy4UeWyZ1Pzcz9yrl4CaGNHqgVU/edit?gid="&amp;XLOOKUP(B348,ID___!A:A,ID___!B:B,"")&amp;"#gid="&amp;XLOOKUP(B348,ID___!A:A,ID___!B:B,"")&amp;"&amp;range=A1:J1","Click"))</f>
        <v/>
      </c>
      <c r="B348" s="19"/>
      <c r="C348" s="17"/>
      <c r="D348" s="16"/>
      <c r="E348" s="16"/>
      <c r="F348" s="16"/>
      <c r="G348" s="17"/>
    </row>
    <row r="349">
      <c r="A349" s="16" t="str">
        <f t="array" ref="A349">IF(ISBLANK(B349),,HYPERLINK("https://docs.google.com/spreadsheets/d/1HrklyxLdxO6wfiV9Oy4UeWyZ1Pzcz9yrl4CaGNHqgVU/edit?gid="&amp;XLOOKUP(B349,ID___!A:A,ID___!B:B,"")&amp;"#gid="&amp;XLOOKUP(B349,ID___!A:A,ID___!B:B,"")&amp;"&amp;range=A1:J1","Click"))</f>
        <v/>
      </c>
      <c r="B349" s="19"/>
      <c r="C349" s="17"/>
      <c r="D349" s="16"/>
      <c r="E349" s="16"/>
      <c r="F349" s="16"/>
      <c r="G349" s="17"/>
    </row>
    <row r="350">
      <c r="A350" s="16" t="str">
        <f t="array" ref="A350">IF(ISBLANK(B350),,HYPERLINK("https://docs.google.com/spreadsheets/d/1HrklyxLdxO6wfiV9Oy4UeWyZ1Pzcz9yrl4CaGNHqgVU/edit?gid="&amp;XLOOKUP(B350,ID___!A:A,ID___!B:B,"")&amp;"#gid="&amp;XLOOKUP(B350,ID___!A:A,ID___!B:B,"")&amp;"&amp;range=A1:J1","Click"))</f>
        <v/>
      </c>
      <c r="B350" s="19"/>
      <c r="C350" s="17"/>
      <c r="D350" s="16"/>
      <c r="E350" s="16"/>
      <c r="F350" s="16"/>
      <c r="G350" s="17"/>
    </row>
    <row r="351">
      <c r="A351" s="16" t="str">
        <f t="array" ref="A351">IF(ISBLANK(B351),,HYPERLINK("https://docs.google.com/spreadsheets/d/1HrklyxLdxO6wfiV9Oy4UeWyZ1Pzcz9yrl4CaGNHqgVU/edit?gid="&amp;XLOOKUP(B351,ID___!A:A,ID___!B:B,"")&amp;"#gid="&amp;XLOOKUP(B351,ID___!A:A,ID___!B:B,"")&amp;"&amp;range=A1:J1","Click"))</f>
        <v/>
      </c>
      <c r="B351" s="19"/>
      <c r="C351" s="17"/>
      <c r="D351" s="16"/>
      <c r="E351" s="16"/>
      <c r="F351" s="16"/>
      <c r="G351" s="17"/>
    </row>
    <row r="352">
      <c r="A352" s="16" t="str">
        <f t="array" ref="A352">IF(ISBLANK(B352),,HYPERLINK("https://docs.google.com/spreadsheets/d/1HrklyxLdxO6wfiV9Oy4UeWyZ1Pzcz9yrl4CaGNHqgVU/edit?gid="&amp;XLOOKUP(B352,ID___!A:A,ID___!B:B,"")&amp;"#gid="&amp;XLOOKUP(B352,ID___!A:A,ID___!B:B,"")&amp;"&amp;range=A1:J1","Click"))</f>
        <v/>
      </c>
      <c r="B352" s="19"/>
      <c r="C352" s="17"/>
      <c r="D352" s="16"/>
      <c r="E352" s="16"/>
      <c r="F352" s="16"/>
      <c r="G352" s="17"/>
    </row>
    <row r="353">
      <c r="A353" s="16" t="str">
        <f t="array" ref="A353">IF(ISBLANK(B353),,HYPERLINK("https://docs.google.com/spreadsheets/d/1HrklyxLdxO6wfiV9Oy4UeWyZ1Pzcz9yrl4CaGNHqgVU/edit?gid="&amp;XLOOKUP(B353,ID___!A:A,ID___!B:B,"")&amp;"#gid="&amp;XLOOKUP(B353,ID___!A:A,ID___!B:B,"")&amp;"&amp;range=A1:J1","Click"))</f>
        <v/>
      </c>
      <c r="B353" s="19"/>
      <c r="C353" s="17"/>
      <c r="D353" s="16"/>
      <c r="E353" s="16"/>
      <c r="F353" s="16"/>
      <c r="G353" s="17"/>
    </row>
    <row r="354">
      <c r="A354" s="16" t="str">
        <f t="array" ref="A354">IF(ISBLANK(B354),,HYPERLINK("https://docs.google.com/spreadsheets/d/1HrklyxLdxO6wfiV9Oy4UeWyZ1Pzcz9yrl4CaGNHqgVU/edit?gid="&amp;XLOOKUP(B354,ID___!A:A,ID___!B:B,"")&amp;"#gid="&amp;XLOOKUP(B354,ID___!A:A,ID___!B:B,"")&amp;"&amp;range=A1:J1","Click"))</f>
        <v/>
      </c>
      <c r="B354" s="19"/>
      <c r="C354" s="17"/>
      <c r="D354" s="16"/>
      <c r="E354" s="16"/>
      <c r="F354" s="16"/>
      <c r="G354" s="17"/>
    </row>
    <row r="355">
      <c r="A355" s="16" t="str">
        <f t="array" ref="A355">IF(ISBLANK(B355),,HYPERLINK("https://docs.google.com/spreadsheets/d/1HrklyxLdxO6wfiV9Oy4UeWyZ1Pzcz9yrl4CaGNHqgVU/edit?gid="&amp;XLOOKUP(B355,ID___!A:A,ID___!B:B,"")&amp;"#gid="&amp;XLOOKUP(B355,ID___!A:A,ID___!B:B,"")&amp;"&amp;range=A1:J1","Click"))</f>
        <v/>
      </c>
      <c r="B355" s="19"/>
      <c r="C355" s="17"/>
      <c r="D355" s="16"/>
      <c r="E355" s="16"/>
      <c r="F355" s="16"/>
      <c r="G355" s="17"/>
    </row>
    <row r="356">
      <c r="A356" s="16" t="str">
        <f t="array" ref="A356">IF(ISBLANK(B356),,HYPERLINK("https://docs.google.com/spreadsheets/d/1HrklyxLdxO6wfiV9Oy4UeWyZ1Pzcz9yrl4CaGNHqgVU/edit?gid="&amp;XLOOKUP(B356,ID___!A:A,ID___!B:B,"")&amp;"#gid="&amp;XLOOKUP(B356,ID___!A:A,ID___!B:B,"")&amp;"&amp;range=A1:J1","Click"))</f>
        <v/>
      </c>
      <c r="B356" s="19"/>
      <c r="C356" s="17"/>
      <c r="D356" s="16"/>
      <c r="E356" s="16"/>
      <c r="F356" s="16"/>
      <c r="G356" s="17"/>
    </row>
    <row r="357">
      <c r="A357" s="16" t="str">
        <f t="array" ref="A357">IF(ISBLANK(B357),,HYPERLINK("https://docs.google.com/spreadsheets/d/1HrklyxLdxO6wfiV9Oy4UeWyZ1Pzcz9yrl4CaGNHqgVU/edit?gid="&amp;XLOOKUP(B357,ID___!A:A,ID___!B:B,"")&amp;"#gid="&amp;XLOOKUP(B357,ID___!A:A,ID___!B:B,"")&amp;"&amp;range=A1:J1","Click"))</f>
        <v/>
      </c>
      <c r="B357" s="19"/>
      <c r="C357" s="17"/>
      <c r="D357" s="16"/>
      <c r="E357" s="16"/>
      <c r="F357" s="16"/>
      <c r="G357" s="17"/>
    </row>
    <row r="358">
      <c r="A358" s="16" t="str">
        <f t="array" ref="A358">IF(ISBLANK(B358),,HYPERLINK("https://docs.google.com/spreadsheets/d/1HrklyxLdxO6wfiV9Oy4UeWyZ1Pzcz9yrl4CaGNHqgVU/edit?gid="&amp;XLOOKUP(B358,ID___!A:A,ID___!B:B,"")&amp;"#gid="&amp;XLOOKUP(B358,ID___!A:A,ID___!B:B,"")&amp;"&amp;range=A1:J1","Click"))</f>
        <v/>
      </c>
      <c r="B358" s="19"/>
      <c r="C358" s="17"/>
      <c r="D358" s="16"/>
      <c r="E358" s="16"/>
      <c r="F358" s="16"/>
      <c r="G358" s="17"/>
    </row>
    <row r="359">
      <c r="A359" s="16" t="str">
        <f t="array" ref="A359">IF(ISBLANK(B359),,HYPERLINK("https://docs.google.com/spreadsheets/d/1HrklyxLdxO6wfiV9Oy4UeWyZ1Pzcz9yrl4CaGNHqgVU/edit?gid="&amp;XLOOKUP(B359,ID___!A:A,ID___!B:B,"")&amp;"#gid="&amp;XLOOKUP(B359,ID___!A:A,ID___!B:B,"")&amp;"&amp;range=A1:J1","Click"))</f>
        <v/>
      </c>
      <c r="B359" s="19"/>
      <c r="C359" s="17"/>
      <c r="D359" s="16"/>
      <c r="E359" s="16"/>
      <c r="F359" s="16"/>
      <c r="G359" s="17"/>
    </row>
    <row r="360">
      <c r="A360" s="16" t="str">
        <f t="array" ref="A360">IF(ISBLANK(B360),,HYPERLINK("https://docs.google.com/spreadsheets/d/1HrklyxLdxO6wfiV9Oy4UeWyZ1Pzcz9yrl4CaGNHqgVU/edit?gid="&amp;XLOOKUP(B360,ID___!A:A,ID___!B:B,"")&amp;"#gid="&amp;XLOOKUP(B360,ID___!A:A,ID___!B:B,"")&amp;"&amp;range=A1:J1","Click"))</f>
        <v/>
      </c>
      <c r="B360" s="19"/>
      <c r="C360" s="17"/>
      <c r="D360" s="16"/>
      <c r="E360" s="16"/>
      <c r="F360" s="16"/>
      <c r="G360" s="17"/>
    </row>
    <row r="361">
      <c r="A361" s="16" t="str">
        <f t="array" ref="A361">IF(ISBLANK(B361),,HYPERLINK("https://docs.google.com/spreadsheets/d/1HrklyxLdxO6wfiV9Oy4UeWyZ1Pzcz9yrl4CaGNHqgVU/edit?gid="&amp;XLOOKUP(B361,ID___!A:A,ID___!B:B,"")&amp;"#gid="&amp;XLOOKUP(B361,ID___!A:A,ID___!B:B,"")&amp;"&amp;range=A1:J1","Click"))</f>
        <v/>
      </c>
      <c r="B361" s="19"/>
      <c r="C361" s="17"/>
      <c r="D361" s="16"/>
      <c r="E361" s="16"/>
      <c r="F361" s="16"/>
      <c r="G361" s="17"/>
    </row>
    <row r="362">
      <c r="A362" s="16" t="str">
        <f t="array" ref="A362">IF(ISBLANK(B362),,HYPERLINK("https://docs.google.com/spreadsheets/d/1HrklyxLdxO6wfiV9Oy4UeWyZ1Pzcz9yrl4CaGNHqgVU/edit?gid="&amp;XLOOKUP(B362,ID___!A:A,ID___!B:B,"")&amp;"#gid="&amp;XLOOKUP(B362,ID___!A:A,ID___!B:B,"")&amp;"&amp;range=A1:J1","Click"))</f>
        <v/>
      </c>
      <c r="B362" s="19"/>
      <c r="C362" s="17"/>
      <c r="D362" s="16"/>
      <c r="E362" s="16"/>
      <c r="F362" s="16"/>
      <c r="G362" s="17"/>
    </row>
    <row r="363">
      <c r="A363" s="16" t="str">
        <f t="array" ref="A363">IF(ISBLANK(B363),,HYPERLINK("https://docs.google.com/spreadsheets/d/1HrklyxLdxO6wfiV9Oy4UeWyZ1Pzcz9yrl4CaGNHqgVU/edit?gid="&amp;XLOOKUP(B363,ID___!A:A,ID___!B:B,"")&amp;"#gid="&amp;XLOOKUP(B363,ID___!A:A,ID___!B:B,"")&amp;"&amp;range=A1:J1","Click"))</f>
        <v/>
      </c>
      <c r="B363" s="19"/>
      <c r="C363" s="17"/>
      <c r="D363" s="16"/>
      <c r="E363" s="16"/>
      <c r="F363" s="16"/>
      <c r="G363" s="17"/>
    </row>
    <row r="364">
      <c r="A364" s="16" t="str">
        <f t="array" ref="A364">IF(ISBLANK(B364),,HYPERLINK("https://docs.google.com/spreadsheets/d/1HrklyxLdxO6wfiV9Oy4UeWyZ1Pzcz9yrl4CaGNHqgVU/edit?gid="&amp;XLOOKUP(B364,ID___!A:A,ID___!B:B,"")&amp;"#gid="&amp;XLOOKUP(B364,ID___!A:A,ID___!B:B,"")&amp;"&amp;range=A1:J1","Click"))</f>
        <v/>
      </c>
      <c r="B364" s="19"/>
      <c r="C364" s="17"/>
      <c r="D364" s="16"/>
      <c r="E364" s="16"/>
      <c r="F364" s="16"/>
      <c r="G364" s="17"/>
    </row>
    <row r="365">
      <c r="A365" s="16" t="str">
        <f t="array" ref="A365">IF(ISBLANK(B365),,HYPERLINK("https://docs.google.com/spreadsheets/d/1HrklyxLdxO6wfiV9Oy4UeWyZ1Pzcz9yrl4CaGNHqgVU/edit?gid="&amp;XLOOKUP(B365,ID___!A:A,ID___!B:B,"")&amp;"#gid="&amp;XLOOKUP(B365,ID___!A:A,ID___!B:B,"")&amp;"&amp;range=A1:J1","Click"))</f>
        <v/>
      </c>
      <c r="B365" s="19"/>
      <c r="C365" s="17"/>
      <c r="D365" s="16"/>
      <c r="E365" s="16"/>
      <c r="F365" s="16"/>
      <c r="G365" s="17"/>
    </row>
    <row r="366">
      <c r="A366" s="16" t="str">
        <f t="array" ref="A366">IF(ISBLANK(B366),,HYPERLINK("https://docs.google.com/spreadsheets/d/1HrklyxLdxO6wfiV9Oy4UeWyZ1Pzcz9yrl4CaGNHqgVU/edit?gid="&amp;XLOOKUP(B366,ID___!A:A,ID___!B:B,"")&amp;"#gid="&amp;XLOOKUP(B366,ID___!A:A,ID___!B:B,"")&amp;"&amp;range=A1:J1","Click"))</f>
        <v/>
      </c>
      <c r="B366" s="19"/>
      <c r="C366" s="17"/>
      <c r="D366" s="16"/>
      <c r="E366" s="16"/>
      <c r="F366" s="16"/>
      <c r="G366" s="17"/>
    </row>
    <row r="367">
      <c r="A367" s="16" t="str">
        <f t="array" ref="A367">IF(ISBLANK(B367),,HYPERLINK("https://docs.google.com/spreadsheets/d/1HrklyxLdxO6wfiV9Oy4UeWyZ1Pzcz9yrl4CaGNHqgVU/edit?gid="&amp;XLOOKUP(B367,ID___!A:A,ID___!B:B,"")&amp;"#gid="&amp;XLOOKUP(B367,ID___!A:A,ID___!B:B,"")&amp;"&amp;range=A1:J1","Click"))</f>
        <v/>
      </c>
      <c r="B367" s="19"/>
      <c r="C367" s="17"/>
      <c r="D367" s="16"/>
      <c r="E367" s="16"/>
      <c r="F367" s="16"/>
      <c r="G367" s="17"/>
    </row>
    <row r="368">
      <c r="A368" s="16" t="str">
        <f t="array" ref="A368">IF(ISBLANK(B368),,HYPERLINK("https://docs.google.com/spreadsheets/d/1HrklyxLdxO6wfiV9Oy4UeWyZ1Pzcz9yrl4CaGNHqgVU/edit?gid="&amp;XLOOKUP(B368,ID___!A:A,ID___!B:B,"")&amp;"#gid="&amp;XLOOKUP(B368,ID___!A:A,ID___!B:B,"")&amp;"&amp;range=A1:J1","Click"))</f>
        <v/>
      </c>
      <c r="B368" s="19"/>
      <c r="C368" s="17"/>
      <c r="D368" s="16"/>
      <c r="E368" s="16"/>
      <c r="F368" s="16"/>
      <c r="G368" s="17"/>
    </row>
    <row r="369">
      <c r="A369" s="16" t="str">
        <f t="array" ref="A369">IF(ISBLANK(B369),,HYPERLINK("https://docs.google.com/spreadsheets/d/1HrklyxLdxO6wfiV9Oy4UeWyZ1Pzcz9yrl4CaGNHqgVU/edit?gid="&amp;XLOOKUP(B369,ID___!A:A,ID___!B:B,"")&amp;"#gid="&amp;XLOOKUP(B369,ID___!A:A,ID___!B:B,"")&amp;"&amp;range=A1:J1","Click"))</f>
        <v/>
      </c>
      <c r="B369" s="19"/>
      <c r="C369" s="17"/>
      <c r="D369" s="16"/>
      <c r="E369" s="16"/>
      <c r="F369" s="16"/>
      <c r="G369" s="17"/>
    </row>
    <row r="370">
      <c r="A370" s="16" t="str">
        <f t="array" ref="A370">IF(ISBLANK(B370),,HYPERLINK("https://docs.google.com/spreadsheets/d/1HrklyxLdxO6wfiV9Oy4UeWyZ1Pzcz9yrl4CaGNHqgVU/edit?gid="&amp;XLOOKUP(B370,ID___!A:A,ID___!B:B,"")&amp;"#gid="&amp;XLOOKUP(B370,ID___!A:A,ID___!B:B,"")&amp;"&amp;range=A1:J1","Click"))</f>
        <v/>
      </c>
      <c r="B370" s="19"/>
      <c r="C370" s="17"/>
      <c r="D370" s="16"/>
      <c r="E370" s="16"/>
      <c r="F370" s="16"/>
      <c r="G370" s="17"/>
    </row>
    <row r="371">
      <c r="A371" s="16" t="str">
        <f t="array" ref="A371">IF(ISBLANK(B371),,HYPERLINK("https://docs.google.com/spreadsheets/d/1HrklyxLdxO6wfiV9Oy4UeWyZ1Pzcz9yrl4CaGNHqgVU/edit?gid="&amp;XLOOKUP(B371,ID___!A:A,ID___!B:B,"")&amp;"#gid="&amp;XLOOKUP(B371,ID___!A:A,ID___!B:B,"")&amp;"&amp;range=A1:J1","Click"))</f>
        <v/>
      </c>
      <c r="B371" s="19"/>
      <c r="C371" s="17"/>
      <c r="D371" s="16"/>
      <c r="E371" s="16"/>
      <c r="F371" s="16"/>
      <c r="G371" s="17"/>
    </row>
    <row r="372">
      <c r="A372" s="16" t="str">
        <f t="array" ref="A372">IF(ISBLANK(B372),,HYPERLINK("https://docs.google.com/spreadsheets/d/1HrklyxLdxO6wfiV9Oy4UeWyZ1Pzcz9yrl4CaGNHqgVU/edit?gid="&amp;XLOOKUP(B372,ID___!A:A,ID___!B:B,"")&amp;"#gid="&amp;XLOOKUP(B372,ID___!A:A,ID___!B:B,"")&amp;"&amp;range=A1:J1","Click"))</f>
        <v/>
      </c>
      <c r="B372" s="19"/>
      <c r="C372" s="17"/>
      <c r="D372" s="16"/>
      <c r="E372" s="16"/>
      <c r="F372" s="16"/>
      <c r="G372" s="17"/>
    </row>
    <row r="373">
      <c r="A373" s="16" t="str">
        <f t="array" ref="A373">IF(ISBLANK(B373),,HYPERLINK("https://docs.google.com/spreadsheets/d/1HrklyxLdxO6wfiV9Oy4UeWyZ1Pzcz9yrl4CaGNHqgVU/edit?gid="&amp;XLOOKUP(B373,ID___!A:A,ID___!B:B,"")&amp;"#gid="&amp;XLOOKUP(B373,ID___!A:A,ID___!B:B,"")&amp;"&amp;range=A1:J1","Click"))</f>
        <v/>
      </c>
      <c r="B373" s="19"/>
      <c r="C373" s="17"/>
      <c r="D373" s="16"/>
      <c r="E373" s="16"/>
      <c r="F373" s="16"/>
      <c r="G373" s="17"/>
    </row>
    <row r="374">
      <c r="A374" s="16" t="str">
        <f t="array" ref="A374">IF(ISBLANK(B374),,HYPERLINK("https://docs.google.com/spreadsheets/d/1HrklyxLdxO6wfiV9Oy4UeWyZ1Pzcz9yrl4CaGNHqgVU/edit?gid="&amp;XLOOKUP(B374,ID___!A:A,ID___!B:B,"")&amp;"#gid="&amp;XLOOKUP(B374,ID___!A:A,ID___!B:B,"")&amp;"&amp;range=A1:J1","Click"))</f>
        <v/>
      </c>
      <c r="B374" s="19"/>
      <c r="C374" s="17"/>
      <c r="D374" s="16"/>
      <c r="E374" s="16"/>
      <c r="F374" s="16"/>
      <c r="G374" s="17"/>
    </row>
    <row r="375">
      <c r="A375" s="16" t="str">
        <f t="array" ref="A375">IF(ISBLANK(B375),,HYPERLINK("https://docs.google.com/spreadsheets/d/1HrklyxLdxO6wfiV9Oy4UeWyZ1Pzcz9yrl4CaGNHqgVU/edit?gid="&amp;XLOOKUP(B375,ID___!A:A,ID___!B:B,"")&amp;"#gid="&amp;XLOOKUP(B375,ID___!A:A,ID___!B:B,"")&amp;"&amp;range=A1:J1","Click"))</f>
        <v/>
      </c>
      <c r="B375" s="19"/>
      <c r="C375" s="17"/>
      <c r="D375" s="16"/>
      <c r="E375" s="16"/>
      <c r="F375" s="16"/>
      <c r="G375" s="17"/>
    </row>
    <row r="376">
      <c r="A376" s="16" t="str">
        <f t="array" ref="A376">IF(ISBLANK(B376),,HYPERLINK("https://docs.google.com/spreadsheets/d/1HrklyxLdxO6wfiV9Oy4UeWyZ1Pzcz9yrl4CaGNHqgVU/edit?gid="&amp;XLOOKUP(B376,ID___!A:A,ID___!B:B,"")&amp;"#gid="&amp;XLOOKUP(B376,ID___!A:A,ID___!B:B,"")&amp;"&amp;range=A1:J1","Click"))</f>
        <v/>
      </c>
      <c r="B376" s="19"/>
      <c r="C376" s="17"/>
      <c r="D376" s="16"/>
      <c r="E376" s="16"/>
      <c r="F376" s="16"/>
      <c r="G376" s="17"/>
    </row>
    <row r="377">
      <c r="A377" s="16" t="str">
        <f t="array" ref="A377">IF(ISBLANK(B377),,HYPERLINK("https://docs.google.com/spreadsheets/d/1HrklyxLdxO6wfiV9Oy4UeWyZ1Pzcz9yrl4CaGNHqgVU/edit?gid="&amp;XLOOKUP(B377,ID___!A:A,ID___!B:B,"")&amp;"#gid="&amp;XLOOKUP(B377,ID___!A:A,ID___!B:B,"")&amp;"&amp;range=A1:J1","Click"))</f>
        <v/>
      </c>
      <c r="B377" s="19"/>
      <c r="C377" s="17"/>
      <c r="D377" s="16"/>
      <c r="E377" s="16"/>
      <c r="F377" s="16"/>
      <c r="G377" s="17"/>
    </row>
    <row r="378">
      <c r="A378" s="16" t="str">
        <f t="array" ref="A378">IF(ISBLANK(B378),,HYPERLINK("https://docs.google.com/spreadsheets/d/1HrklyxLdxO6wfiV9Oy4UeWyZ1Pzcz9yrl4CaGNHqgVU/edit?gid="&amp;XLOOKUP(B378,ID___!A:A,ID___!B:B,"")&amp;"#gid="&amp;XLOOKUP(B378,ID___!A:A,ID___!B:B,"")&amp;"&amp;range=A1:J1","Click"))</f>
        <v/>
      </c>
      <c r="B378" s="19"/>
      <c r="C378" s="17"/>
      <c r="D378" s="16"/>
      <c r="E378" s="16"/>
      <c r="F378" s="16"/>
      <c r="G378" s="17"/>
    </row>
    <row r="379">
      <c r="A379" s="16" t="str">
        <f t="array" ref="A379">IF(ISBLANK(B379),,HYPERLINK("https://docs.google.com/spreadsheets/d/1HrklyxLdxO6wfiV9Oy4UeWyZ1Pzcz9yrl4CaGNHqgVU/edit?gid="&amp;XLOOKUP(B379,ID___!A:A,ID___!B:B,"")&amp;"#gid="&amp;XLOOKUP(B379,ID___!A:A,ID___!B:B,"")&amp;"&amp;range=A1:J1","Click"))</f>
        <v/>
      </c>
      <c r="B379" s="19"/>
      <c r="C379" s="17"/>
      <c r="D379" s="16"/>
      <c r="E379" s="16"/>
      <c r="F379" s="16"/>
      <c r="G379" s="17"/>
    </row>
    <row r="380">
      <c r="A380" s="16" t="str">
        <f t="array" ref="A380">IF(ISBLANK(B380),,HYPERLINK("https://docs.google.com/spreadsheets/d/1HrklyxLdxO6wfiV9Oy4UeWyZ1Pzcz9yrl4CaGNHqgVU/edit?gid="&amp;XLOOKUP(B380,ID___!A:A,ID___!B:B,"")&amp;"#gid="&amp;XLOOKUP(B380,ID___!A:A,ID___!B:B,"")&amp;"&amp;range=A1:J1","Click"))</f>
        <v/>
      </c>
      <c r="B380" s="19"/>
      <c r="C380" s="17"/>
      <c r="D380" s="16"/>
      <c r="E380" s="16"/>
      <c r="F380" s="16"/>
      <c r="G380" s="17"/>
    </row>
    <row r="381">
      <c r="A381" s="16" t="str">
        <f t="array" ref="A381">IF(ISBLANK(B381),,HYPERLINK("https://docs.google.com/spreadsheets/d/1HrklyxLdxO6wfiV9Oy4UeWyZ1Pzcz9yrl4CaGNHqgVU/edit?gid="&amp;XLOOKUP(B381,ID___!A:A,ID___!B:B,"")&amp;"#gid="&amp;XLOOKUP(B381,ID___!A:A,ID___!B:B,"")&amp;"&amp;range=A1:J1","Click"))</f>
        <v/>
      </c>
      <c r="B381" s="19"/>
      <c r="C381" s="17"/>
      <c r="D381" s="16"/>
      <c r="E381" s="16"/>
      <c r="F381" s="16"/>
      <c r="G381" s="17"/>
    </row>
    <row r="382">
      <c r="A382" s="16" t="str">
        <f t="array" ref="A382">IF(ISBLANK(B382),,HYPERLINK("https://docs.google.com/spreadsheets/d/1HrklyxLdxO6wfiV9Oy4UeWyZ1Pzcz9yrl4CaGNHqgVU/edit?gid="&amp;XLOOKUP(B382,ID___!A:A,ID___!B:B,"")&amp;"#gid="&amp;XLOOKUP(B382,ID___!A:A,ID___!B:B,"")&amp;"&amp;range=A1:J1","Click"))</f>
        <v/>
      </c>
      <c r="B382" s="19"/>
      <c r="C382" s="17"/>
      <c r="D382" s="16"/>
      <c r="E382" s="16"/>
      <c r="F382" s="16"/>
      <c r="G382" s="17"/>
    </row>
    <row r="383">
      <c r="A383" s="16" t="str">
        <f t="array" ref="A383">IF(ISBLANK(B383),,HYPERLINK("https://docs.google.com/spreadsheets/d/1HrklyxLdxO6wfiV9Oy4UeWyZ1Pzcz9yrl4CaGNHqgVU/edit?gid="&amp;XLOOKUP(B383,ID___!A:A,ID___!B:B,"")&amp;"#gid="&amp;XLOOKUP(B383,ID___!A:A,ID___!B:B,"")&amp;"&amp;range=A1:J1","Click"))</f>
        <v/>
      </c>
      <c r="B383" s="19"/>
      <c r="C383" s="17"/>
      <c r="D383" s="16"/>
      <c r="E383" s="16"/>
      <c r="F383" s="16"/>
      <c r="G383" s="17"/>
    </row>
    <row r="384">
      <c r="A384" s="16" t="str">
        <f t="array" ref="A384">IF(ISBLANK(B384),,HYPERLINK("https://docs.google.com/spreadsheets/d/1HrklyxLdxO6wfiV9Oy4UeWyZ1Pzcz9yrl4CaGNHqgVU/edit?gid="&amp;XLOOKUP(B384,ID___!A:A,ID___!B:B,"")&amp;"#gid="&amp;XLOOKUP(B384,ID___!A:A,ID___!B:B,"")&amp;"&amp;range=A1:J1","Click"))</f>
        <v/>
      </c>
      <c r="B384" s="19"/>
      <c r="C384" s="17"/>
      <c r="D384" s="16"/>
      <c r="E384" s="16"/>
      <c r="F384" s="16"/>
      <c r="G384" s="17"/>
    </row>
    <row r="385">
      <c r="A385" s="16" t="str">
        <f t="array" ref="A385">IF(ISBLANK(B385),,HYPERLINK("https://docs.google.com/spreadsheets/d/1HrklyxLdxO6wfiV9Oy4UeWyZ1Pzcz9yrl4CaGNHqgVU/edit?gid="&amp;XLOOKUP(B385,ID___!A:A,ID___!B:B,"")&amp;"#gid="&amp;XLOOKUP(B385,ID___!A:A,ID___!B:B,"")&amp;"&amp;range=A1:J1","Click"))</f>
        <v/>
      </c>
      <c r="B385" s="19"/>
      <c r="C385" s="17"/>
      <c r="D385" s="16"/>
      <c r="E385" s="16"/>
      <c r="F385" s="16"/>
      <c r="G385" s="17"/>
    </row>
    <row r="386">
      <c r="A386" s="16" t="str">
        <f t="array" ref="A386">IF(ISBLANK(B386),,HYPERLINK("https://docs.google.com/spreadsheets/d/1HrklyxLdxO6wfiV9Oy4UeWyZ1Pzcz9yrl4CaGNHqgVU/edit?gid="&amp;XLOOKUP(B386,ID___!A:A,ID___!B:B,"")&amp;"#gid="&amp;XLOOKUP(B386,ID___!A:A,ID___!B:B,"")&amp;"&amp;range=A1:J1","Click"))</f>
        <v/>
      </c>
      <c r="B386" s="19"/>
      <c r="C386" s="17"/>
      <c r="D386" s="16"/>
      <c r="E386" s="16"/>
      <c r="F386" s="16"/>
      <c r="G386" s="17"/>
    </row>
    <row r="387">
      <c r="A387" s="16" t="str">
        <f t="array" ref="A387">IF(ISBLANK(B387),,HYPERLINK("https://docs.google.com/spreadsheets/d/1HrklyxLdxO6wfiV9Oy4UeWyZ1Pzcz9yrl4CaGNHqgVU/edit?gid="&amp;XLOOKUP(B387,ID___!A:A,ID___!B:B,"")&amp;"#gid="&amp;XLOOKUP(B387,ID___!A:A,ID___!B:B,"")&amp;"&amp;range=A1:J1","Click"))</f>
        <v/>
      </c>
      <c r="B387" s="19"/>
      <c r="C387" s="17"/>
      <c r="D387" s="16"/>
      <c r="E387" s="16"/>
      <c r="F387" s="16"/>
      <c r="G387" s="17"/>
    </row>
    <row r="388">
      <c r="A388" s="16" t="str">
        <f t="array" ref="A388">IF(ISBLANK(B388),,HYPERLINK("https://docs.google.com/spreadsheets/d/1HrklyxLdxO6wfiV9Oy4UeWyZ1Pzcz9yrl4CaGNHqgVU/edit?gid="&amp;XLOOKUP(B388,ID___!A:A,ID___!B:B,"")&amp;"#gid="&amp;XLOOKUP(B388,ID___!A:A,ID___!B:B,"")&amp;"&amp;range=A1:J1","Click"))</f>
        <v/>
      </c>
      <c r="B388" s="19"/>
      <c r="C388" s="17"/>
      <c r="D388" s="16"/>
      <c r="E388" s="16"/>
      <c r="F388" s="16"/>
      <c r="G388" s="17"/>
    </row>
    <row r="389">
      <c r="A389" s="16" t="str">
        <f t="array" ref="A389">IF(ISBLANK(B389),,HYPERLINK("https://docs.google.com/spreadsheets/d/1HrklyxLdxO6wfiV9Oy4UeWyZ1Pzcz9yrl4CaGNHqgVU/edit?gid="&amp;XLOOKUP(B389,ID___!A:A,ID___!B:B,"")&amp;"#gid="&amp;XLOOKUP(B389,ID___!A:A,ID___!B:B,"")&amp;"&amp;range=A1:J1","Click"))</f>
        <v/>
      </c>
      <c r="B389" s="19"/>
      <c r="C389" s="17"/>
      <c r="D389" s="16"/>
      <c r="E389" s="16"/>
      <c r="F389" s="16"/>
      <c r="G389" s="17"/>
    </row>
    <row r="390">
      <c r="A390" s="16" t="str">
        <f t="array" ref="A390">IF(ISBLANK(B390),,HYPERLINK("https://docs.google.com/spreadsheets/d/1HrklyxLdxO6wfiV9Oy4UeWyZ1Pzcz9yrl4CaGNHqgVU/edit?gid="&amp;XLOOKUP(B390,ID___!A:A,ID___!B:B,"")&amp;"#gid="&amp;XLOOKUP(B390,ID___!A:A,ID___!B:B,"")&amp;"&amp;range=A1:J1","Click"))</f>
        <v/>
      </c>
      <c r="B390" s="19"/>
      <c r="C390" s="17"/>
      <c r="D390" s="16"/>
      <c r="E390" s="16"/>
      <c r="F390" s="16"/>
      <c r="G390" s="17"/>
    </row>
    <row r="391">
      <c r="A391" s="16" t="str">
        <f t="array" ref="A391">IF(ISBLANK(B391),,HYPERLINK("https://docs.google.com/spreadsheets/d/1HrklyxLdxO6wfiV9Oy4UeWyZ1Pzcz9yrl4CaGNHqgVU/edit?gid="&amp;XLOOKUP(B391,ID___!A:A,ID___!B:B,"")&amp;"#gid="&amp;XLOOKUP(B391,ID___!A:A,ID___!B:B,"")&amp;"&amp;range=A1:J1","Click"))</f>
        <v/>
      </c>
      <c r="B391" s="19"/>
      <c r="C391" s="17"/>
      <c r="D391" s="16"/>
      <c r="E391" s="16"/>
      <c r="F391" s="16"/>
      <c r="G391" s="17"/>
    </row>
    <row r="392">
      <c r="A392" s="16" t="str">
        <f t="array" ref="A392">IF(ISBLANK(B392),,HYPERLINK("https://docs.google.com/spreadsheets/d/1HrklyxLdxO6wfiV9Oy4UeWyZ1Pzcz9yrl4CaGNHqgVU/edit?gid="&amp;XLOOKUP(B392,ID___!A:A,ID___!B:B,"")&amp;"#gid="&amp;XLOOKUP(B392,ID___!A:A,ID___!B:B,"")&amp;"&amp;range=A1:J1","Click"))</f>
        <v/>
      </c>
      <c r="B392" s="19"/>
      <c r="C392" s="17"/>
      <c r="D392" s="16"/>
      <c r="E392" s="16"/>
      <c r="F392" s="16"/>
      <c r="G392" s="17"/>
    </row>
    <row r="393">
      <c r="A393" s="16" t="str">
        <f t="array" ref="A393">IF(ISBLANK(B393),,HYPERLINK("https://docs.google.com/spreadsheets/d/1HrklyxLdxO6wfiV9Oy4UeWyZ1Pzcz9yrl4CaGNHqgVU/edit?gid="&amp;XLOOKUP(B393,ID___!A:A,ID___!B:B,"")&amp;"#gid="&amp;XLOOKUP(B393,ID___!A:A,ID___!B:B,"")&amp;"&amp;range=A1:J1","Click"))</f>
        <v/>
      </c>
      <c r="B393" s="19"/>
      <c r="C393" s="17"/>
      <c r="D393" s="16"/>
      <c r="E393" s="16"/>
      <c r="F393" s="16"/>
      <c r="G393" s="17"/>
    </row>
    <row r="394">
      <c r="A394" s="16" t="str">
        <f t="array" ref="A394">IF(ISBLANK(B394),,HYPERLINK("https://docs.google.com/spreadsheets/d/1HrklyxLdxO6wfiV9Oy4UeWyZ1Pzcz9yrl4CaGNHqgVU/edit?gid="&amp;XLOOKUP(B394,ID___!A:A,ID___!B:B,"")&amp;"#gid="&amp;XLOOKUP(B394,ID___!A:A,ID___!B:B,"")&amp;"&amp;range=A1:J1","Click"))</f>
        <v/>
      </c>
      <c r="B394" s="19"/>
      <c r="C394" s="17"/>
      <c r="D394" s="16"/>
      <c r="E394" s="16"/>
      <c r="F394" s="16"/>
      <c r="G394" s="17"/>
    </row>
    <row r="395">
      <c r="A395" s="16" t="str">
        <f t="array" ref="A395">IF(ISBLANK(B395),,HYPERLINK("https://docs.google.com/spreadsheets/d/1HrklyxLdxO6wfiV9Oy4UeWyZ1Pzcz9yrl4CaGNHqgVU/edit?gid="&amp;XLOOKUP(B395,ID___!A:A,ID___!B:B,"")&amp;"#gid="&amp;XLOOKUP(B395,ID___!A:A,ID___!B:B,"")&amp;"&amp;range=A1:J1","Click"))</f>
        <v/>
      </c>
      <c r="B395" s="19"/>
      <c r="C395" s="17"/>
      <c r="D395" s="16"/>
      <c r="E395" s="16"/>
      <c r="F395" s="16"/>
      <c r="G395" s="17"/>
    </row>
    <row r="396">
      <c r="A396" s="16" t="str">
        <f t="array" ref="A396">IF(ISBLANK(B396),,HYPERLINK("https://docs.google.com/spreadsheets/d/1HrklyxLdxO6wfiV9Oy4UeWyZ1Pzcz9yrl4CaGNHqgVU/edit?gid="&amp;XLOOKUP(B396,ID___!A:A,ID___!B:B,"")&amp;"#gid="&amp;XLOOKUP(B396,ID___!A:A,ID___!B:B,"")&amp;"&amp;range=A1:J1","Click"))</f>
        <v/>
      </c>
      <c r="B396" s="19"/>
      <c r="C396" s="17"/>
      <c r="D396" s="16"/>
      <c r="E396" s="16"/>
      <c r="F396" s="16"/>
      <c r="G396" s="17"/>
    </row>
    <row r="397">
      <c r="A397" s="16" t="str">
        <f t="array" ref="A397">IF(ISBLANK(B397),,HYPERLINK("https://docs.google.com/spreadsheets/d/1HrklyxLdxO6wfiV9Oy4UeWyZ1Pzcz9yrl4CaGNHqgVU/edit?gid="&amp;XLOOKUP(B397,ID___!A:A,ID___!B:B,"")&amp;"#gid="&amp;XLOOKUP(B397,ID___!A:A,ID___!B:B,"")&amp;"&amp;range=A1:J1","Click"))</f>
        <v/>
      </c>
      <c r="B397" s="19"/>
      <c r="C397" s="17"/>
      <c r="D397" s="16"/>
      <c r="E397" s="16"/>
      <c r="F397" s="16"/>
      <c r="G397" s="17"/>
    </row>
    <row r="398">
      <c r="A398" s="16" t="str">
        <f t="array" ref="A398">IF(ISBLANK(B398),,HYPERLINK("https://docs.google.com/spreadsheets/d/1HrklyxLdxO6wfiV9Oy4UeWyZ1Pzcz9yrl4CaGNHqgVU/edit?gid="&amp;XLOOKUP(B398,ID___!A:A,ID___!B:B,"")&amp;"#gid="&amp;XLOOKUP(B398,ID___!A:A,ID___!B:B,"")&amp;"&amp;range=A1:J1","Click"))</f>
        <v/>
      </c>
      <c r="B398" s="19"/>
      <c r="C398" s="17"/>
      <c r="D398" s="16"/>
      <c r="E398" s="16"/>
      <c r="F398" s="16"/>
      <c r="G398" s="17"/>
    </row>
    <row r="399">
      <c r="A399" s="16" t="str">
        <f t="array" ref="A399">IF(ISBLANK(B399),,HYPERLINK("https://docs.google.com/spreadsheets/d/1HrklyxLdxO6wfiV9Oy4UeWyZ1Pzcz9yrl4CaGNHqgVU/edit?gid="&amp;XLOOKUP(B399,ID___!A:A,ID___!B:B,"")&amp;"#gid="&amp;XLOOKUP(B399,ID___!A:A,ID___!B:B,"")&amp;"&amp;range=A1:J1","Click"))</f>
        <v/>
      </c>
      <c r="B399" s="19"/>
      <c r="C399" s="17"/>
      <c r="D399" s="16"/>
      <c r="E399" s="16"/>
      <c r="F399" s="16"/>
      <c r="G399" s="17"/>
    </row>
    <row r="400">
      <c r="A400" s="16" t="str">
        <f t="array" ref="A400">IF(ISBLANK(B400),,HYPERLINK("https://docs.google.com/spreadsheets/d/1HrklyxLdxO6wfiV9Oy4UeWyZ1Pzcz9yrl4CaGNHqgVU/edit?gid="&amp;XLOOKUP(B400,ID___!A:A,ID___!B:B,"")&amp;"#gid="&amp;XLOOKUP(B400,ID___!A:A,ID___!B:B,"")&amp;"&amp;range=A1:J1","Click"))</f>
        <v/>
      </c>
      <c r="B400" s="19"/>
      <c r="C400" s="17"/>
      <c r="D400" s="16"/>
      <c r="E400" s="16"/>
      <c r="F400" s="16"/>
      <c r="G400" s="17"/>
    </row>
    <row r="401">
      <c r="A401" s="16" t="str">
        <f t="array" ref="A401">IF(ISBLANK(B401),,HYPERLINK("https://docs.google.com/spreadsheets/d/1HrklyxLdxO6wfiV9Oy4UeWyZ1Pzcz9yrl4CaGNHqgVU/edit?gid="&amp;XLOOKUP(B401,ID___!A:A,ID___!B:B,"")&amp;"#gid="&amp;XLOOKUP(B401,ID___!A:A,ID___!B:B,"")&amp;"&amp;range=A1:J1","Click"))</f>
        <v/>
      </c>
      <c r="B401" s="19"/>
      <c r="C401" s="17"/>
      <c r="D401" s="16"/>
      <c r="E401" s="16"/>
      <c r="F401" s="16"/>
      <c r="G401" s="17"/>
    </row>
    <row r="402">
      <c r="A402" s="16" t="str">
        <f t="array" ref="A402">IF(ISBLANK(B402),,HYPERLINK("https://docs.google.com/spreadsheets/d/1HrklyxLdxO6wfiV9Oy4UeWyZ1Pzcz9yrl4CaGNHqgVU/edit?gid="&amp;XLOOKUP(B402,ID___!A:A,ID___!B:B,"")&amp;"#gid="&amp;XLOOKUP(B402,ID___!A:A,ID___!B:B,"")&amp;"&amp;range=A1:J1","Click"))</f>
        <v/>
      </c>
      <c r="B402" s="19"/>
      <c r="C402" s="17"/>
      <c r="D402" s="16"/>
      <c r="E402" s="16"/>
      <c r="F402" s="16"/>
      <c r="G402" s="17"/>
    </row>
    <row r="403">
      <c r="A403" s="16" t="str">
        <f t="array" ref="A403">IF(ISBLANK(B403),,HYPERLINK("https://docs.google.com/spreadsheets/d/1HrklyxLdxO6wfiV9Oy4UeWyZ1Pzcz9yrl4CaGNHqgVU/edit?gid="&amp;XLOOKUP(B403,ID___!A:A,ID___!B:B,"")&amp;"#gid="&amp;XLOOKUP(B403,ID___!A:A,ID___!B:B,"")&amp;"&amp;range=A1:J1","Click"))</f>
        <v/>
      </c>
      <c r="B403" s="19"/>
      <c r="C403" s="17"/>
      <c r="D403" s="16"/>
      <c r="E403" s="16"/>
      <c r="F403" s="16"/>
      <c r="G403" s="17"/>
    </row>
    <row r="404">
      <c r="A404" s="16" t="str">
        <f t="array" ref="A404">IF(ISBLANK(B404),,HYPERLINK("https://docs.google.com/spreadsheets/d/1HrklyxLdxO6wfiV9Oy4UeWyZ1Pzcz9yrl4CaGNHqgVU/edit?gid="&amp;XLOOKUP(B404,ID___!A:A,ID___!B:B,"")&amp;"#gid="&amp;XLOOKUP(B404,ID___!A:A,ID___!B:B,"")&amp;"&amp;range=A1:J1","Click"))</f>
        <v/>
      </c>
      <c r="B404" s="19"/>
      <c r="C404" s="17"/>
      <c r="D404" s="16"/>
      <c r="E404" s="16"/>
      <c r="F404" s="16"/>
      <c r="G404" s="17"/>
    </row>
    <row r="405">
      <c r="A405" s="16" t="str">
        <f t="array" ref="A405">IF(ISBLANK(B405),,HYPERLINK("https://docs.google.com/spreadsheets/d/1HrklyxLdxO6wfiV9Oy4UeWyZ1Pzcz9yrl4CaGNHqgVU/edit?gid="&amp;XLOOKUP(B405,ID___!A:A,ID___!B:B,"")&amp;"#gid="&amp;XLOOKUP(B405,ID___!A:A,ID___!B:B,"")&amp;"&amp;range=A1:J1","Click"))</f>
        <v/>
      </c>
      <c r="B405" s="19"/>
      <c r="C405" s="17"/>
      <c r="D405" s="16"/>
      <c r="E405" s="16"/>
      <c r="F405" s="16"/>
      <c r="G405" s="17"/>
    </row>
    <row r="406">
      <c r="A406" s="16" t="str">
        <f t="array" ref="A406">IF(ISBLANK(B406),,HYPERLINK("https://docs.google.com/spreadsheets/d/1HrklyxLdxO6wfiV9Oy4UeWyZ1Pzcz9yrl4CaGNHqgVU/edit?gid="&amp;XLOOKUP(B406,ID___!A:A,ID___!B:B,"")&amp;"#gid="&amp;XLOOKUP(B406,ID___!A:A,ID___!B:B,"")&amp;"&amp;range=A1:J1","Click"))</f>
        <v/>
      </c>
      <c r="B406" s="19"/>
      <c r="C406" s="17"/>
      <c r="D406" s="16"/>
      <c r="E406" s="16"/>
      <c r="F406" s="16"/>
      <c r="G406" s="17"/>
    </row>
    <row r="407">
      <c r="A407" s="16" t="str">
        <f t="array" ref="A407">IF(ISBLANK(B407),,HYPERLINK("https://docs.google.com/spreadsheets/d/1HrklyxLdxO6wfiV9Oy4UeWyZ1Pzcz9yrl4CaGNHqgVU/edit?gid="&amp;XLOOKUP(B407,ID___!A:A,ID___!B:B,"")&amp;"#gid="&amp;XLOOKUP(B407,ID___!A:A,ID___!B:B,"")&amp;"&amp;range=A1:J1","Click"))</f>
        <v/>
      </c>
      <c r="B407" s="19"/>
      <c r="C407" s="17"/>
      <c r="D407" s="16"/>
      <c r="E407" s="16"/>
      <c r="F407" s="16"/>
      <c r="G407" s="17"/>
    </row>
    <row r="408">
      <c r="A408" s="16" t="str">
        <f t="array" ref="A408">IF(ISBLANK(B408),,HYPERLINK("https://docs.google.com/spreadsheets/d/1HrklyxLdxO6wfiV9Oy4UeWyZ1Pzcz9yrl4CaGNHqgVU/edit?gid="&amp;XLOOKUP(B408,ID___!A:A,ID___!B:B,"")&amp;"#gid="&amp;XLOOKUP(B408,ID___!A:A,ID___!B:B,"")&amp;"&amp;range=A1:J1","Click"))</f>
        <v/>
      </c>
      <c r="B408" s="19"/>
      <c r="C408" s="17"/>
      <c r="D408" s="16"/>
      <c r="E408" s="16"/>
      <c r="F408" s="16"/>
      <c r="G408" s="17"/>
    </row>
    <row r="409">
      <c r="A409" s="16" t="str">
        <f t="array" ref="A409">IF(ISBLANK(B409),,HYPERLINK("https://docs.google.com/spreadsheets/d/1HrklyxLdxO6wfiV9Oy4UeWyZ1Pzcz9yrl4CaGNHqgVU/edit?gid="&amp;XLOOKUP(B409,ID___!A:A,ID___!B:B,"")&amp;"#gid="&amp;XLOOKUP(B409,ID___!A:A,ID___!B:B,"")&amp;"&amp;range=A1:J1","Click"))</f>
        <v/>
      </c>
      <c r="B409" s="19"/>
      <c r="C409" s="17"/>
      <c r="D409" s="16"/>
      <c r="E409" s="16"/>
      <c r="F409" s="16"/>
      <c r="G409" s="17"/>
    </row>
    <row r="410">
      <c r="A410" s="16" t="str">
        <f t="array" ref="A410">IF(ISBLANK(B410),,HYPERLINK("https://docs.google.com/spreadsheets/d/1HrklyxLdxO6wfiV9Oy4UeWyZ1Pzcz9yrl4CaGNHqgVU/edit?gid="&amp;XLOOKUP(B410,ID___!A:A,ID___!B:B,"")&amp;"#gid="&amp;XLOOKUP(B410,ID___!A:A,ID___!B:B,"")&amp;"&amp;range=A1:J1","Click"))</f>
        <v/>
      </c>
      <c r="B410" s="19"/>
      <c r="C410" s="17"/>
      <c r="D410" s="16"/>
      <c r="E410" s="16"/>
      <c r="F410" s="16"/>
      <c r="G410" s="17"/>
    </row>
    <row r="411">
      <c r="A411" s="16" t="str">
        <f t="array" ref="A411">IF(ISBLANK(B411),,HYPERLINK("https://docs.google.com/spreadsheets/d/1HrklyxLdxO6wfiV9Oy4UeWyZ1Pzcz9yrl4CaGNHqgVU/edit?gid="&amp;XLOOKUP(B411,ID___!A:A,ID___!B:B,"")&amp;"#gid="&amp;XLOOKUP(B411,ID___!A:A,ID___!B:B,"")&amp;"&amp;range=A1:J1","Click"))</f>
        <v/>
      </c>
      <c r="B411" s="19"/>
      <c r="C411" s="17"/>
      <c r="D411" s="16"/>
      <c r="E411" s="16"/>
      <c r="F411" s="16"/>
      <c r="G411" s="17"/>
    </row>
    <row r="412">
      <c r="A412" s="16" t="str">
        <f t="array" ref="A412">IF(ISBLANK(B412),,HYPERLINK("https://docs.google.com/spreadsheets/d/1HrklyxLdxO6wfiV9Oy4UeWyZ1Pzcz9yrl4CaGNHqgVU/edit?gid="&amp;XLOOKUP(B412,ID___!A:A,ID___!B:B,"")&amp;"#gid="&amp;XLOOKUP(B412,ID___!A:A,ID___!B:B,"")&amp;"&amp;range=A1:J1","Click"))</f>
        <v/>
      </c>
      <c r="B412" s="19"/>
      <c r="C412" s="17"/>
      <c r="D412" s="16"/>
      <c r="E412" s="16"/>
      <c r="F412" s="16"/>
      <c r="G412" s="17"/>
    </row>
    <row r="413">
      <c r="A413" s="16" t="str">
        <f t="array" ref="A413">IF(ISBLANK(B413),,HYPERLINK("https://docs.google.com/spreadsheets/d/1HrklyxLdxO6wfiV9Oy4UeWyZ1Pzcz9yrl4CaGNHqgVU/edit?gid="&amp;XLOOKUP(B413,ID___!A:A,ID___!B:B,"")&amp;"#gid="&amp;XLOOKUP(B413,ID___!A:A,ID___!B:B,"")&amp;"&amp;range=A1:J1","Click"))</f>
        <v/>
      </c>
      <c r="B413" s="19"/>
      <c r="C413" s="17"/>
      <c r="D413" s="16"/>
      <c r="E413" s="16"/>
      <c r="F413" s="16"/>
      <c r="G413" s="17"/>
    </row>
    <row r="414">
      <c r="A414" s="16" t="str">
        <f t="array" ref="A414">IF(ISBLANK(B414),,HYPERLINK("https://docs.google.com/spreadsheets/d/1HrklyxLdxO6wfiV9Oy4UeWyZ1Pzcz9yrl4CaGNHqgVU/edit?gid="&amp;XLOOKUP(B414,ID___!A:A,ID___!B:B,"")&amp;"#gid="&amp;XLOOKUP(B414,ID___!A:A,ID___!B:B,"")&amp;"&amp;range=A1:J1","Click"))</f>
        <v/>
      </c>
      <c r="B414" s="19"/>
      <c r="C414" s="17"/>
      <c r="D414" s="16"/>
      <c r="E414" s="16"/>
      <c r="F414" s="16"/>
      <c r="G414" s="17"/>
    </row>
    <row r="415">
      <c r="A415" s="16" t="str">
        <f t="array" ref="A415">IF(ISBLANK(B415),,HYPERLINK("https://docs.google.com/spreadsheets/d/1HrklyxLdxO6wfiV9Oy4UeWyZ1Pzcz9yrl4CaGNHqgVU/edit?gid="&amp;XLOOKUP(B415,ID___!A:A,ID___!B:B,"")&amp;"#gid="&amp;XLOOKUP(B415,ID___!A:A,ID___!B:B,"")&amp;"&amp;range=A1:J1","Click"))</f>
        <v/>
      </c>
      <c r="B415" s="19"/>
      <c r="C415" s="17"/>
      <c r="D415" s="16"/>
      <c r="E415" s="16"/>
      <c r="F415" s="16"/>
      <c r="G415" s="17"/>
    </row>
    <row r="416">
      <c r="A416" s="16" t="str">
        <f t="array" ref="A416">IF(ISBLANK(B416),,HYPERLINK("https://docs.google.com/spreadsheets/d/1HrklyxLdxO6wfiV9Oy4UeWyZ1Pzcz9yrl4CaGNHqgVU/edit?gid="&amp;XLOOKUP(B416,ID___!A:A,ID___!B:B,"")&amp;"#gid="&amp;XLOOKUP(B416,ID___!A:A,ID___!B:B,"")&amp;"&amp;range=A1:J1","Click"))</f>
        <v/>
      </c>
      <c r="B416" s="19"/>
      <c r="C416" s="17"/>
      <c r="D416" s="16"/>
      <c r="E416" s="16"/>
      <c r="F416" s="16"/>
      <c r="G416" s="17"/>
    </row>
    <row r="417">
      <c r="A417" s="16" t="str">
        <f t="array" ref="A417">IF(ISBLANK(B417),,HYPERLINK("https://docs.google.com/spreadsheets/d/1HrklyxLdxO6wfiV9Oy4UeWyZ1Pzcz9yrl4CaGNHqgVU/edit?gid="&amp;XLOOKUP(B417,ID___!A:A,ID___!B:B,"")&amp;"#gid="&amp;XLOOKUP(B417,ID___!A:A,ID___!B:B,"")&amp;"&amp;range=A1:J1","Click"))</f>
        <v/>
      </c>
      <c r="B417" s="19"/>
      <c r="C417" s="17"/>
      <c r="D417" s="16"/>
      <c r="E417" s="16"/>
      <c r="F417" s="16"/>
      <c r="G417" s="17"/>
    </row>
    <row r="418">
      <c r="A418" s="16" t="str">
        <f t="array" ref="A418">IF(ISBLANK(B418),,HYPERLINK("https://docs.google.com/spreadsheets/d/1HrklyxLdxO6wfiV9Oy4UeWyZ1Pzcz9yrl4CaGNHqgVU/edit?gid="&amp;XLOOKUP(B418,ID___!A:A,ID___!B:B,"")&amp;"#gid="&amp;XLOOKUP(B418,ID___!A:A,ID___!B:B,"")&amp;"&amp;range=A1:J1","Click"))</f>
        <v/>
      </c>
      <c r="B418" s="19"/>
      <c r="C418" s="17"/>
      <c r="D418" s="16"/>
      <c r="E418" s="16"/>
      <c r="F418" s="16"/>
      <c r="G418" s="17"/>
    </row>
    <row r="419">
      <c r="A419" s="16" t="str">
        <f t="array" ref="A419">IF(ISBLANK(B419),,HYPERLINK("https://docs.google.com/spreadsheets/d/1HrklyxLdxO6wfiV9Oy4UeWyZ1Pzcz9yrl4CaGNHqgVU/edit?gid="&amp;XLOOKUP(B419,ID___!A:A,ID___!B:B,"")&amp;"#gid="&amp;XLOOKUP(B419,ID___!A:A,ID___!B:B,"")&amp;"&amp;range=A1:J1","Click"))</f>
        <v/>
      </c>
      <c r="B419" s="19"/>
      <c r="C419" s="17"/>
      <c r="D419" s="16"/>
      <c r="E419" s="16"/>
      <c r="F419" s="16"/>
      <c r="G419" s="17"/>
    </row>
    <row r="420">
      <c r="A420" s="16" t="str">
        <f t="array" ref="A420">IF(ISBLANK(B420),,HYPERLINK("https://docs.google.com/spreadsheets/d/1HrklyxLdxO6wfiV9Oy4UeWyZ1Pzcz9yrl4CaGNHqgVU/edit?gid="&amp;XLOOKUP(B420,ID___!A:A,ID___!B:B,"")&amp;"#gid="&amp;XLOOKUP(B420,ID___!A:A,ID___!B:B,"")&amp;"&amp;range=A1:J1","Click"))</f>
        <v/>
      </c>
      <c r="B420" s="19"/>
      <c r="C420" s="17"/>
      <c r="D420" s="16"/>
      <c r="E420" s="16"/>
      <c r="F420" s="16"/>
      <c r="G420" s="17"/>
    </row>
    <row r="421">
      <c r="A421" s="16" t="str">
        <f t="array" ref="A421">IF(ISBLANK(B421),,HYPERLINK("https://docs.google.com/spreadsheets/d/1HrklyxLdxO6wfiV9Oy4UeWyZ1Pzcz9yrl4CaGNHqgVU/edit?gid="&amp;XLOOKUP(B421,ID___!A:A,ID___!B:B,"")&amp;"#gid="&amp;XLOOKUP(B421,ID___!A:A,ID___!B:B,"")&amp;"&amp;range=A1:J1","Click"))</f>
        <v/>
      </c>
      <c r="B421" s="19"/>
      <c r="C421" s="17"/>
      <c r="D421" s="16"/>
      <c r="E421" s="16"/>
      <c r="F421" s="16"/>
      <c r="G421" s="17"/>
    </row>
    <row r="422">
      <c r="A422" s="16" t="str">
        <f t="array" ref="A422">IF(ISBLANK(B422),,HYPERLINK("https://docs.google.com/spreadsheets/d/1HrklyxLdxO6wfiV9Oy4UeWyZ1Pzcz9yrl4CaGNHqgVU/edit?gid="&amp;XLOOKUP(B422,ID___!A:A,ID___!B:B,"")&amp;"#gid="&amp;XLOOKUP(B422,ID___!A:A,ID___!B:B,"")&amp;"&amp;range=A1:J1","Click"))</f>
        <v/>
      </c>
      <c r="B422" s="19"/>
      <c r="C422" s="17"/>
      <c r="D422" s="16"/>
      <c r="E422" s="16"/>
      <c r="F422" s="16"/>
      <c r="G422" s="17"/>
    </row>
    <row r="423">
      <c r="A423" s="16" t="str">
        <f t="array" ref="A423">IF(ISBLANK(B423),,HYPERLINK("https://docs.google.com/spreadsheets/d/1HrklyxLdxO6wfiV9Oy4UeWyZ1Pzcz9yrl4CaGNHqgVU/edit?gid="&amp;XLOOKUP(B423,ID___!A:A,ID___!B:B,"")&amp;"#gid="&amp;XLOOKUP(B423,ID___!A:A,ID___!B:B,"")&amp;"&amp;range=A1:J1","Click"))</f>
        <v/>
      </c>
      <c r="B423" s="19"/>
      <c r="C423" s="17"/>
      <c r="D423" s="16"/>
      <c r="E423" s="16"/>
      <c r="F423" s="16"/>
      <c r="G423" s="17"/>
    </row>
    <row r="424">
      <c r="A424" s="16" t="str">
        <f t="array" ref="A424">IF(ISBLANK(B424),,HYPERLINK("https://docs.google.com/spreadsheets/d/1HrklyxLdxO6wfiV9Oy4UeWyZ1Pzcz9yrl4CaGNHqgVU/edit?gid="&amp;XLOOKUP(B424,ID___!A:A,ID___!B:B,"")&amp;"#gid="&amp;XLOOKUP(B424,ID___!A:A,ID___!B:B,"")&amp;"&amp;range=A1:J1","Click"))</f>
        <v/>
      </c>
      <c r="B424" s="19"/>
      <c r="C424" s="17"/>
      <c r="D424" s="16"/>
      <c r="E424" s="16"/>
      <c r="F424" s="16"/>
      <c r="G424" s="17"/>
    </row>
    <row r="425">
      <c r="A425" s="16" t="str">
        <f t="array" ref="A425">IF(ISBLANK(B425),,HYPERLINK("https://docs.google.com/spreadsheets/d/1HrklyxLdxO6wfiV9Oy4UeWyZ1Pzcz9yrl4CaGNHqgVU/edit?gid="&amp;XLOOKUP(B425,ID___!A:A,ID___!B:B,"")&amp;"#gid="&amp;XLOOKUP(B425,ID___!A:A,ID___!B:B,"")&amp;"&amp;range=A1:J1","Click"))</f>
        <v/>
      </c>
      <c r="B425" s="19"/>
      <c r="C425" s="17"/>
      <c r="D425" s="16"/>
      <c r="E425" s="16"/>
      <c r="F425" s="16"/>
      <c r="G425" s="17"/>
    </row>
    <row r="426">
      <c r="A426" s="16" t="str">
        <f t="array" ref="A426">IF(ISBLANK(B426),,HYPERLINK("https://docs.google.com/spreadsheets/d/1HrklyxLdxO6wfiV9Oy4UeWyZ1Pzcz9yrl4CaGNHqgVU/edit?gid="&amp;XLOOKUP(B426,ID___!A:A,ID___!B:B,"")&amp;"#gid="&amp;XLOOKUP(B426,ID___!A:A,ID___!B:B,"")&amp;"&amp;range=A1:J1","Click"))</f>
        <v/>
      </c>
      <c r="B426" s="19"/>
      <c r="C426" s="17"/>
      <c r="D426" s="16"/>
      <c r="E426" s="16"/>
      <c r="F426" s="16"/>
      <c r="G426" s="17"/>
    </row>
    <row r="427">
      <c r="A427" s="16" t="str">
        <f t="array" ref="A427">IF(ISBLANK(B427),,HYPERLINK("https://docs.google.com/spreadsheets/d/1HrklyxLdxO6wfiV9Oy4UeWyZ1Pzcz9yrl4CaGNHqgVU/edit?gid="&amp;XLOOKUP(B427,ID___!A:A,ID___!B:B,"")&amp;"#gid="&amp;XLOOKUP(B427,ID___!A:A,ID___!B:B,"")&amp;"&amp;range=A1:J1","Click"))</f>
        <v/>
      </c>
      <c r="B427" s="19"/>
      <c r="C427" s="17"/>
      <c r="D427" s="16"/>
      <c r="E427" s="16"/>
      <c r="F427" s="16"/>
      <c r="G427" s="17"/>
    </row>
    <row r="428">
      <c r="A428" s="16" t="str">
        <f t="array" ref="A428">IF(ISBLANK(B428),,HYPERLINK("https://docs.google.com/spreadsheets/d/1HrklyxLdxO6wfiV9Oy4UeWyZ1Pzcz9yrl4CaGNHqgVU/edit?gid="&amp;XLOOKUP(B428,ID___!A:A,ID___!B:B,"")&amp;"#gid="&amp;XLOOKUP(B428,ID___!A:A,ID___!B:B,"")&amp;"&amp;range=A1:J1","Click"))</f>
        <v/>
      </c>
      <c r="B428" s="19"/>
      <c r="C428" s="17"/>
      <c r="D428" s="16"/>
      <c r="E428" s="16"/>
      <c r="F428" s="16"/>
      <c r="G428" s="17"/>
    </row>
    <row r="429">
      <c r="A429" s="16" t="str">
        <f t="array" ref="A429">IF(ISBLANK(B429),,HYPERLINK("https://docs.google.com/spreadsheets/d/1HrklyxLdxO6wfiV9Oy4UeWyZ1Pzcz9yrl4CaGNHqgVU/edit?gid="&amp;XLOOKUP(B429,ID___!A:A,ID___!B:B,"")&amp;"#gid="&amp;XLOOKUP(B429,ID___!A:A,ID___!B:B,"")&amp;"&amp;range=A1:J1","Click"))</f>
        <v/>
      </c>
      <c r="B429" s="19"/>
      <c r="C429" s="17"/>
      <c r="D429" s="16"/>
      <c r="E429" s="16"/>
      <c r="F429" s="16"/>
      <c r="G429" s="17"/>
    </row>
    <row r="430">
      <c r="A430" s="16" t="str">
        <f t="array" ref="A430">IF(ISBLANK(B430),,HYPERLINK("https://docs.google.com/spreadsheets/d/1HrklyxLdxO6wfiV9Oy4UeWyZ1Pzcz9yrl4CaGNHqgVU/edit?gid="&amp;XLOOKUP(B430,ID___!A:A,ID___!B:B,"")&amp;"#gid="&amp;XLOOKUP(B430,ID___!A:A,ID___!B:B,"")&amp;"&amp;range=A1:J1","Click"))</f>
        <v/>
      </c>
      <c r="B430" s="19"/>
      <c r="C430" s="17"/>
      <c r="D430" s="16"/>
      <c r="E430" s="16"/>
      <c r="F430" s="16"/>
      <c r="G430" s="17"/>
    </row>
    <row r="431">
      <c r="A431" s="16" t="str">
        <f t="array" ref="A431">IF(ISBLANK(B431),,HYPERLINK("https://docs.google.com/spreadsheets/d/1HrklyxLdxO6wfiV9Oy4UeWyZ1Pzcz9yrl4CaGNHqgVU/edit?gid="&amp;XLOOKUP(B431,ID___!A:A,ID___!B:B,"")&amp;"#gid="&amp;XLOOKUP(B431,ID___!A:A,ID___!B:B,"")&amp;"&amp;range=A1:J1","Click"))</f>
        <v/>
      </c>
      <c r="B431" s="19"/>
      <c r="C431" s="17"/>
      <c r="D431" s="16"/>
      <c r="E431" s="16"/>
      <c r="F431" s="16"/>
      <c r="G431" s="17"/>
    </row>
    <row r="432">
      <c r="A432" s="16" t="str">
        <f t="array" ref="A432">IF(ISBLANK(B432),,HYPERLINK("https://docs.google.com/spreadsheets/d/1HrklyxLdxO6wfiV9Oy4UeWyZ1Pzcz9yrl4CaGNHqgVU/edit?gid="&amp;XLOOKUP(B432,ID___!A:A,ID___!B:B,"")&amp;"#gid="&amp;XLOOKUP(B432,ID___!A:A,ID___!B:B,"")&amp;"&amp;range=A1:J1","Click"))</f>
        <v/>
      </c>
      <c r="B432" s="19"/>
      <c r="C432" s="17"/>
      <c r="D432" s="16"/>
      <c r="E432" s="16"/>
      <c r="F432" s="16"/>
      <c r="G432" s="17"/>
    </row>
    <row r="433">
      <c r="A433" s="16" t="str">
        <f t="array" ref="A433">IF(ISBLANK(B433),,HYPERLINK("https://docs.google.com/spreadsheets/d/1HrklyxLdxO6wfiV9Oy4UeWyZ1Pzcz9yrl4CaGNHqgVU/edit?gid="&amp;XLOOKUP(B433,ID___!A:A,ID___!B:B,"")&amp;"#gid="&amp;XLOOKUP(B433,ID___!A:A,ID___!B:B,"")&amp;"&amp;range=A1:J1","Click"))</f>
        <v/>
      </c>
      <c r="B433" s="19"/>
      <c r="C433" s="17"/>
      <c r="D433" s="16"/>
      <c r="E433" s="16"/>
      <c r="F433" s="16"/>
      <c r="G433" s="17"/>
    </row>
    <row r="434">
      <c r="A434" s="16" t="str">
        <f t="array" ref="A434">IF(ISBLANK(B434),,HYPERLINK("https://docs.google.com/spreadsheets/d/1HrklyxLdxO6wfiV9Oy4UeWyZ1Pzcz9yrl4CaGNHqgVU/edit?gid="&amp;XLOOKUP(B434,ID___!A:A,ID___!B:B,"")&amp;"#gid="&amp;XLOOKUP(B434,ID___!A:A,ID___!B:B,"")&amp;"&amp;range=A1:J1","Click"))</f>
        <v/>
      </c>
      <c r="B434" s="19"/>
      <c r="C434" s="17"/>
      <c r="D434" s="16"/>
      <c r="E434" s="16"/>
      <c r="F434" s="16"/>
      <c r="G434" s="17"/>
    </row>
    <row r="435">
      <c r="A435" s="16" t="str">
        <f t="array" ref="A435">IF(ISBLANK(B435),,HYPERLINK("https://docs.google.com/spreadsheets/d/1HrklyxLdxO6wfiV9Oy4UeWyZ1Pzcz9yrl4CaGNHqgVU/edit?gid="&amp;XLOOKUP(B435,ID___!A:A,ID___!B:B,"")&amp;"#gid="&amp;XLOOKUP(B435,ID___!A:A,ID___!B:B,"")&amp;"&amp;range=A1:J1","Click"))</f>
        <v/>
      </c>
      <c r="B435" s="19"/>
      <c r="C435" s="17"/>
      <c r="D435" s="16"/>
      <c r="E435" s="16"/>
      <c r="F435" s="16"/>
      <c r="G435" s="17"/>
    </row>
    <row r="436">
      <c r="A436" s="16" t="str">
        <f t="array" ref="A436">IF(ISBLANK(B436),,HYPERLINK("https://docs.google.com/spreadsheets/d/1HrklyxLdxO6wfiV9Oy4UeWyZ1Pzcz9yrl4CaGNHqgVU/edit?gid="&amp;XLOOKUP(B436,ID___!A:A,ID___!B:B,"")&amp;"#gid="&amp;XLOOKUP(B436,ID___!A:A,ID___!B:B,"")&amp;"&amp;range=A1:J1","Click"))</f>
        <v/>
      </c>
      <c r="B436" s="19"/>
      <c r="C436" s="17"/>
      <c r="D436" s="16"/>
      <c r="E436" s="16"/>
      <c r="F436" s="16"/>
      <c r="G436" s="17"/>
    </row>
    <row r="437">
      <c r="A437" s="16" t="str">
        <f t="array" ref="A437">IF(ISBLANK(B437),,HYPERLINK("https://docs.google.com/spreadsheets/d/1HrklyxLdxO6wfiV9Oy4UeWyZ1Pzcz9yrl4CaGNHqgVU/edit?gid="&amp;XLOOKUP(B437,ID___!A:A,ID___!B:B,"")&amp;"#gid="&amp;XLOOKUP(B437,ID___!A:A,ID___!B:B,"")&amp;"&amp;range=A1:J1","Click"))</f>
        <v/>
      </c>
      <c r="B437" s="19"/>
      <c r="C437" s="17"/>
      <c r="D437" s="16"/>
      <c r="E437" s="16"/>
      <c r="F437" s="16"/>
      <c r="G437" s="17"/>
    </row>
    <row r="438">
      <c r="A438" s="16" t="str">
        <f t="array" ref="A438">IF(ISBLANK(B438),,HYPERLINK("https://docs.google.com/spreadsheets/d/1HrklyxLdxO6wfiV9Oy4UeWyZ1Pzcz9yrl4CaGNHqgVU/edit?gid="&amp;XLOOKUP(B438,ID___!A:A,ID___!B:B,"")&amp;"#gid="&amp;XLOOKUP(B438,ID___!A:A,ID___!B:B,"")&amp;"&amp;range=A1:J1","Click"))</f>
        <v/>
      </c>
      <c r="B438" s="19"/>
      <c r="C438" s="17"/>
      <c r="D438" s="16"/>
      <c r="E438" s="16"/>
      <c r="F438" s="16"/>
      <c r="G438" s="17"/>
    </row>
    <row r="439">
      <c r="A439" s="16" t="str">
        <f t="array" ref="A439">IF(ISBLANK(B439),,HYPERLINK("https://docs.google.com/spreadsheets/d/1HrklyxLdxO6wfiV9Oy4UeWyZ1Pzcz9yrl4CaGNHqgVU/edit?gid="&amp;XLOOKUP(B439,ID___!A:A,ID___!B:B,"")&amp;"#gid="&amp;XLOOKUP(B439,ID___!A:A,ID___!B:B,"")&amp;"&amp;range=A1:J1","Click"))</f>
        <v/>
      </c>
      <c r="B439" s="19"/>
      <c r="C439" s="17"/>
      <c r="D439" s="16"/>
      <c r="E439" s="16"/>
      <c r="F439" s="16"/>
      <c r="G439" s="17"/>
    </row>
    <row r="440">
      <c r="A440" s="16" t="str">
        <f t="array" ref="A440">IF(ISBLANK(B440),,HYPERLINK("https://docs.google.com/spreadsheets/d/1HrklyxLdxO6wfiV9Oy4UeWyZ1Pzcz9yrl4CaGNHqgVU/edit?gid="&amp;XLOOKUP(B440,ID___!A:A,ID___!B:B,"")&amp;"#gid="&amp;XLOOKUP(B440,ID___!A:A,ID___!B:B,"")&amp;"&amp;range=A1:J1","Click"))</f>
        <v/>
      </c>
      <c r="B440" s="19"/>
      <c r="C440" s="17"/>
      <c r="D440" s="16"/>
      <c r="E440" s="16"/>
      <c r="F440" s="16"/>
      <c r="G440" s="17"/>
    </row>
    <row r="441">
      <c r="A441" s="16" t="str">
        <f t="array" ref="A441">IF(ISBLANK(B441),,HYPERLINK("https://docs.google.com/spreadsheets/d/1HrklyxLdxO6wfiV9Oy4UeWyZ1Pzcz9yrl4CaGNHqgVU/edit?gid="&amp;XLOOKUP(B441,ID___!A:A,ID___!B:B,"")&amp;"#gid="&amp;XLOOKUP(B441,ID___!A:A,ID___!B:B,"")&amp;"&amp;range=A1:J1","Click"))</f>
        <v/>
      </c>
      <c r="B441" s="19"/>
      <c r="C441" s="17"/>
      <c r="D441" s="16"/>
      <c r="E441" s="16"/>
      <c r="F441" s="16"/>
      <c r="G441" s="17"/>
    </row>
    <row r="442">
      <c r="A442" s="16" t="str">
        <f t="array" ref="A442">IF(ISBLANK(B442),,HYPERLINK("https://docs.google.com/spreadsheets/d/1HrklyxLdxO6wfiV9Oy4UeWyZ1Pzcz9yrl4CaGNHqgVU/edit?gid="&amp;XLOOKUP(B442,ID___!A:A,ID___!B:B,"")&amp;"#gid="&amp;XLOOKUP(B442,ID___!A:A,ID___!B:B,"")&amp;"&amp;range=A1:J1","Click"))</f>
        <v/>
      </c>
      <c r="B442" s="19"/>
      <c r="C442" s="17"/>
      <c r="D442" s="16"/>
      <c r="E442" s="16"/>
      <c r="F442" s="16"/>
      <c r="G442" s="17"/>
    </row>
    <row r="443">
      <c r="A443" s="16" t="str">
        <f t="array" ref="A443">IF(ISBLANK(B443),,HYPERLINK("https://docs.google.com/spreadsheets/d/1HrklyxLdxO6wfiV9Oy4UeWyZ1Pzcz9yrl4CaGNHqgVU/edit?gid="&amp;XLOOKUP(B443,ID___!A:A,ID___!B:B,"")&amp;"#gid="&amp;XLOOKUP(B443,ID___!A:A,ID___!B:B,"")&amp;"&amp;range=A1:J1","Click"))</f>
        <v/>
      </c>
      <c r="B443" s="19"/>
      <c r="C443" s="17"/>
      <c r="D443" s="16"/>
      <c r="E443" s="16"/>
      <c r="F443" s="16"/>
      <c r="G443" s="17"/>
    </row>
    <row r="444">
      <c r="A444" s="16" t="str">
        <f t="array" ref="A444">IF(ISBLANK(B444),,HYPERLINK("https://docs.google.com/spreadsheets/d/1HrklyxLdxO6wfiV9Oy4UeWyZ1Pzcz9yrl4CaGNHqgVU/edit?gid="&amp;XLOOKUP(B444,ID___!A:A,ID___!B:B,"")&amp;"#gid="&amp;XLOOKUP(B444,ID___!A:A,ID___!B:B,"")&amp;"&amp;range=A1:J1","Click"))</f>
        <v/>
      </c>
      <c r="B444" s="19"/>
      <c r="C444" s="17"/>
      <c r="D444" s="16"/>
      <c r="E444" s="16"/>
      <c r="F444" s="16"/>
      <c r="G444" s="17"/>
    </row>
    <row r="445">
      <c r="A445" s="16" t="str">
        <f t="array" ref="A445">IF(ISBLANK(B445),,HYPERLINK("https://docs.google.com/spreadsheets/d/1HrklyxLdxO6wfiV9Oy4UeWyZ1Pzcz9yrl4CaGNHqgVU/edit?gid="&amp;XLOOKUP(B445,ID___!A:A,ID___!B:B,"")&amp;"#gid="&amp;XLOOKUP(B445,ID___!A:A,ID___!B:B,"")&amp;"&amp;range=A1:J1","Click"))</f>
        <v/>
      </c>
      <c r="B445" s="19"/>
      <c r="C445" s="17"/>
      <c r="D445" s="16"/>
      <c r="E445" s="16"/>
      <c r="F445" s="16"/>
      <c r="G445" s="17"/>
    </row>
    <row r="446">
      <c r="A446" s="16" t="str">
        <f t="array" ref="A446">IF(ISBLANK(B446),,HYPERLINK("https://docs.google.com/spreadsheets/d/1HrklyxLdxO6wfiV9Oy4UeWyZ1Pzcz9yrl4CaGNHqgVU/edit?gid="&amp;XLOOKUP(B446,ID___!A:A,ID___!B:B,"")&amp;"#gid="&amp;XLOOKUP(B446,ID___!A:A,ID___!B:B,"")&amp;"&amp;range=A1:J1","Click"))</f>
        <v/>
      </c>
      <c r="B446" s="19"/>
      <c r="C446" s="17"/>
      <c r="D446" s="16"/>
      <c r="E446" s="16"/>
      <c r="F446" s="16"/>
      <c r="G446" s="17"/>
    </row>
    <row r="447">
      <c r="A447" s="16" t="str">
        <f t="array" ref="A447">IF(ISBLANK(B447),,HYPERLINK("https://docs.google.com/spreadsheets/d/1HrklyxLdxO6wfiV9Oy4UeWyZ1Pzcz9yrl4CaGNHqgVU/edit?gid="&amp;XLOOKUP(B447,ID___!A:A,ID___!B:B,"")&amp;"#gid="&amp;XLOOKUP(B447,ID___!A:A,ID___!B:B,"")&amp;"&amp;range=A1:J1","Click"))</f>
        <v/>
      </c>
      <c r="B447" s="19"/>
      <c r="C447" s="17"/>
      <c r="D447" s="16"/>
      <c r="E447" s="16"/>
      <c r="F447" s="16"/>
      <c r="G447" s="17"/>
    </row>
    <row r="448">
      <c r="A448" s="16" t="str">
        <f t="array" ref="A448">IF(ISBLANK(B448),,HYPERLINK("https://docs.google.com/spreadsheets/d/1HrklyxLdxO6wfiV9Oy4UeWyZ1Pzcz9yrl4CaGNHqgVU/edit?gid="&amp;XLOOKUP(B448,ID___!A:A,ID___!B:B,"")&amp;"#gid="&amp;XLOOKUP(B448,ID___!A:A,ID___!B:B,"")&amp;"&amp;range=A1:J1","Click"))</f>
        <v/>
      </c>
      <c r="B448" s="19"/>
      <c r="C448" s="17"/>
      <c r="D448" s="16"/>
      <c r="E448" s="16"/>
      <c r="F448" s="16"/>
      <c r="G448" s="17"/>
    </row>
    <row r="449">
      <c r="A449" s="16" t="str">
        <f t="array" ref="A449">IF(ISBLANK(B449),,HYPERLINK("https://docs.google.com/spreadsheets/d/1HrklyxLdxO6wfiV9Oy4UeWyZ1Pzcz9yrl4CaGNHqgVU/edit?gid="&amp;XLOOKUP(B449,ID___!A:A,ID___!B:B,"")&amp;"#gid="&amp;XLOOKUP(B449,ID___!A:A,ID___!B:B,"")&amp;"&amp;range=A1:J1","Click"))</f>
        <v/>
      </c>
      <c r="B449" s="19"/>
      <c r="C449" s="17"/>
      <c r="D449" s="16"/>
      <c r="E449" s="16"/>
      <c r="F449" s="16"/>
      <c r="G449" s="17"/>
    </row>
    <row r="450">
      <c r="A450" s="16" t="str">
        <f t="array" ref="A450">IF(ISBLANK(B450),,HYPERLINK("https://docs.google.com/spreadsheets/d/1HrklyxLdxO6wfiV9Oy4UeWyZ1Pzcz9yrl4CaGNHqgVU/edit?gid="&amp;XLOOKUP(B450,ID___!A:A,ID___!B:B,"")&amp;"#gid="&amp;XLOOKUP(B450,ID___!A:A,ID___!B:B,"")&amp;"&amp;range=A1:J1","Click"))</f>
        <v/>
      </c>
      <c r="B450" s="19"/>
      <c r="C450" s="17"/>
      <c r="D450" s="16"/>
      <c r="E450" s="16"/>
      <c r="F450" s="16"/>
      <c r="G450" s="17"/>
    </row>
    <row r="451">
      <c r="A451" s="16" t="str">
        <f t="array" ref="A451">IF(ISBLANK(B451),,HYPERLINK("https://docs.google.com/spreadsheets/d/1HrklyxLdxO6wfiV9Oy4UeWyZ1Pzcz9yrl4CaGNHqgVU/edit?gid="&amp;XLOOKUP(B451,ID___!A:A,ID___!B:B,"")&amp;"#gid="&amp;XLOOKUP(B451,ID___!A:A,ID___!B:B,"")&amp;"&amp;range=A1:J1","Click"))</f>
        <v/>
      </c>
      <c r="B451" s="19"/>
      <c r="C451" s="17"/>
      <c r="D451" s="16"/>
      <c r="E451" s="16"/>
      <c r="F451" s="16"/>
      <c r="G451" s="17"/>
    </row>
    <row r="452">
      <c r="A452" s="16" t="str">
        <f t="array" ref="A452">IF(ISBLANK(B452),,HYPERLINK("https://docs.google.com/spreadsheets/d/1HrklyxLdxO6wfiV9Oy4UeWyZ1Pzcz9yrl4CaGNHqgVU/edit?gid="&amp;XLOOKUP(B452,ID___!A:A,ID___!B:B,"")&amp;"#gid="&amp;XLOOKUP(B452,ID___!A:A,ID___!B:B,"")&amp;"&amp;range=A1:J1","Click"))</f>
        <v/>
      </c>
      <c r="B452" s="19"/>
      <c r="C452" s="17"/>
      <c r="D452" s="16"/>
      <c r="E452" s="16"/>
      <c r="F452" s="16"/>
      <c r="G452" s="17"/>
    </row>
    <row r="453">
      <c r="A453" s="16" t="str">
        <f t="array" ref="A453">IF(ISBLANK(B453),,HYPERLINK("https://docs.google.com/spreadsheets/d/1HrklyxLdxO6wfiV9Oy4UeWyZ1Pzcz9yrl4CaGNHqgVU/edit?gid="&amp;XLOOKUP(B453,ID___!A:A,ID___!B:B,"")&amp;"#gid="&amp;XLOOKUP(B453,ID___!A:A,ID___!B:B,"")&amp;"&amp;range=A1:J1","Click"))</f>
        <v/>
      </c>
      <c r="B453" s="19"/>
      <c r="C453" s="17"/>
      <c r="D453" s="16"/>
      <c r="E453" s="16"/>
      <c r="F453" s="16"/>
      <c r="G453" s="17"/>
    </row>
    <row r="454">
      <c r="A454" s="16" t="str">
        <f t="array" ref="A454">IF(ISBLANK(B454),,HYPERLINK("https://docs.google.com/spreadsheets/d/1HrklyxLdxO6wfiV9Oy4UeWyZ1Pzcz9yrl4CaGNHqgVU/edit?gid="&amp;XLOOKUP(B454,ID___!A:A,ID___!B:B,"")&amp;"#gid="&amp;XLOOKUP(B454,ID___!A:A,ID___!B:B,"")&amp;"&amp;range=A1:J1","Click"))</f>
        <v/>
      </c>
      <c r="B454" s="19"/>
      <c r="C454" s="17"/>
      <c r="D454" s="16"/>
      <c r="E454" s="16"/>
      <c r="F454" s="16"/>
      <c r="G454" s="17"/>
    </row>
    <row r="455">
      <c r="A455" s="16" t="str">
        <f t="array" ref="A455">IF(ISBLANK(B455),,HYPERLINK("https://docs.google.com/spreadsheets/d/1HrklyxLdxO6wfiV9Oy4UeWyZ1Pzcz9yrl4CaGNHqgVU/edit?gid="&amp;XLOOKUP(B455,ID___!A:A,ID___!B:B,"")&amp;"#gid="&amp;XLOOKUP(B455,ID___!A:A,ID___!B:B,"")&amp;"&amp;range=A1:J1","Click"))</f>
        <v/>
      </c>
      <c r="B455" s="19"/>
      <c r="C455" s="17"/>
      <c r="D455" s="16"/>
      <c r="E455" s="16"/>
      <c r="F455" s="16"/>
      <c r="G455" s="17"/>
    </row>
    <row r="456">
      <c r="A456" s="16" t="str">
        <f t="array" ref="A456">IF(ISBLANK(B456),,HYPERLINK("https://docs.google.com/spreadsheets/d/1HrklyxLdxO6wfiV9Oy4UeWyZ1Pzcz9yrl4CaGNHqgVU/edit?gid="&amp;XLOOKUP(B456,ID___!A:A,ID___!B:B,"")&amp;"#gid="&amp;XLOOKUP(B456,ID___!A:A,ID___!B:B,"")&amp;"&amp;range=A1:J1","Click"))</f>
        <v/>
      </c>
      <c r="B456" s="19"/>
      <c r="C456" s="17"/>
      <c r="D456" s="16"/>
      <c r="E456" s="16"/>
      <c r="F456" s="16"/>
      <c r="G456" s="17"/>
    </row>
    <row r="457">
      <c r="A457" s="16" t="str">
        <f t="array" ref="A457">IF(ISBLANK(B457),,HYPERLINK("https://docs.google.com/spreadsheets/d/1HrklyxLdxO6wfiV9Oy4UeWyZ1Pzcz9yrl4CaGNHqgVU/edit?gid="&amp;XLOOKUP(B457,ID___!A:A,ID___!B:B,"")&amp;"#gid="&amp;XLOOKUP(B457,ID___!A:A,ID___!B:B,"")&amp;"&amp;range=A1:J1","Click"))</f>
        <v/>
      </c>
      <c r="B457" s="19"/>
      <c r="C457" s="17"/>
      <c r="D457" s="16"/>
      <c r="E457" s="16"/>
      <c r="F457" s="16"/>
      <c r="G457" s="17"/>
    </row>
    <row r="458">
      <c r="A458" s="16" t="str">
        <f t="array" ref="A458">IF(ISBLANK(B458),,HYPERLINK("https://docs.google.com/spreadsheets/d/1HrklyxLdxO6wfiV9Oy4UeWyZ1Pzcz9yrl4CaGNHqgVU/edit?gid="&amp;XLOOKUP(B458,ID___!A:A,ID___!B:B,"")&amp;"#gid="&amp;XLOOKUP(B458,ID___!A:A,ID___!B:B,"")&amp;"&amp;range=A1:J1","Click"))</f>
        <v/>
      </c>
      <c r="B458" s="19"/>
      <c r="C458" s="17"/>
      <c r="D458" s="16"/>
      <c r="E458" s="16"/>
      <c r="F458" s="16"/>
      <c r="G458" s="17"/>
    </row>
    <row r="459">
      <c r="A459" s="16" t="str">
        <f t="array" ref="A459">IF(ISBLANK(B459),,HYPERLINK("https://docs.google.com/spreadsheets/d/1HrklyxLdxO6wfiV9Oy4UeWyZ1Pzcz9yrl4CaGNHqgVU/edit?gid="&amp;XLOOKUP(B459,ID___!A:A,ID___!B:B,"")&amp;"#gid="&amp;XLOOKUP(B459,ID___!A:A,ID___!B:B,"")&amp;"&amp;range=A1:J1","Click"))</f>
        <v/>
      </c>
      <c r="B459" s="19"/>
      <c r="C459" s="17"/>
      <c r="D459" s="16"/>
      <c r="E459" s="16"/>
      <c r="F459" s="16"/>
      <c r="G459" s="17"/>
    </row>
    <row r="460">
      <c r="A460" s="16" t="str">
        <f t="array" ref="A460">IF(ISBLANK(B460),,HYPERLINK("https://docs.google.com/spreadsheets/d/1HrklyxLdxO6wfiV9Oy4UeWyZ1Pzcz9yrl4CaGNHqgVU/edit?gid="&amp;XLOOKUP(B460,ID___!A:A,ID___!B:B,"")&amp;"#gid="&amp;XLOOKUP(B460,ID___!A:A,ID___!B:B,"")&amp;"&amp;range=A1:J1","Click"))</f>
        <v/>
      </c>
      <c r="B460" s="19"/>
      <c r="C460" s="17"/>
      <c r="D460" s="16"/>
      <c r="E460" s="16"/>
      <c r="F460" s="16"/>
      <c r="G460" s="17"/>
    </row>
    <row r="461">
      <c r="A461" s="16" t="str">
        <f t="array" ref="A461">IF(ISBLANK(B461),,HYPERLINK("https://docs.google.com/spreadsheets/d/1HrklyxLdxO6wfiV9Oy4UeWyZ1Pzcz9yrl4CaGNHqgVU/edit?gid="&amp;XLOOKUP(B461,ID___!A:A,ID___!B:B,"")&amp;"#gid="&amp;XLOOKUP(B461,ID___!A:A,ID___!B:B,"")&amp;"&amp;range=A1:J1","Click"))</f>
        <v/>
      </c>
      <c r="B461" s="19"/>
      <c r="C461" s="17"/>
      <c r="D461" s="16"/>
      <c r="E461" s="16"/>
      <c r="F461" s="16"/>
      <c r="G461" s="17"/>
    </row>
    <row r="462">
      <c r="A462" s="16" t="str">
        <f t="array" ref="A462">IF(ISBLANK(B462),,HYPERLINK("https://docs.google.com/spreadsheets/d/1HrklyxLdxO6wfiV9Oy4UeWyZ1Pzcz9yrl4CaGNHqgVU/edit?gid="&amp;XLOOKUP(B462,ID___!A:A,ID___!B:B,"")&amp;"#gid="&amp;XLOOKUP(B462,ID___!A:A,ID___!B:B,"")&amp;"&amp;range=A1:J1","Click"))</f>
        <v/>
      </c>
      <c r="B462" s="19"/>
      <c r="C462" s="17"/>
      <c r="D462" s="16"/>
      <c r="E462" s="16"/>
      <c r="F462" s="16"/>
      <c r="G462" s="17"/>
    </row>
    <row r="463">
      <c r="A463" s="16" t="str">
        <f t="array" ref="A463">IF(ISBLANK(B463),,HYPERLINK("https://docs.google.com/spreadsheets/d/1HrklyxLdxO6wfiV9Oy4UeWyZ1Pzcz9yrl4CaGNHqgVU/edit?gid="&amp;XLOOKUP(B463,ID___!A:A,ID___!B:B,"")&amp;"#gid="&amp;XLOOKUP(B463,ID___!A:A,ID___!B:B,"")&amp;"&amp;range=A1:J1","Click"))</f>
        <v/>
      </c>
      <c r="B463" s="19"/>
      <c r="C463" s="17"/>
      <c r="D463" s="16"/>
      <c r="E463" s="16"/>
      <c r="F463" s="16"/>
      <c r="G463" s="17"/>
    </row>
    <row r="464">
      <c r="A464" s="16" t="str">
        <f t="array" ref="A464">IF(ISBLANK(B464),,HYPERLINK("https://docs.google.com/spreadsheets/d/1HrklyxLdxO6wfiV9Oy4UeWyZ1Pzcz9yrl4CaGNHqgVU/edit?gid="&amp;XLOOKUP(B464,ID___!A:A,ID___!B:B,"")&amp;"#gid="&amp;XLOOKUP(B464,ID___!A:A,ID___!B:B,"")&amp;"&amp;range=A1:J1","Click"))</f>
        <v/>
      </c>
      <c r="B464" s="19"/>
      <c r="C464" s="17"/>
      <c r="D464" s="16"/>
      <c r="E464" s="16"/>
      <c r="F464" s="16"/>
      <c r="G464" s="17"/>
    </row>
    <row r="465">
      <c r="A465" s="16" t="str">
        <f t="array" ref="A465">IF(ISBLANK(B465),,HYPERLINK("https://docs.google.com/spreadsheets/d/1HrklyxLdxO6wfiV9Oy4UeWyZ1Pzcz9yrl4CaGNHqgVU/edit?gid="&amp;XLOOKUP(B465,ID___!A:A,ID___!B:B,"")&amp;"#gid="&amp;XLOOKUP(B465,ID___!A:A,ID___!B:B,"")&amp;"&amp;range=A1:J1","Click"))</f>
        <v/>
      </c>
      <c r="B465" s="19"/>
      <c r="C465" s="17"/>
      <c r="D465" s="16"/>
      <c r="E465" s="16"/>
      <c r="F465" s="16"/>
      <c r="G465" s="17"/>
    </row>
    <row r="466">
      <c r="A466" s="16" t="str">
        <f t="array" ref="A466">IF(ISBLANK(B466),,HYPERLINK("https://docs.google.com/spreadsheets/d/1HrklyxLdxO6wfiV9Oy4UeWyZ1Pzcz9yrl4CaGNHqgVU/edit?gid="&amp;XLOOKUP(B466,ID___!A:A,ID___!B:B,"")&amp;"#gid="&amp;XLOOKUP(B466,ID___!A:A,ID___!B:B,"")&amp;"&amp;range=A1:J1","Click"))</f>
        <v/>
      </c>
      <c r="B466" s="19"/>
      <c r="C466" s="17"/>
      <c r="D466" s="16"/>
      <c r="E466" s="16"/>
      <c r="F466" s="16"/>
      <c r="G466" s="17"/>
    </row>
    <row r="467">
      <c r="A467" s="16" t="str">
        <f t="array" ref="A467">IF(ISBLANK(B467),,HYPERLINK("https://docs.google.com/spreadsheets/d/1HrklyxLdxO6wfiV9Oy4UeWyZ1Pzcz9yrl4CaGNHqgVU/edit?gid="&amp;XLOOKUP(B467,ID___!A:A,ID___!B:B,"")&amp;"#gid="&amp;XLOOKUP(B467,ID___!A:A,ID___!B:B,"")&amp;"&amp;range=A1:J1","Click"))</f>
        <v/>
      </c>
      <c r="B467" s="19"/>
      <c r="C467" s="17"/>
      <c r="D467" s="16"/>
      <c r="E467" s="16"/>
      <c r="F467" s="16"/>
      <c r="G467" s="17"/>
    </row>
    <row r="468">
      <c r="A468" s="16" t="str">
        <f t="array" ref="A468">IF(ISBLANK(B468),,HYPERLINK("https://docs.google.com/spreadsheets/d/1HrklyxLdxO6wfiV9Oy4UeWyZ1Pzcz9yrl4CaGNHqgVU/edit?gid="&amp;XLOOKUP(B468,ID___!A:A,ID___!B:B,"")&amp;"#gid="&amp;XLOOKUP(B468,ID___!A:A,ID___!B:B,"")&amp;"&amp;range=A1:J1","Click"))</f>
        <v/>
      </c>
      <c r="B468" s="19"/>
      <c r="C468" s="17"/>
      <c r="D468" s="16"/>
      <c r="E468" s="16"/>
      <c r="F468" s="16"/>
      <c r="G468" s="17"/>
    </row>
    <row r="469">
      <c r="A469" s="16" t="str">
        <f t="array" ref="A469">IF(ISBLANK(B469),,HYPERLINK("https://docs.google.com/spreadsheets/d/1HrklyxLdxO6wfiV9Oy4UeWyZ1Pzcz9yrl4CaGNHqgVU/edit?gid="&amp;XLOOKUP(B469,ID___!A:A,ID___!B:B,"")&amp;"#gid="&amp;XLOOKUP(B469,ID___!A:A,ID___!B:B,"")&amp;"&amp;range=A1:J1","Click"))</f>
        <v/>
      </c>
      <c r="B469" s="19"/>
      <c r="C469" s="17"/>
      <c r="D469" s="16"/>
      <c r="E469" s="16"/>
      <c r="F469" s="16"/>
      <c r="G469" s="17"/>
    </row>
    <row r="470">
      <c r="A470" s="16" t="str">
        <f t="array" ref="A470">IF(ISBLANK(B470),,HYPERLINK("https://docs.google.com/spreadsheets/d/1HrklyxLdxO6wfiV9Oy4UeWyZ1Pzcz9yrl4CaGNHqgVU/edit?gid="&amp;XLOOKUP(B470,ID___!A:A,ID___!B:B,"")&amp;"#gid="&amp;XLOOKUP(B470,ID___!A:A,ID___!B:B,"")&amp;"&amp;range=A1:J1","Click"))</f>
        <v/>
      </c>
      <c r="B470" s="19"/>
      <c r="C470" s="17"/>
      <c r="D470" s="16"/>
      <c r="E470" s="16"/>
      <c r="F470" s="16"/>
      <c r="G470" s="17"/>
    </row>
    <row r="471">
      <c r="A471" s="16" t="str">
        <f t="array" ref="A471">IF(ISBLANK(B471),,HYPERLINK("https://docs.google.com/spreadsheets/d/1HrklyxLdxO6wfiV9Oy4UeWyZ1Pzcz9yrl4CaGNHqgVU/edit?gid="&amp;XLOOKUP(B471,ID___!A:A,ID___!B:B,"")&amp;"#gid="&amp;XLOOKUP(B471,ID___!A:A,ID___!B:B,"")&amp;"&amp;range=A1:J1","Click"))</f>
        <v/>
      </c>
      <c r="B471" s="19"/>
      <c r="C471" s="17"/>
      <c r="D471" s="16"/>
      <c r="E471" s="16"/>
      <c r="F471" s="16"/>
      <c r="G471" s="17"/>
    </row>
    <row r="472">
      <c r="A472" s="16" t="str">
        <f t="array" ref="A472">IF(ISBLANK(B472),,HYPERLINK("https://docs.google.com/spreadsheets/d/1HrklyxLdxO6wfiV9Oy4UeWyZ1Pzcz9yrl4CaGNHqgVU/edit?gid="&amp;XLOOKUP(B472,ID___!A:A,ID___!B:B,"")&amp;"#gid="&amp;XLOOKUP(B472,ID___!A:A,ID___!B:B,"")&amp;"&amp;range=A1:J1","Click"))</f>
        <v/>
      </c>
      <c r="B472" s="19"/>
      <c r="C472" s="17"/>
      <c r="D472" s="16"/>
      <c r="E472" s="16"/>
      <c r="F472" s="16"/>
      <c r="G472" s="17"/>
    </row>
    <row r="473">
      <c r="A473" s="16" t="str">
        <f t="array" ref="A473">IF(ISBLANK(B473),,HYPERLINK("https://docs.google.com/spreadsheets/d/1HrklyxLdxO6wfiV9Oy4UeWyZ1Pzcz9yrl4CaGNHqgVU/edit?gid="&amp;XLOOKUP(B473,ID___!A:A,ID___!B:B,"")&amp;"#gid="&amp;XLOOKUP(B473,ID___!A:A,ID___!B:B,"")&amp;"&amp;range=A1:J1","Click"))</f>
        <v/>
      </c>
      <c r="B473" s="19"/>
      <c r="C473" s="17"/>
      <c r="D473" s="16"/>
      <c r="E473" s="16"/>
      <c r="F473" s="16"/>
      <c r="G473" s="17"/>
    </row>
    <row r="474">
      <c r="A474" s="16" t="str">
        <f t="array" ref="A474">IF(ISBLANK(B474),,HYPERLINK("https://docs.google.com/spreadsheets/d/1HrklyxLdxO6wfiV9Oy4UeWyZ1Pzcz9yrl4CaGNHqgVU/edit?gid="&amp;XLOOKUP(B474,ID___!A:A,ID___!B:B,"")&amp;"#gid="&amp;XLOOKUP(B474,ID___!A:A,ID___!B:B,"")&amp;"&amp;range=A1:J1","Click"))</f>
        <v/>
      </c>
      <c r="B474" s="19"/>
      <c r="C474" s="17"/>
      <c r="D474" s="16"/>
      <c r="E474" s="16"/>
      <c r="F474" s="16"/>
      <c r="G474" s="17"/>
    </row>
    <row r="475">
      <c r="A475" s="16" t="str">
        <f t="array" ref="A475">IF(ISBLANK(B475),,HYPERLINK("https://docs.google.com/spreadsheets/d/1HrklyxLdxO6wfiV9Oy4UeWyZ1Pzcz9yrl4CaGNHqgVU/edit?gid="&amp;XLOOKUP(B475,ID___!A:A,ID___!B:B,"")&amp;"#gid="&amp;XLOOKUP(B475,ID___!A:A,ID___!B:B,"")&amp;"&amp;range=A1:J1","Click"))</f>
        <v/>
      </c>
      <c r="B475" s="19"/>
      <c r="C475" s="17"/>
      <c r="D475" s="16"/>
      <c r="E475" s="16"/>
      <c r="F475" s="16"/>
      <c r="G475" s="17"/>
    </row>
    <row r="476">
      <c r="A476" s="16" t="str">
        <f t="array" ref="A476">IF(ISBLANK(B476),,HYPERLINK("https://docs.google.com/spreadsheets/d/1HrklyxLdxO6wfiV9Oy4UeWyZ1Pzcz9yrl4CaGNHqgVU/edit?gid="&amp;XLOOKUP(B476,ID___!A:A,ID___!B:B,"")&amp;"#gid="&amp;XLOOKUP(B476,ID___!A:A,ID___!B:B,"")&amp;"&amp;range=A1:J1","Click"))</f>
        <v/>
      </c>
      <c r="B476" s="19"/>
      <c r="C476" s="17"/>
      <c r="D476" s="16"/>
      <c r="E476" s="16"/>
      <c r="F476" s="16"/>
      <c r="G476" s="17"/>
    </row>
    <row r="477">
      <c r="A477" s="16" t="str">
        <f t="array" ref="A477">IF(ISBLANK(B477),,HYPERLINK("https://docs.google.com/spreadsheets/d/1HrklyxLdxO6wfiV9Oy4UeWyZ1Pzcz9yrl4CaGNHqgVU/edit?gid="&amp;XLOOKUP(B477,ID___!A:A,ID___!B:B,"")&amp;"#gid="&amp;XLOOKUP(B477,ID___!A:A,ID___!B:B,"")&amp;"&amp;range=A1:J1","Click"))</f>
        <v/>
      </c>
      <c r="B477" s="19"/>
      <c r="C477" s="17"/>
      <c r="D477" s="16"/>
      <c r="E477" s="16"/>
      <c r="F477" s="16"/>
      <c r="G477" s="17"/>
    </row>
    <row r="478">
      <c r="A478" s="16" t="str">
        <f t="array" ref="A478">IF(ISBLANK(B478),,HYPERLINK("https://docs.google.com/spreadsheets/d/1HrklyxLdxO6wfiV9Oy4UeWyZ1Pzcz9yrl4CaGNHqgVU/edit?gid="&amp;XLOOKUP(B478,ID___!A:A,ID___!B:B,"")&amp;"#gid="&amp;XLOOKUP(B478,ID___!A:A,ID___!B:B,"")&amp;"&amp;range=A1:J1","Click"))</f>
        <v/>
      </c>
      <c r="B478" s="19"/>
      <c r="C478" s="17"/>
      <c r="D478" s="16"/>
      <c r="E478" s="16"/>
      <c r="F478" s="16"/>
      <c r="G478" s="17"/>
    </row>
    <row r="479">
      <c r="A479" s="16" t="str">
        <f t="array" ref="A479">IF(ISBLANK(B479),,HYPERLINK("https://docs.google.com/spreadsheets/d/1HrklyxLdxO6wfiV9Oy4UeWyZ1Pzcz9yrl4CaGNHqgVU/edit?gid="&amp;XLOOKUP(B479,ID___!A:A,ID___!B:B,"")&amp;"#gid="&amp;XLOOKUP(B479,ID___!A:A,ID___!B:B,"")&amp;"&amp;range=A1:J1","Click"))</f>
        <v/>
      </c>
      <c r="B479" s="19"/>
      <c r="C479" s="17"/>
      <c r="D479" s="16"/>
      <c r="E479" s="16"/>
      <c r="F479" s="16"/>
      <c r="G479" s="17"/>
    </row>
    <row r="480">
      <c r="A480" s="16" t="str">
        <f t="array" ref="A480">IF(ISBLANK(B480),,HYPERLINK("https://docs.google.com/spreadsheets/d/1HrklyxLdxO6wfiV9Oy4UeWyZ1Pzcz9yrl4CaGNHqgVU/edit?gid="&amp;XLOOKUP(B480,ID___!A:A,ID___!B:B,"")&amp;"#gid="&amp;XLOOKUP(B480,ID___!A:A,ID___!B:B,"")&amp;"&amp;range=A1:J1","Click"))</f>
        <v/>
      </c>
      <c r="B480" s="19"/>
      <c r="C480" s="17"/>
      <c r="D480" s="16"/>
      <c r="E480" s="16"/>
      <c r="F480" s="16"/>
      <c r="G480" s="17"/>
    </row>
    <row r="481">
      <c r="A481" s="16" t="str">
        <f t="array" ref="A481">IF(ISBLANK(B481),,HYPERLINK("https://docs.google.com/spreadsheets/d/1HrklyxLdxO6wfiV9Oy4UeWyZ1Pzcz9yrl4CaGNHqgVU/edit?gid="&amp;XLOOKUP(B481,ID___!A:A,ID___!B:B,"")&amp;"#gid="&amp;XLOOKUP(B481,ID___!A:A,ID___!B:B,"")&amp;"&amp;range=A1:J1","Click"))</f>
        <v/>
      </c>
      <c r="B481" s="19"/>
      <c r="C481" s="17"/>
      <c r="D481" s="16"/>
      <c r="E481" s="16"/>
      <c r="F481" s="16"/>
      <c r="G481" s="17"/>
    </row>
    <row r="482">
      <c r="A482" s="16" t="str">
        <f t="array" ref="A482">IF(ISBLANK(B482),,HYPERLINK("https://docs.google.com/spreadsheets/d/1HrklyxLdxO6wfiV9Oy4UeWyZ1Pzcz9yrl4CaGNHqgVU/edit?gid="&amp;XLOOKUP(B482,ID___!A:A,ID___!B:B,"")&amp;"#gid="&amp;XLOOKUP(B482,ID___!A:A,ID___!B:B,"")&amp;"&amp;range=A1:J1","Click"))</f>
        <v/>
      </c>
      <c r="B482" s="19"/>
      <c r="C482" s="17"/>
      <c r="D482" s="16"/>
      <c r="E482" s="16"/>
      <c r="F482" s="16"/>
      <c r="G482" s="17"/>
    </row>
    <row r="483">
      <c r="A483" s="16" t="str">
        <f t="array" ref="A483">IF(ISBLANK(B483),,HYPERLINK("https://docs.google.com/spreadsheets/d/1HrklyxLdxO6wfiV9Oy4UeWyZ1Pzcz9yrl4CaGNHqgVU/edit?gid="&amp;XLOOKUP(B483,ID___!A:A,ID___!B:B,"")&amp;"#gid="&amp;XLOOKUP(B483,ID___!A:A,ID___!B:B,"")&amp;"&amp;range=A1:J1","Click"))</f>
        <v/>
      </c>
      <c r="B483" s="19"/>
      <c r="C483" s="17"/>
      <c r="D483" s="16"/>
      <c r="E483" s="16"/>
      <c r="F483" s="16"/>
      <c r="G483" s="17"/>
    </row>
    <row r="484">
      <c r="A484" s="16" t="str">
        <f t="array" ref="A484">IF(ISBLANK(B484),,HYPERLINK("https://docs.google.com/spreadsheets/d/1HrklyxLdxO6wfiV9Oy4UeWyZ1Pzcz9yrl4CaGNHqgVU/edit?gid="&amp;XLOOKUP(B484,ID___!A:A,ID___!B:B,"")&amp;"#gid="&amp;XLOOKUP(B484,ID___!A:A,ID___!B:B,"")&amp;"&amp;range=A1:J1","Click"))</f>
        <v/>
      </c>
      <c r="B484" s="19"/>
      <c r="C484" s="17"/>
      <c r="D484" s="16"/>
      <c r="E484" s="16"/>
      <c r="F484" s="16"/>
      <c r="G484" s="17"/>
    </row>
    <row r="485">
      <c r="A485" s="16" t="str">
        <f t="array" ref="A485">IF(ISBLANK(B485),,HYPERLINK("https://docs.google.com/spreadsheets/d/1HrklyxLdxO6wfiV9Oy4UeWyZ1Pzcz9yrl4CaGNHqgVU/edit?gid="&amp;XLOOKUP(B485,ID___!A:A,ID___!B:B,"")&amp;"#gid="&amp;XLOOKUP(B485,ID___!A:A,ID___!B:B,"")&amp;"&amp;range=A1:J1","Click"))</f>
        <v/>
      </c>
      <c r="B485" s="19"/>
      <c r="C485" s="17"/>
      <c r="D485" s="16"/>
      <c r="E485" s="16"/>
      <c r="F485" s="16"/>
      <c r="G485" s="17"/>
    </row>
    <row r="486">
      <c r="A486" s="16" t="str">
        <f t="array" ref="A486">IF(ISBLANK(B486),,HYPERLINK("https://docs.google.com/spreadsheets/d/1HrklyxLdxO6wfiV9Oy4UeWyZ1Pzcz9yrl4CaGNHqgVU/edit?gid="&amp;XLOOKUP(B486,ID___!A:A,ID___!B:B,"")&amp;"#gid="&amp;XLOOKUP(B486,ID___!A:A,ID___!B:B,"")&amp;"&amp;range=A1:J1","Click"))</f>
        <v/>
      </c>
      <c r="B486" s="19"/>
      <c r="C486" s="17"/>
      <c r="D486" s="16"/>
      <c r="E486" s="16"/>
      <c r="F486" s="16"/>
      <c r="G486" s="17"/>
    </row>
    <row r="487">
      <c r="A487" s="16" t="str">
        <f t="array" ref="A487">IF(ISBLANK(B487),,HYPERLINK("https://docs.google.com/spreadsheets/d/1HrklyxLdxO6wfiV9Oy4UeWyZ1Pzcz9yrl4CaGNHqgVU/edit?gid="&amp;XLOOKUP(B487,ID___!A:A,ID___!B:B,"")&amp;"#gid="&amp;XLOOKUP(B487,ID___!A:A,ID___!B:B,"")&amp;"&amp;range=A1:J1","Click"))</f>
        <v/>
      </c>
      <c r="B487" s="19"/>
      <c r="C487" s="17"/>
      <c r="D487" s="16"/>
      <c r="E487" s="16"/>
      <c r="F487" s="16"/>
      <c r="G487" s="17"/>
    </row>
    <row r="488">
      <c r="A488" s="16" t="str">
        <f t="array" ref="A488">IF(ISBLANK(B488),,HYPERLINK("https://docs.google.com/spreadsheets/d/1HrklyxLdxO6wfiV9Oy4UeWyZ1Pzcz9yrl4CaGNHqgVU/edit?gid="&amp;XLOOKUP(B488,ID___!A:A,ID___!B:B,"")&amp;"#gid="&amp;XLOOKUP(B488,ID___!A:A,ID___!B:B,"")&amp;"&amp;range=A1:J1","Click"))</f>
        <v/>
      </c>
      <c r="B488" s="19"/>
      <c r="C488" s="17"/>
      <c r="D488" s="16"/>
      <c r="E488" s="16"/>
      <c r="F488" s="16"/>
      <c r="G488" s="17"/>
    </row>
    <row r="489">
      <c r="A489" s="16" t="str">
        <f t="array" ref="A489">IF(ISBLANK(B489),,HYPERLINK("https://docs.google.com/spreadsheets/d/1HrklyxLdxO6wfiV9Oy4UeWyZ1Pzcz9yrl4CaGNHqgVU/edit?gid="&amp;XLOOKUP(B489,ID___!A:A,ID___!B:B,"")&amp;"#gid="&amp;XLOOKUP(B489,ID___!A:A,ID___!B:B,"")&amp;"&amp;range=A1:J1","Click"))</f>
        <v/>
      </c>
      <c r="B489" s="19"/>
      <c r="C489" s="17"/>
      <c r="D489" s="16"/>
      <c r="E489" s="16"/>
      <c r="F489" s="16"/>
      <c r="G489" s="17"/>
    </row>
    <row r="490">
      <c r="A490" s="16" t="str">
        <f t="array" ref="A490">IF(ISBLANK(B490),,HYPERLINK("https://docs.google.com/spreadsheets/d/1HrklyxLdxO6wfiV9Oy4UeWyZ1Pzcz9yrl4CaGNHqgVU/edit?gid="&amp;XLOOKUP(B490,ID___!A:A,ID___!B:B,"")&amp;"#gid="&amp;XLOOKUP(B490,ID___!A:A,ID___!B:B,"")&amp;"&amp;range=A1:J1","Click"))</f>
        <v/>
      </c>
      <c r="B490" s="19"/>
      <c r="C490" s="17"/>
      <c r="D490" s="16"/>
      <c r="E490" s="16"/>
      <c r="F490" s="16"/>
      <c r="G490" s="17"/>
    </row>
    <row r="491">
      <c r="A491" s="16" t="str">
        <f t="array" ref="A491">IF(ISBLANK(B491),,HYPERLINK("https://docs.google.com/spreadsheets/d/1HrklyxLdxO6wfiV9Oy4UeWyZ1Pzcz9yrl4CaGNHqgVU/edit?gid="&amp;XLOOKUP(B491,ID___!A:A,ID___!B:B,"")&amp;"#gid="&amp;XLOOKUP(B491,ID___!A:A,ID___!B:B,"")&amp;"&amp;range=A1:J1","Click"))</f>
        <v/>
      </c>
      <c r="B491" s="19"/>
      <c r="C491" s="17"/>
      <c r="D491" s="16"/>
      <c r="E491" s="16"/>
      <c r="F491" s="16"/>
      <c r="G491" s="17"/>
    </row>
    <row r="492">
      <c r="A492" s="16" t="str">
        <f t="array" ref="A492">IF(ISBLANK(B492),,HYPERLINK("https://docs.google.com/spreadsheets/d/1HrklyxLdxO6wfiV9Oy4UeWyZ1Pzcz9yrl4CaGNHqgVU/edit?gid="&amp;XLOOKUP(B492,ID___!A:A,ID___!B:B,"")&amp;"#gid="&amp;XLOOKUP(B492,ID___!A:A,ID___!B:B,"")&amp;"&amp;range=A1:J1","Click"))</f>
        <v/>
      </c>
      <c r="B492" s="19"/>
      <c r="C492" s="17"/>
      <c r="D492" s="16"/>
      <c r="E492" s="16"/>
      <c r="F492" s="16"/>
      <c r="G492" s="17"/>
    </row>
    <row r="493">
      <c r="A493" s="16" t="str">
        <f t="array" ref="A493">IF(ISBLANK(B493),,HYPERLINK("https://docs.google.com/spreadsheets/d/1HrklyxLdxO6wfiV9Oy4UeWyZ1Pzcz9yrl4CaGNHqgVU/edit?gid="&amp;XLOOKUP(B493,ID___!A:A,ID___!B:B,"")&amp;"#gid="&amp;XLOOKUP(B493,ID___!A:A,ID___!B:B,"")&amp;"&amp;range=A1:J1","Click"))</f>
        <v/>
      </c>
      <c r="B493" s="19"/>
      <c r="C493" s="17"/>
      <c r="D493" s="16"/>
      <c r="E493" s="16"/>
      <c r="F493" s="16"/>
      <c r="G493" s="17"/>
    </row>
    <row r="494">
      <c r="A494" s="16" t="str">
        <f t="array" ref="A494">IF(ISBLANK(B494),,HYPERLINK("https://docs.google.com/spreadsheets/d/1HrklyxLdxO6wfiV9Oy4UeWyZ1Pzcz9yrl4CaGNHqgVU/edit?gid="&amp;XLOOKUP(B494,ID___!A:A,ID___!B:B,"")&amp;"#gid="&amp;XLOOKUP(B494,ID___!A:A,ID___!B:B,"")&amp;"&amp;range=A1:J1","Click"))</f>
        <v/>
      </c>
      <c r="B494" s="19"/>
      <c r="C494" s="17"/>
      <c r="D494" s="16"/>
      <c r="E494" s="16"/>
      <c r="F494" s="16"/>
      <c r="G494" s="17"/>
    </row>
    <row r="495">
      <c r="A495" s="16" t="str">
        <f t="array" ref="A495">IF(ISBLANK(B495),,HYPERLINK("https://docs.google.com/spreadsheets/d/1HrklyxLdxO6wfiV9Oy4UeWyZ1Pzcz9yrl4CaGNHqgVU/edit?gid="&amp;XLOOKUP(B495,ID___!A:A,ID___!B:B,"")&amp;"#gid="&amp;XLOOKUP(B495,ID___!A:A,ID___!B:B,"")&amp;"&amp;range=A1:J1","Click"))</f>
        <v/>
      </c>
      <c r="B495" s="19"/>
      <c r="C495" s="17"/>
      <c r="D495" s="16"/>
      <c r="E495" s="16"/>
      <c r="F495" s="16"/>
      <c r="G495" s="17"/>
    </row>
    <row r="496">
      <c r="A496" s="16" t="str">
        <f t="array" ref="A496">IF(ISBLANK(B496),,HYPERLINK("https://docs.google.com/spreadsheets/d/1HrklyxLdxO6wfiV9Oy4UeWyZ1Pzcz9yrl4CaGNHqgVU/edit?gid="&amp;XLOOKUP(B496,ID___!A:A,ID___!B:B,"")&amp;"#gid="&amp;XLOOKUP(B496,ID___!A:A,ID___!B:B,"")&amp;"&amp;range=A1:J1","Click"))</f>
        <v/>
      </c>
      <c r="B496" s="19"/>
      <c r="C496" s="17"/>
      <c r="D496" s="16"/>
      <c r="E496" s="16"/>
      <c r="F496" s="16"/>
      <c r="G496" s="17"/>
    </row>
    <row r="497">
      <c r="A497" s="16" t="str">
        <f t="array" ref="A497">IF(ISBLANK(B497),,HYPERLINK("https://docs.google.com/spreadsheets/d/1HrklyxLdxO6wfiV9Oy4UeWyZ1Pzcz9yrl4CaGNHqgVU/edit?gid="&amp;XLOOKUP(B497,ID___!A:A,ID___!B:B,"")&amp;"#gid="&amp;XLOOKUP(B497,ID___!A:A,ID___!B:B,"")&amp;"&amp;range=A1:J1","Click"))</f>
        <v/>
      </c>
      <c r="B497" s="19"/>
      <c r="C497" s="17"/>
      <c r="D497" s="16"/>
      <c r="E497" s="16"/>
      <c r="F497" s="16"/>
      <c r="G497" s="17"/>
    </row>
    <row r="498">
      <c r="A498" s="16" t="str">
        <f t="array" ref="A498">IF(ISBLANK(B498),,HYPERLINK("https://docs.google.com/spreadsheets/d/1HrklyxLdxO6wfiV9Oy4UeWyZ1Pzcz9yrl4CaGNHqgVU/edit?gid="&amp;XLOOKUP(B498,ID___!A:A,ID___!B:B,"")&amp;"#gid="&amp;XLOOKUP(B498,ID___!A:A,ID___!B:B,"")&amp;"&amp;range=A1:J1","Click"))</f>
        <v/>
      </c>
      <c r="B498" s="19"/>
      <c r="C498" s="17"/>
      <c r="D498" s="16"/>
      <c r="E498" s="16"/>
      <c r="F498" s="16"/>
      <c r="G498" s="17"/>
    </row>
    <row r="499">
      <c r="A499" s="16" t="str">
        <f t="array" ref="A499">IF(ISBLANK(B499),,HYPERLINK("https://docs.google.com/spreadsheets/d/1HrklyxLdxO6wfiV9Oy4UeWyZ1Pzcz9yrl4CaGNHqgVU/edit?gid="&amp;XLOOKUP(B499,ID___!A:A,ID___!B:B,"")&amp;"#gid="&amp;XLOOKUP(B499,ID___!A:A,ID___!B:B,"")&amp;"&amp;range=A1:J1","Click"))</f>
        <v/>
      </c>
      <c r="B499" s="19"/>
      <c r="C499" s="17"/>
      <c r="D499" s="16"/>
      <c r="E499" s="16"/>
      <c r="F499" s="16"/>
      <c r="G499" s="17"/>
    </row>
    <row r="500">
      <c r="A500" s="16" t="str">
        <f t="array" ref="A500">IF(ISBLANK(B500),,HYPERLINK("https://docs.google.com/spreadsheets/d/1HrklyxLdxO6wfiV9Oy4UeWyZ1Pzcz9yrl4CaGNHqgVU/edit?gid="&amp;XLOOKUP(B500,ID___!A:A,ID___!B:B,"")&amp;"#gid="&amp;XLOOKUP(B500,ID___!A:A,ID___!B:B,"")&amp;"&amp;range=A1:J1","Click"))</f>
        <v/>
      </c>
      <c r="B500" s="19"/>
      <c r="C500" s="17"/>
      <c r="D500" s="16"/>
      <c r="E500" s="16"/>
      <c r="F500" s="16"/>
      <c r="G500" s="17"/>
    </row>
    <row r="501">
      <c r="A501" s="16" t="str">
        <f t="array" ref="A501">IF(ISBLANK(B501),,HYPERLINK("https://docs.google.com/spreadsheets/d/1HrklyxLdxO6wfiV9Oy4UeWyZ1Pzcz9yrl4CaGNHqgVU/edit?gid="&amp;XLOOKUP(B501,ID___!A:A,ID___!B:B,"")&amp;"#gid="&amp;XLOOKUP(B501,ID___!A:A,ID___!B:B,"")&amp;"&amp;range=A1:J1","Click"))</f>
        <v/>
      </c>
      <c r="B501" s="19"/>
      <c r="C501" s="17"/>
      <c r="D501" s="16"/>
      <c r="E501" s="16"/>
      <c r="F501" s="16"/>
      <c r="G501" s="17"/>
    </row>
    <row r="502">
      <c r="A502" s="16" t="str">
        <f t="array" ref="A502">IF(ISBLANK(B502),,HYPERLINK("https://docs.google.com/spreadsheets/d/1HrklyxLdxO6wfiV9Oy4UeWyZ1Pzcz9yrl4CaGNHqgVU/edit?gid="&amp;XLOOKUP(B502,ID___!A:A,ID___!B:B,"")&amp;"#gid="&amp;XLOOKUP(B502,ID___!A:A,ID___!B:B,"")&amp;"&amp;range=A1:J1","Click"))</f>
        <v/>
      </c>
      <c r="B502" s="19"/>
      <c r="C502" s="17"/>
      <c r="D502" s="16"/>
      <c r="E502" s="16"/>
      <c r="F502" s="16"/>
      <c r="G502" s="17"/>
    </row>
    <row r="503">
      <c r="A503" s="16" t="str">
        <f t="array" ref="A503">IF(ISBLANK(B503),,HYPERLINK("https://docs.google.com/spreadsheets/d/1HrklyxLdxO6wfiV9Oy4UeWyZ1Pzcz9yrl4CaGNHqgVU/edit?gid="&amp;XLOOKUP(B503,ID___!A:A,ID___!B:B,"")&amp;"#gid="&amp;XLOOKUP(B503,ID___!A:A,ID___!B:B,"")&amp;"&amp;range=A1:J1","Click"))</f>
        <v/>
      </c>
      <c r="B503" s="19"/>
      <c r="C503" s="17"/>
      <c r="D503" s="16"/>
      <c r="E503" s="16"/>
      <c r="F503" s="16"/>
      <c r="G503" s="17"/>
    </row>
    <row r="504">
      <c r="A504" s="16" t="str">
        <f t="array" ref="A504">IF(ISBLANK(B504),,HYPERLINK("https://docs.google.com/spreadsheets/d/1HrklyxLdxO6wfiV9Oy4UeWyZ1Pzcz9yrl4CaGNHqgVU/edit?gid="&amp;XLOOKUP(B504,ID___!A:A,ID___!B:B,"")&amp;"#gid="&amp;XLOOKUP(B504,ID___!A:A,ID___!B:B,"")&amp;"&amp;range=A1:J1","Click"))</f>
        <v/>
      </c>
      <c r="B504" s="19"/>
      <c r="C504" s="17"/>
      <c r="D504" s="16"/>
      <c r="E504" s="16"/>
      <c r="F504" s="16"/>
      <c r="G504" s="17"/>
    </row>
    <row r="505">
      <c r="A505" s="16" t="str">
        <f t="array" ref="A505">IF(ISBLANK(B505),,HYPERLINK("https://docs.google.com/spreadsheets/d/1HrklyxLdxO6wfiV9Oy4UeWyZ1Pzcz9yrl4CaGNHqgVU/edit?gid="&amp;XLOOKUP(B505,ID___!A:A,ID___!B:B,"")&amp;"#gid="&amp;XLOOKUP(B505,ID___!A:A,ID___!B:B,"")&amp;"&amp;range=A1:J1","Click"))</f>
        <v/>
      </c>
      <c r="B505" s="19"/>
      <c r="C505" s="17"/>
      <c r="D505" s="16"/>
      <c r="E505" s="16"/>
      <c r="F505" s="16"/>
      <c r="G505" s="17"/>
    </row>
    <row r="506">
      <c r="A506" s="16" t="str">
        <f t="array" ref="A506">IF(ISBLANK(B506),,HYPERLINK("https://docs.google.com/spreadsheets/d/1HrklyxLdxO6wfiV9Oy4UeWyZ1Pzcz9yrl4CaGNHqgVU/edit?gid="&amp;XLOOKUP(B506,ID___!A:A,ID___!B:B,"")&amp;"#gid="&amp;XLOOKUP(B506,ID___!A:A,ID___!B:B,"")&amp;"&amp;range=A1:J1","Click"))</f>
        <v/>
      </c>
      <c r="B506" s="19"/>
      <c r="C506" s="17"/>
      <c r="D506" s="16"/>
      <c r="E506" s="16"/>
      <c r="F506" s="16"/>
      <c r="G506" s="17"/>
    </row>
    <row r="507">
      <c r="A507" s="16" t="str">
        <f t="array" ref="A507">IF(ISBLANK(B507),,HYPERLINK("https://docs.google.com/spreadsheets/d/1HrklyxLdxO6wfiV9Oy4UeWyZ1Pzcz9yrl4CaGNHqgVU/edit?gid="&amp;XLOOKUP(B507,ID___!A:A,ID___!B:B,"")&amp;"#gid="&amp;XLOOKUP(B507,ID___!A:A,ID___!B:B,"")&amp;"&amp;range=A1:J1","Click"))</f>
        <v/>
      </c>
      <c r="B507" s="19"/>
      <c r="C507" s="17"/>
      <c r="D507" s="16"/>
      <c r="E507" s="16"/>
      <c r="F507" s="16"/>
      <c r="G507" s="17"/>
    </row>
    <row r="508">
      <c r="A508" s="16" t="str">
        <f t="array" ref="A508">IF(ISBLANK(B508),,HYPERLINK("https://docs.google.com/spreadsheets/d/1HrklyxLdxO6wfiV9Oy4UeWyZ1Pzcz9yrl4CaGNHqgVU/edit?gid="&amp;XLOOKUP(B508,ID___!A:A,ID___!B:B,"")&amp;"#gid="&amp;XLOOKUP(B508,ID___!A:A,ID___!B:B,"")&amp;"&amp;range=A1:J1","Click"))</f>
        <v/>
      </c>
      <c r="B508" s="19"/>
      <c r="C508" s="17"/>
      <c r="D508" s="16"/>
      <c r="E508" s="16"/>
      <c r="F508" s="16"/>
      <c r="G508" s="17"/>
    </row>
    <row r="509">
      <c r="A509" s="16" t="str">
        <f t="array" ref="A509">IF(ISBLANK(B509),,HYPERLINK("https://docs.google.com/spreadsheets/d/1HrklyxLdxO6wfiV9Oy4UeWyZ1Pzcz9yrl4CaGNHqgVU/edit?gid="&amp;XLOOKUP(B509,ID___!A:A,ID___!B:B,"")&amp;"#gid="&amp;XLOOKUP(B509,ID___!A:A,ID___!B:B,"")&amp;"&amp;range=A1:J1","Click"))</f>
        <v/>
      </c>
      <c r="B509" s="19"/>
      <c r="C509" s="17"/>
      <c r="D509" s="16"/>
      <c r="E509" s="16"/>
      <c r="F509" s="16"/>
      <c r="G509" s="17"/>
    </row>
    <row r="510">
      <c r="A510" s="16" t="str">
        <f t="array" ref="A510">IF(ISBLANK(B510),,HYPERLINK("https://docs.google.com/spreadsheets/d/1HrklyxLdxO6wfiV9Oy4UeWyZ1Pzcz9yrl4CaGNHqgVU/edit?gid="&amp;XLOOKUP(B510,ID___!A:A,ID___!B:B,"")&amp;"#gid="&amp;XLOOKUP(B510,ID___!A:A,ID___!B:B,"")&amp;"&amp;range=A1:J1","Click"))</f>
        <v/>
      </c>
      <c r="B510" s="19"/>
      <c r="C510" s="17"/>
      <c r="D510" s="16"/>
      <c r="E510" s="16"/>
      <c r="F510" s="16"/>
      <c r="G510" s="17"/>
    </row>
    <row r="511">
      <c r="A511" s="16" t="str">
        <f t="array" ref="A511">IF(ISBLANK(B511),,HYPERLINK("https://docs.google.com/spreadsheets/d/1HrklyxLdxO6wfiV9Oy4UeWyZ1Pzcz9yrl4CaGNHqgVU/edit?gid="&amp;XLOOKUP(B511,ID___!A:A,ID___!B:B,"")&amp;"#gid="&amp;XLOOKUP(B511,ID___!A:A,ID___!B:B,"")&amp;"&amp;range=A1:J1","Click"))</f>
        <v/>
      </c>
      <c r="B511" s="19"/>
      <c r="C511" s="17"/>
      <c r="D511" s="16"/>
      <c r="E511" s="16"/>
      <c r="F511" s="16"/>
      <c r="G511" s="17"/>
    </row>
    <row r="512">
      <c r="A512" s="16" t="str">
        <f t="array" ref="A512">IF(ISBLANK(B512),,HYPERLINK("https://docs.google.com/spreadsheets/d/1HrklyxLdxO6wfiV9Oy4UeWyZ1Pzcz9yrl4CaGNHqgVU/edit?gid="&amp;XLOOKUP(B512,ID___!A:A,ID___!B:B,"")&amp;"#gid="&amp;XLOOKUP(B512,ID___!A:A,ID___!B:B,"")&amp;"&amp;range=A1:J1","Click"))</f>
        <v/>
      </c>
      <c r="B512" s="19"/>
      <c r="C512" s="17"/>
      <c r="D512" s="16"/>
      <c r="E512" s="16"/>
      <c r="F512" s="16"/>
      <c r="G512" s="17"/>
    </row>
    <row r="513">
      <c r="A513" s="16" t="str">
        <f t="array" ref="A513">IF(ISBLANK(B513),,HYPERLINK("https://docs.google.com/spreadsheets/d/1HrklyxLdxO6wfiV9Oy4UeWyZ1Pzcz9yrl4CaGNHqgVU/edit?gid="&amp;XLOOKUP(B513,ID___!A:A,ID___!B:B,"")&amp;"#gid="&amp;XLOOKUP(B513,ID___!A:A,ID___!B:B,"")&amp;"&amp;range=A1:J1","Click"))</f>
        <v/>
      </c>
      <c r="B513" s="19"/>
      <c r="C513" s="17"/>
      <c r="D513" s="16"/>
      <c r="E513" s="16"/>
      <c r="F513" s="16"/>
      <c r="G513" s="17"/>
    </row>
    <row r="514">
      <c r="A514" s="16" t="str">
        <f t="array" ref="A514">IF(ISBLANK(B514),,HYPERLINK("https://docs.google.com/spreadsheets/d/1HrklyxLdxO6wfiV9Oy4UeWyZ1Pzcz9yrl4CaGNHqgVU/edit?gid="&amp;XLOOKUP(B514,ID___!A:A,ID___!B:B,"")&amp;"#gid="&amp;XLOOKUP(B514,ID___!A:A,ID___!B:B,"")&amp;"&amp;range=A1:J1","Click"))</f>
        <v/>
      </c>
      <c r="B514" s="19"/>
      <c r="C514" s="17"/>
      <c r="D514" s="16"/>
      <c r="E514" s="16"/>
      <c r="F514" s="16"/>
      <c r="G514" s="17"/>
    </row>
    <row r="515">
      <c r="A515" s="16" t="str">
        <f t="array" ref="A515">IF(ISBLANK(B515),,HYPERLINK("https://docs.google.com/spreadsheets/d/1HrklyxLdxO6wfiV9Oy4UeWyZ1Pzcz9yrl4CaGNHqgVU/edit?gid="&amp;XLOOKUP(B515,ID___!A:A,ID___!B:B,"")&amp;"#gid="&amp;XLOOKUP(B515,ID___!A:A,ID___!B:B,"")&amp;"&amp;range=A1:J1","Click"))</f>
        <v/>
      </c>
      <c r="B515" s="19"/>
      <c r="C515" s="17"/>
      <c r="D515" s="16"/>
      <c r="E515" s="16"/>
      <c r="F515" s="16"/>
      <c r="G515" s="17"/>
    </row>
    <row r="516">
      <c r="A516" s="16" t="str">
        <f t="array" ref="A516">IF(ISBLANK(B516),,HYPERLINK("https://docs.google.com/spreadsheets/d/1HrklyxLdxO6wfiV9Oy4UeWyZ1Pzcz9yrl4CaGNHqgVU/edit?gid="&amp;XLOOKUP(B516,ID___!A:A,ID___!B:B,"")&amp;"#gid="&amp;XLOOKUP(B516,ID___!A:A,ID___!B:B,"")&amp;"&amp;range=A1:J1","Click"))</f>
        <v/>
      </c>
      <c r="B516" s="19"/>
      <c r="C516" s="17"/>
      <c r="D516" s="16"/>
      <c r="E516" s="16"/>
      <c r="F516" s="16"/>
      <c r="G516" s="17"/>
    </row>
    <row r="517">
      <c r="A517" s="16" t="str">
        <f t="array" ref="A517">IF(ISBLANK(B517),,HYPERLINK("https://docs.google.com/spreadsheets/d/1HrklyxLdxO6wfiV9Oy4UeWyZ1Pzcz9yrl4CaGNHqgVU/edit?gid="&amp;XLOOKUP(B517,ID___!A:A,ID___!B:B,"")&amp;"#gid="&amp;XLOOKUP(B517,ID___!A:A,ID___!B:B,"")&amp;"&amp;range=A1:J1","Click"))</f>
        <v/>
      </c>
      <c r="B517" s="19"/>
      <c r="C517" s="17"/>
      <c r="D517" s="16"/>
      <c r="E517" s="16"/>
      <c r="F517" s="16"/>
      <c r="G517" s="17"/>
    </row>
    <row r="518">
      <c r="A518" s="16" t="str">
        <f t="array" ref="A518">IF(ISBLANK(B518),,HYPERLINK("https://docs.google.com/spreadsheets/d/1HrklyxLdxO6wfiV9Oy4UeWyZ1Pzcz9yrl4CaGNHqgVU/edit?gid="&amp;XLOOKUP(B518,ID___!A:A,ID___!B:B,"")&amp;"#gid="&amp;XLOOKUP(B518,ID___!A:A,ID___!B:B,"")&amp;"&amp;range=A1:J1","Click"))</f>
        <v/>
      </c>
      <c r="B518" s="19"/>
      <c r="C518" s="17"/>
      <c r="D518" s="16"/>
      <c r="E518" s="16"/>
      <c r="F518" s="16"/>
      <c r="G518" s="17"/>
    </row>
    <row r="519">
      <c r="A519" s="16" t="str">
        <f t="array" ref="A519">IF(ISBLANK(B519),,HYPERLINK("https://docs.google.com/spreadsheets/d/1HrklyxLdxO6wfiV9Oy4UeWyZ1Pzcz9yrl4CaGNHqgVU/edit?gid="&amp;XLOOKUP(B519,ID___!A:A,ID___!B:B,"")&amp;"#gid="&amp;XLOOKUP(B519,ID___!A:A,ID___!B:B,"")&amp;"&amp;range=A1:J1","Click"))</f>
        <v/>
      </c>
      <c r="B519" s="19"/>
      <c r="C519" s="17"/>
      <c r="D519" s="16"/>
      <c r="E519" s="16"/>
      <c r="F519" s="16"/>
      <c r="G519" s="17"/>
    </row>
    <row r="520">
      <c r="A520" s="16" t="str">
        <f t="array" ref="A520">IF(ISBLANK(B520),,HYPERLINK("https://docs.google.com/spreadsheets/d/1HrklyxLdxO6wfiV9Oy4UeWyZ1Pzcz9yrl4CaGNHqgVU/edit?gid="&amp;XLOOKUP(B520,ID___!A:A,ID___!B:B,"")&amp;"#gid="&amp;XLOOKUP(B520,ID___!A:A,ID___!B:B,"")&amp;"&amp;range=A1:J1","Click"))</f>
        <v/>
      </c>
      <c r="B520" s="19"/>
      <c r="C520" s="17"/>
      <c r="D520" s="16"/>
      <c r="E520" s="16"/>
      <c r="F520" s="16"/>
      <c r="G520" s="17"/>
    </row>
    <row r="521">
      <c r="A521" s="16" t="str">
        <f t="array" ref="A521">IF(ISBLANK(B521),,HYPERLINK("https://docs.google.com/spreadsheets/d/1HrklyxLdxO6wfiV9Oy4UeWyZ1Pzcz9yrl4CaGNHqgVU/edit?gid="&amp;XLOOKUP(B521,ID___!A:A,ID___!B:B,"")&amp;"#gid="&amp;XLOOKUP(B521,ID___!A:A,ID___!B:B,"")&amp;"&amp;range=A1:J1","Click"))</f>
        <v/>
      </c>
      <c r="B521" s="19"/>
      <c r="C521" s="17"/>
      <c r="D521" s="16"/>
      <c r="E521" s="16"/>
      <c r="F521" s="16"/>
      <c r="G521" s="17"/>
    </row>
    <row r="522">
      <c r="A522" s="16" t="str">
        <f t="array" ref="A522">IF(ISBLANK(B522),,HYPERLINK("https://docs.google.com/spreadsheets/d/1HrklyxLdxO6wfiV9Oy4UeWyZ1Pzcz9yrl4CaGNHqgVU/edit?gid="&amp;XLOOKUP(B522,ID___!A:A,ID___!B:B,"")&amp;"#gid="&amp;XLOOKUP(B522,ID___!A:A,ID___!B:B,"")&amp;"&amp;range=A1:J1","Click"))</f>
        <v/>
      </c>
      <c r="B522" s="19"/>
      <c r="C522" s="17"/>
      <c r="D522" s="16"/>
      <c r="E522" s="16"/>
      <c r="F522" s="16"/>
      <c r="G522" s="17"/>
    </row>
    <row r="523">
      <c r="A523" s="16" t="str">
        <f t="array" ref="A523">IF(ISBLANK(B523),,HYPERLINK("https://docs.google.com/spreadsheets/d/1HrklyxLdxO6wfiV9Oy4UeWyZ1Pzcz9yrl4CaGNHqgVU/edit?gid="&amp;XLOOKUP(B523,ID___!A:A,ID___!B:B,"")&amp;"#gid="&amp;XLOOKUP(B523,ID___!A:A,ID___!B:B,"")&amp;"&amp;range=A1:J1","Click"))</f>
        <v/>
      </c>
      <c r="B523" s="19"/>
      <c r="C523" s="17"/>
      <c r="D523" s="16"/>
      <c r="E523" s="16"/>
      <c r="F523" s="16"/>
      <c r="G523" s="17"/>
    </row>
    <row r="524">
      <c r="A524" s="16" t="str">
        <f t="array" ref="A524">IF(ISBLANK(B524),,HYPERLINK("https://docs.google.com/spreadsheets/d/1HrklyxLdxO6wfiV9Oy4UeWyZ1Pzcz9yrl4CaGNHqgVU/edit?gid="&amp;XLOOKUP(B524,ID___!A:A,ID___!B:B,"")&amp;"#gid="&amp;XLOOKUP(B524,ID___!A:A,ID___!B:B,"")&amp;"&amp;range=A1:J1","Click"))</f>
        <v/>
      </c>
      <c r="B524" s="19"/>
      <c r="C524" s="17"/>
      <c r="D524" s="16"/>
      <c r="E524" s="16"/>
      <c r="F524" s="16"/>
      <c r="G524" s="17"/>
    </row>
    <row r="525">
      <c r="A525" s="16" t="str">
        <f t="array" ref="A525">IF(ISBLANK(B525),,HYPERLINK("https://docs.google.com/spreadsheets/d/1HrklyxLdxO6wfiV9Oy4UeWyZ1Pzcz9yrl4CaGNHqgVU/edit?gid="&amp;XLOOKUP(B525,ID___!A:A,ID___!B:B,"")&amp;"#gid="&amp;XLOOKUP(B525,ID___!A:A,ID___!B:B,"")&amp;"&amp;range=A1:J1","Click"))</f>
        <v/>
      </c>
      <c r="B525" s="19"/>
      <c r="C525" s="17"/>
      <c r="D525" s="16"/>
      <c r="E525" s="16"/>
      <c r="F525" s="16"/>
      <c r="G525" s="17"/>
    </row>
    <row r="526">
      <c r="A526" s="16" t="str">
        <f t="array" ref="A526">IF(ISBLANK(B526),,HYPERLINK("https://docs.google.com/spreadsheets/d/1HrklyxLdxO6wfiV9Oy4UeWyZ1Pzcz9yrl4CaGNHqgVU/edit?gid="&amp;XLOOKUP(B526,ID___!A:A,ID___!B:B,"")&amp;"#gid="&amp;XLOOKUP(B526,ID___!A:A,ID___!B:B,"")&amp;"&amp;range=A1:J1","Click"))</f>
        <v/>
      </c>
      <c r="B526" s="19"/>
      <c r="C526" s="17"/>
      <c r="D526" s="16"/>
      <c r="E526" s="16"/>
      <c r="F526" s="16"/>
      <c r="G526" s="17"/>
    </row>
    <row r="527">
      <c r="A527" s="16" t="str">
        <f t="array" ref="A527">IF(ISBLANK(B527),,HYPERLINK("https://docs.google.com/spreadsheets/d/1HrklyxLdxO6wfiV9Oy4UeWyZ1Pzcz9yrl4CaGNHqgVU/edit?gid="&amp;XLOOKUP(B527,ID___!A:A,ID___!B:B,"")&amp;"#gid="&amp;XLOOKUP(B527,ID___!A:A,ID___!B:B,"")&amp;"&amp;range=A1:J1","Click"))</f>
        <v/>
      </c>
      <c r="B527" s="19"/>
      <c r="C527" s="17"/>
      <c r="D527" s="16"/>
      <c r="E527" s="16"/>
      <c r="F527" s="16"/>
      <c r="G527" s="17"/>
    </row>
    <row r="528">
      <c r="A528" s="16" t="str">
        <f t="array" ref="A528">IF(ISBLANK(B528),,HYPERLINK("https://docs.google.com/spreadsheets/d/1HrklyxLdxO6wfiV9Oy4UeWyZ1Pzcz9yrl4CaGNHqgVU/edit?gid="&amp;XLOOKUP(B528,ID___!A:A,ID___!B:B,"")&amp;"#gid="&amp;XLOOKUP(B528,ID___!A:A,ID___!B:B,"")&amp;"&amp;range=A1:J1","Click"))</f>
        <v/>
      </c>
      <c r="B528" s="19"/>
      <c r="C528" s="17"/>
      <c r="D528" s="16"/>
      <c r="E528" s="16"/>
      <c r="F528" s="16"/>
      <c r="G528" s="17"/>
    </row>
    <row r="529">
      <c r="A529" s="16" t="str">
        <f t="array" ref="A529">IF(ISBLANK(B529),,HYPERLINK("https://docs.google.com/spreadsheets/d/1HrklyxLdxO6wfiV9Oy4UeWyZ1Pzcz9yrl4CaGNHqgVU/edit?gid="&amp;XLOOKUP(B529,ID___!A:A,ID___!B:B,"")&amp;"#gid="&amp;XLOOKUP(B529,ID___!A:A,ID___!B:B,"")&amp;"&amp;range=A1:J1","Click"))</f>
        <v/>
      </c>
      <c r="B529" s="19"/>
      <c r="C529" s="17"/>
      <c r="D529" s="16"/>
      <c r="E529" s="16"/>
      <c r="F529" s="16"/>
      <c r="G529" s="17"/>
    </row>
    <row r="530">
      <c r="A530" s="16" t="str">
        <f t="array" ref="A530">IF(ISBLANK(B530),,HYPERLINK("https://docs.google.com/spreadsheets/d/1HrklyxLdxO6wfiV9Oy4UeWyZ1Pzcz9yrl4CaGNHqgVU/edit?gid="&amp;XLOOKUP(B530,ID___!A:A,ID___!B:B,"")&amp;"#gid="&amp;XLOOKUP(B530,ID___!A:A,ID___!B:B,"")&amp;"&amp;range=A1:J1","Click"))</f>
        <v/>
      </c>
      <c r="B530" s="19"/>
      <c r="C530" s="17"/>
      <c r="D530" s="16"/>
      <c r="E530" s="16"/>
      <c r="F530" s="16"/>
      <c r="G530" s="17"/>
    </row>
    <row r="531">
      <c r="A531" s="16" t="str">
        <f t="array" ref="A531">IF(ISBLANK(B531),,HYPERLINK("https://docs.google.com/spreadsheets/d/1HrklyxLdxO6wfiV9Oy4UeWyZ1Pzcz9yrl4CaGNHqgVU/edit?gid="&amp;XLOOKUP(B531,ID___!A:A,ID___!B:B,"")&amp;"#gid="&amp;XLOOKUP(B531,ID___!A:A,ID___!B:B,"")&amp;"&amp;range=A1:J1","Click"))</f>
        <v/>
      </c>
      <c r="B531" s="19"/>
      <c r="C531" s="17"/>
      <c r="D531" s="16"/>
      <c r="E531" s="16"/>
      <c r="F531" s="16"/>
      <c r="G531" s="17"/>
    </row>
    <row r="532">
      <c r="A532" s="16" t="str">
        <f t="array" ref="A532">IF(ISBLANK(B532),,HYPERLINK("https://docs.google.com/spreadsheets/d/1HrklyxLdxO6wfiV9Oy4UeWyZ1Pzcz9yrl4CaGNHqgVU/edit?gid="&amp;XLOOKUP(B532,ID___!A:A,ID___!B:B,"")&amp;"#gid="&amp;XLOOKUP(B532,ID___!A:A,ID___!B:B,"")&amp;"&amp;range=A1:J1","Click"))</f>
        <v/>
      </c>
      <c r="B532" s="19"/>
      <c r="C532" s="17"/>
      <c r="D532" s="16"/>
      <c r="E532" s="16"/>
      <c r="F532" s="16"/>
      <c r="G532" s="17"/>
    </row>
    <row r="533">
      <c r="A533" s="16" t="str">
        <f t="array" ref="A533">IF(ISBLANK(B533),,HYPERLINK("https://docs.google.com/spreadsheets/d/1HrklyxLdxO6wfiV9Oy4UeWyZ1Pzcz9yrl4CaGNHqgVU/edit?gid="&amp;XLOOKUP(B533,ID___!A:A,ID___!B:B,"")&amp;"#gid="&amp;XLOOKUP(B533,ID___!A:A,ID___!B:B,"")&amp;"&amp;range=A1:J1","Click"))</f>
        <v/>
      </c>
      <c r="B533" s="19"/>
      <c r="C533" s="17"/>
      <c r="D533" s="16"/>
      <c r="E533" s="16"/>
      <c r="F533" s="16"/>
      <c r="G533" s="17"/>
    </row>
    <row r="534">
      <c r="A534" s="16" t="str">
        <f t="array" ref="A534">IF(ISBLANK(B534),,HYPERLINK("https://docs.google.com/spreadsheets/d/1HrklyxLdxO6wfiV9Oy4UeWyZ1Pzcz9yrl4CaGNHqgVU/edit?gid="&amp;XLOOKUP(B534,ID___!A:A,ID___!B:B,"")&amp;"#gid="&amp;XLOOKUP(B534,ID___!A:A,ID___!B:B,"")&amp;"&amp;range=A1:J1","Click"))</f>
        <v/>
      </c>
      <c r="B534" s="19"/>
      <c r="C534" s="17"/>
      <c r="D534" s="16"/>
      <c r="E534" s="16"/>
      <c r="F534" s="16"/>
      <c r="G534" s="17"/>
    </row>
    <row r="535">
      <c r="A535" s="16" t="str">
        <f t="array" ref="A535">IF(ISBLANK(B535),,HYPERLINK("https://docs.google.com/spreadsheets/d/1HrklyxLdxO6wfiV9Oy4UeWyZ1Pzcz9yrl4CaGNHqgVU/edit?gid="&amp;XLOOKUP(B535,ID___!A:A,ID___!B:B,"")&amp;"#gid="&amp;XLOOKUP(B535,ID___!A:A,ID___!B:B,"")&amp;"&amp;range=A1:J1","Click"))</f>
        <v/>
      </c>
      <c r="B535" s="19"/>
      <c r="C535" s="17"/>
      <c r="D535" s="16"/>
      <c r="E535" s="16"/>
      <c r="F535" s="16"/>
      <c r="G535" s="17"/>
    </row>
    <row r="536">
      <c r="A536" s="16" t="str">
        <f t="array" ref="A536">IF(ISBLANK(B536),,HYPERLINK("https://docs.google.com/spreadsheets/d/1HrklyxLdxO6wfiV9Oy4UeWyZ1Pzcz9yrl4CaGNHqgVU/edit?gid="&amp;XLOOKUP(B536,ID___!A:A,ID___!B:B,"")&amp;"#gid="&amp;XLOOKUP(B536,ID___!A:A,ID___!B:B,"")&amp;"&amp;range=A1:J1","Click"))</f>
        <v/>
      </c>
      <c r="B536" s="19"/>
      <c r="C536" s="17"/>
      <c r="D536" s="16"/>
      <c r="E536" s="16"/>
      <c r="F536" s="16"/>
      <c r="G536" s="17"/>
    </row>
    <row r="537">
      <c r="A537" s="16" t="str">
        <f t="array" ref="A537">IF(ISBLANK(B537),,HYPERLINK("https://docs.google.com/spreadsheets/d/1HrklyxLdxO6wfiV9Oy4UeWyZ1Pzcz9yrl4CaGNHqgVU/edit?gid="&amp;XLOOKUP(B537,ID___!A:A,ID___!B:B,"")&amp;"#gid="&amp;XLOOKUP(B537,ID___!A:A,ID___!B:B,"")&amp;"&amp;range=A1:J1","Click"))</f>
        <v/>
      </c>
      <c r="B537" s="19"/>
      <c r="C537" s="17"/>
      <c r="D537" s="16"/>
      <c r="E537" s="16"/>
      <c r="F537" s="16"/>
      <c r="G537" s="17"/>
    </row>
    <row r="538">
      <c r="A538" s="16" t="str">
        <f t="array" ref="A538">IF(ISBLANK(B538),,HYPERLINK("https://docs.google.com/spreadsheets/d/1HrklyxLdxO6wfiV9Oy4UeWyZ1Pzcz9yrl4CaGNHqgVU/edit?gid="&amp;XLOOKUP(B538,ID___!A:A,ID___!B:B,"")&amp;"#gid="&amp;XLOOKUP(B538,ID___!A:A,ID___!B:B,"")&amp;"&amp;range=A1:J1","Click"))</f>
        <v/>
      </c>
      <c r="B538" s="19"/>
      <c r="C538" s="17"/>
      <c r="D538" s="16"/>
      <c r="E538" s="16"/>
      <c r="F538" s="16"/>
      <c r="G538" s="17"/>
    </row>
    <row r="539">
      <c r="A539" s="16" t="str">
        <f t="array" ref="A539">IF(ISBLANK(B539),,HYPERLINK("https://docs.google.com/spreadsheets/d/1HrklyxLdxO6wfiV9Oy4UeWyZ1Pzcz9yrl4CaGNHqgVU/edit?gid="&amp;XLOOKUP(B539,ID___!A:A,ID___!B:B,"")&amp;"#gid="&amp;XLOOKUP(B539,ID___!A:A,ID___!B:B,"")&amp;"&amp;range=A1:J1","Click"))</f>
        <v/>
      </c>
      <c r="B539" s="19"/>
      <c r="C539" s="17"/>
      <c r="D539" s="16"/>
      <c r="E539" s="16"/>
      <c r="F539" s="16"/>
      <c r="G539" s="17"/>
    </row>
    <row r="540">
      <c r="A540" s="16" t="str">
        <f t="array" ref="A540">IF(ISBLANK(B540),,HYPERLINK("https://docs.google.com/spreadsheets/d/1HrklyxLdxO6wfiV9Oy4UeWyZ1Pzcz9yrl4CaGNHqgVU/edit?gid="&amp;XLOOKUP(B540,ID___!A:A,ID___!B:B,"")&amp;"#gid="&amp;XLOOKUP(B540,ID___!A:A,ID___!B:B,"")&amp;"&amp;range=A1:J1","Click"))</f>
        <v/>
      </c>
      <c r="B540" s="19"/>
      <c r="C540" s="17"/>
      <c r="D540" s="16"/>
      <c r="E540" s="16"/>
      <c r="F540" s="16"/>
      <c r="G540" s="17"/>
    </row>
    <row r="541">
      <c r="A541" s="16" t="str">
        <f t="array" ref="A541">IF(ISBLANK(B541),,HYPERLINK("https://docs.google.com/spreadsheets/d/1HrklyxLdxO6wfiV9Oy4UeWyZ1Pzcz9yrl4CaGNHqgVU/edit?gid="&amp;XLOOKUP(B541,ID___!A:A,ID___!B:B,"")&amp;"#gid="&amp;XLOOKUP(B541,ID___!A:A,ID___!B:B,"")&amp;"&amp;range=A1:J1","Click"))</f>
        <v/>
      </c>
      <c r="B541" s="19"/>
      <c r="C541" s="17"/>
      <c r="D541" s="16"/>
      <c r="E541" s="16"/>
      <c r="F541" s="16"/>
      <c r="G541" s="17"/>
    </row>
    <row r="542">
      <c r="A542" s="16" t="str">
        <f t="array" ref="A542">IF(ISBLANK(B542),,HYPERLINK("https://docs.google.com/spreadsheets/d/1HrklyxLdxO6wfiV9Oy4UeWyZ1Pzcz9yrl4CaGNHqgVU/edit?gid="&amp;XLOOKUP(B542,ID___!A:A,ID___!B:B,"")&amp;"#gid="&amp;XLOOKUP(B542,ID___!A:A,ID___!B:B,"")&amp;"&amp;range=A1:J1","Click"))</f>
        <v/>
      </c>
      <c r="B542" s="19"/>
      <c r="C542" s="17"/>
      <c r="D542" s="16"/>
      <c r="E542" s="16"/>
      <c r="F542" s="16"/>
      <c r="G542" s="17"/>
    </row>
    <row r="543">
      <c r="A543" s="16" t="str">
        <f t="array" ref="A543">IF(ISBLANK(B543),,HYPERLINK("https://docs.google.com/spreadsheets/d/1HrklyxLdxO6wfiV9Oy4UeWyZ1Pzcz9yrl4CaGNHqgVU/edit?gid="&amp;XLOOKUP(B543,ID___!A:A,ID___!B:B,"")&amp;"#gid="&amp;XLOOKUP(B543,ID___!A:A,ID___!B:B,"")&amp;"&amp;range=A1:J1","Click"))</f>
        <v/>
      </c>
      <c r="B543" s="19"/>
      <c r="C543" s="17"/>
      <c r="D543" s="16"/>
      <c r="E543" s="16"/>
      <c r="F543" s="16"/>
      <c r="G543" s="17"/>
    </row>
    <row r="544">
      <c r="A544" s="16" t="str">
        <f t="array" ref="A544">IF(ISBLANK(B544),,HYPERLINK("https://docs.google.com/spreadsheets/d/1HrklyxLdxO6wfiV9Oy4UeWyZ1Pzcz9yrl4CaGNHqgVU/edit?gid="&amp;XLOOKUP(B544,ID___!A:A,ID___!B:B,"")&amp;"#gid="&amp;XLOOKUP(B544,ID___!A:A,ID___!B:B,"")&amp;"&amp;range=A1:J1","Click"))</f>
        <v/>
      </c>
      <c r="B544" s="19"/>
      <c r="C544" s="17"/>
      <c r="D544" s="16"/>
      <c r="E544" s="16"/>
      <c r="F544" s="16"/>
      <c r="G544" s="17"/>
    </row>
    <row r="545">
      <c r="A545" s="16" t="str">
        <f t="array" ref="A545">IF(ISBLANK(B545),,HYPERLINK("https://docs.google.com/spreadsheets/d/1HrklyxLdxO6wfiV9Oy4UeWyZ1Pzcz9yrl4CaGNHqgVU/edit?gid="&amp;XLOOKUP(B545,ID___!A:A,ID___!B:B,"")&amp;"#gid="&amp;XLOOKUP(B545,ID___!A:A,ID___!B:B,"")&amp;"&amp;range=A1:J1","Click"))</f>
        <v/>
      </c>
      <c r="B545" s="19"/>
      <c r="C545" s="17"/>
      <c r="D545" s="16"/>
      <c r="E545" s="16"/>
      <c r="F545" s="16"/>
      <c r="G545" s="17"/>
    </row>
    <row r="546">
      <c r="A546" s="16" t="str">
        <f t="array" ref="A546">IF(ISBLANK(B546),,HYPERLINK("https://docs.google.com/spreadsheets/d/1HrklyxLdxO6wfiV9Oy4UeWyZ1Pzcz9yrl4CaGNHqgVU/edit?gid="&amp;XLOOKUP(B546,ID___!A:A,ID___!B:B,"")&amp;"#gid="&amp;XLOOKUP(B546,ID___!A:A,ID___!B:B,"")&amp;"&amp;range=A1:J1","Click"))</f>
        <v/>
      </c>
      <c r="B546" s="19"/>
      <c r="C546" s="17"/>
      <c r="D546" s="16"/>
      <c r="E546" s="16"/>
      <c r="F546" s="16"/>
      <c r="G546" s="17"/>
    </row>
    <row r="547">
      <c r="A547" s="16" t="str">
        <f t="array" ref="A547">IF(ISBLANK(B547),,HYPERLINK("https://docs.google.com/spreadsheets/d/1HrklyxLdxO6wfiV9Oy4UeWyZ1Pzcz9yrl4CaGNHqgVU/edit?gid="&amp;XLOOKUP(B547,ID___!A:A,ID___!B:B,"")&amp;"#gid="&amp;XLOOKUP(B547,ID___!A:A,ID___!B:B,"")&amp;"&amp;range=A1:J1","Click"))</f>
        <v/>
      </c>
      <c r="B547" s="19"/>
      <c r="C547" s="17"/>
      <c r="D547" s="16"/>
      <c r="E547" s="16"/>
      <c r="F547" s="16"/>
      <c r="G547" s="17"/>
    </row>
    <row r="548">
      <c r="A548" s="16" t="str">
        <f t="array" ref="A548">IF(ISBLANK(B548),,HYPERLINK("https://docs.google.com/spreadsheets/d/1HrklyxLdxO6wfiV9Oy4UeWyZ1Pzcz9yrl4CaGNHqgVU/edit?gid="&amp;XLOOKUP(B548,ID___!A:A,ID___!B:B,"")&amp;"#gid="&amp;XLOOKUP(B548,ID___!A:A,ID___!B:B,"")&amp;"&amp;range=A1:J1","Click"))</f>
        <v/>
      </c>
      <c r="B548" s="19"/>
      <c r="C548" s="17"/>
      <c r="D548" s="16"/>
      <c r="E548" s="16"/>
      <c r="F548" s="16"/>
      <c r="G548" s="17"/>
    </row>
    <row r="549">
      <c r="A549" s="16" t="str">
        <f t="array" ref="A549">IF(ISBLANK(B549),,HYPERLINK("https://docs.google.com/spreadsheets/d/1HrklyxLdxO6wfiV9Oy4UeWyZ1Pzcz9yrl4CaGNHqgVU/edit?gid="&amp;XLOOKUP(B549,ID___!A:A,ID___!B:B,"")&amp;"#gid="&amp;XLOOKUP(B549,ID___!A:A,ID___!B:B,"")&amp;"&amp;range=A1:J1","Click"))</f>
        <v/>
      </c>
      <c r="B549" s="19"/>
      <c r="C549" s="17"/>
      <c r="D549" s="16"/>
      <c r="E549" s="16"/>
      <c r="F549" s="16"/>
      <c r="G549" s="17"/>
    </row>
    <row r="550">
      <c r="A550" s="16" t="str">
        <f t="array" ref="A550">IF(ISBLANK(B550),,HYPERLINK("https://docs.google.com/spreadsheets/d/1HrklyxLdxO6wfiV9Oy4UeWyZ1Pzcz9yrl4CaGNHqgVU/edit?gid="&amp;XLOOKUP(B550,ID___!A:A,ID___!B:B,"")&amp;"#gid="&amp;XLOOKUP(B550,ID___!A:A,ID___!B:B,"")&amp;"&amp;range=A1:J1","Click"))</f>
        <v/>
      </c>
      <c r="B550" s="19"/>
      <c r="C550" s="17"/>
      <c r="D550" s="16"/>
      <c r="E550" s="16"/>
      <c r="F550" s="16"/>
      <c r="G550" s="17"/>
    </row>
    <row r="551">
      <c r="A551" s="16" t="str">
        <f t="array" ref="A551">IF(ISBLANK(B551),,HYPERLINK("https://docs.google.com/spreadsheets/d/1HrklyxLdxO6wfiV9Oy4UeWyZ1Pzcz9yrl4CaGNHqgVU/edit?gid="&amp;XLOOKUP(B551,ID___!A:A,ID___!B:B,"")&amp;"#gid="&amp;XLOOKUP(B551,ID___!A:A,ID___!B:B,"")&amp;"&amp;range=A1:J1","Click"))</f>
        <v/>
      </c>
      <c r="B551" s="19"/>
      <c r="C551" s="17"/>
      <c r="D551" s="16"/>
      <c r="E551" s="16"/>
      <c r="F551" s="16"/>
      <c r="G551" s="17"/>
    </row>
    <row r="552">
      <c r="A552" s="16" t="str">
        <f t="array" ref="A552">IF(ISBLANK(B552),,HYPERLINK("https://docs.google.com/spreadsheets/d/1HrklyxLdxO6wfiV9Oy4UeWyZ1Pzcz9yrl4CaGNHqgVU/edit?gid="&amp;XLOOKUP(B552,ID___!A:A,ID___!B:B,"")&amp;"#gid="&amp;XLOOKUP(B552,ID___!A:A,ID___!B:B,"")&amp;"&amp;range=A1:J1","Click"))</f>
        <v/>
      </c>
      <c r="B552" s="19"/>
      <c r="C552" s="17"/>
      <c r="D552" s="16"/>
      <c r="E552" s="16"/>
      <c r="F552" s="16"/>
      <c r="G552" s="17"/>
    </row>
    <row r="553">
      <c r="A553" s="16" t="str">
        <f t="array" ref="A553">IF(ISBLANK(B553),,HYPERLINK("https://docs.google.com/spreadsheets/d/1HrklyxLdxO6wfiV9Oy4UeWyZ1Pzcz9yrl4CaGNHqgVU/edit?gid="&amp;XLOOKUP(B553,ID___!A:A,ID___!B:B,"")&amp;"#gid="&amp;XLOOKUP(B553,ID___!A:A,ID___!B:B,"")&amp;"&amp;range=A1:J1","Click"))</f>
        <v/>
      </c>
      <c r="B553" s="19"/>
      <c r="C553" s="17"/>
      <c r="D553" s="16"/>
      <c r="E553" s="16"/>
      <c r="F553" s="16"/>
      <c r="G553" s="17"/>
    </row>
    <row r="554">
      <c r="A554" s="16" t="str">
        <f t="array" ref="A554">IF(ISBLANK(B554),,HYPERLINK("https://docs.google.com/spreadsheets/d/1HrklyxLdxO6wfiV9Oy4UeWyZ1Pzcz9yrl4CaGNHqgVU/edit?gid="&amp;XLOOKUP(B554,ID___!A:A,ID___!B:B,"")&amp;"#gid="&amp;XLOOKUP(B554,ID___!A:A,ID___!B:B,"")&amp;"&amp;range=A1:J1","Click"))</f>
        <v/>
      </c>
      <c r="B554" s="19"/>
      <c r="C554" s="17"/>
      <c r="D554" s="16"/>
      <c r="E554" s="16"/>
      <c r="F554" s="16"/>
      <c r="G554" s="17"/>
    </row>
    <row r="555">
      <c r="A555" s="16" t="str">
        <f t="array" ref="A555">IF(ISBLANK(B555),,HYPERLINK("https://docs.google.com/spreadsheets/d/1HrklyxLdxO6wfiV9Oy4UeWyZ1Pzcz9yrl4CaGNHqgVU/edit?gid="&amp;XLOOKUP(B555,ID___!A:A,ID___!B:B,"")&amp;"#gid="&amp;XLOOKUP(B555,ID___!A:A,ID___!B:B,"")&amp;"&amp;range=A1:J1","Click"))</f>
        <v/>
      </c>
      <c r="B555" s="19"/>
      <c r="C555" s="17"/>
      <c r="D555" s="16"/>
      <c r="E555" s="16"/>
      <c r="F555" s="16"/>
      <c r="G555" s="17"/>
    </row>
    <row r="556">
      <c r="A556" s="16" t="str">
        <f t="array" ref="A556">IF(ISBLANK(B556),,HYPERLINK("https://docs.google.com/spreadsheets/d/1HrklyxLdxO6wfiV9Oy4UeWyZ1Pzcz9yrl4CaGNHqgVU/edit?gid="&amp;XLOOKUP(B556,ID___!A:A,ID___!B:B,"")&amp;"#gid="&amp;XLOOKUP(B556,ID___!A:A,ID___!B:B,"")&amp;"&amp;range=A1:J1","Click"))</f>
        <v/>
      </c>
      <c r="B556" s="19"/>
      <c r="C556" s="17"/>
      <c r="D556" s="16"/>
      <c r="E556" s="16"/>
      <c r="F556" s="16"/>
      <c r="G556" s="17"/>
    </row>
    <row r="557">
      <c r="A557" s="16" t="str">
        <f t="array" ref="A557">IF(ISBLANK(B557),,HYPERLINK("https://docs.google.com/spreadsheets/d/1HrklyxLdxO6wfiV9Oy4UeWyZ1Pzcz9yrl4CaGNHqgVU/edit?gid="&amp;XLOOKUP(B557,ID___!A:A,ID___!B:B,"")&amp;"#gid="&amp;XLOOKUP(B557,ID___!A:A,ID___!B:B,"")&amp;"&amp;range=A1:J1","Click"))</f>
        <v/>
      </c>
      <c r="B557" s="19"/>
      <c r="C557" s="17"/>
      <c r="D557" s="16"/>
      <c r="E557" s="16"/>
      <c r="F557" s="16"/>
      <c r="G557" s="17"/>
    </row>
    <row r="558">
      <c r="A558" s="16" t="str">
        <f t="array" ref="A558">IF(ISBLANK(B558),,HYPERLINK("https://docs.google.com/spreadsheets/d/1HrklyxLdxO6wfiV9Oy4UeWyZ1Pzcz9yrl4CaGNHqgVU/edit?gid="&amp;XLOOKUP(B558,ID___!A:A,ID___!B:B,"")&amp;"#gid="&amp;XLOOKUP(B558,ID___!A:A,ID___!B:B,"")&amp;"&amp;range=A1:J1","Click"))</f>
        <v/>
      </c>
      <c r="B558" s="19"/>
      <c r="C558" s="17"/>
      <c r="D558" s="16"/>
      <c r="E558" s="16"/>
      <c r="F558" s="16"/>
      <c r="G558" s="17"/>
    </row>
    <row r="559">
      <c r="A559" s="16" t="str">
        <f t="array" ref="A559">IF(ISBLANK(B559),,HYPERLINK("https://docs.google.com/spreadsheets/d/1HrklyxLdxO6wfiV9Oy4UeWyZ1Pzcz9yrl4CaGNHqgVU/edit?gid="&amp;XLOOKUP(B559,ID___!A:A,ID___!B:B,"")&amp;"#gid="&amp;XLOOKUP(B559,ID___!A:A,ID___!B:B,"")&amp;"&amp;range=A1:J1","Click"))</f>
        <v/>
      </c>
      <c r="B559" s="19"/>
      <c r="C559" s="17"/>
      <c r="D559" s="16"/>
      <c r="E559" s="16"/>
      <c r="F559" s="16"/>
      <c r="G559" s="17"/>
    </row>
    <row r="560">
      <c r="A560" s="16" t="str">
        <f t="array" ref="A560">IF(ISBLANK(B560),,HYPERLINK("https://docs.google.com/spreadsheets/d/1HrklyxLdxO6wfiV9Oy4UeWyZ1Pzcz9yrl4CaGNHqgVU/edit?gid="&amp;XLOOKUP(B560,ID___!A:A,ID___!B:B,"")&amp;"#gid="&amp;XLOOKUP(B560,ID___!A:A,ID___!B:B,"")&amp;"&amp;range=A1:J1","Click"))</f>
        <v/>
      </c>
      <c r="B560" s="19"/>
      <c r="C560" s="17"/>
      <c r="D560" s="16"/>
      <c r="E560" s="16"/>
      <c r="F560" s="16"/>
      <c r="G560" s="17"/>
    </row>
    <row r="561">
      <c r="A561" s="16" t="str">
        <f t="array" ref="A561">IF(ISBLANK(B561),,HYPERLINK("https://docs.google.com/spreadsheets/d/1HrklyxLdxO6wfiV9Oy4UeWyZ1Pzcz9yrl4CaGNHqgVU/edit?gid="&amp;XLOOKUP(B561,ID___!A:A,ID___!B:B,"")&amp;"#gid="&amp;XLOOKUP(B561,ID___!A:A,ID___!B:B,"")&amp;"&amp;range=A1:J1","Click"))</f>
        <v/>
      </c>
      <c r="B561" s="19"/>
      <c r="C561" s="17"/>
      <c r="D561" s="16"/>
      <c r="E561" s="16"/>
      <c r="F561" s="16"/>
      <c r="G561" s="17"/>
    </row>
    <row r="562">
      <c r="A562" s="16" t="str">
        <f t="array" ref="A562">IF(ISBLANK(B562),,HYPERLINK("https://docs.google.com/spreadsheets/d/1HrklyxLdxO6wfiV9Oy4UeWyZ1Pzcz9yrl4CaGNHqgVU/edit?gid="&amp;XLOOKUP(B562,ID___!A:A,ID___!B:B,"")&amp;"#gid="&amp;XLOOKUP(B562,ID___!A:A,ID___!B:B,"")&amp;"&amp;range=A1:J1","Click"))</f>
        <v/>
      </c>
      <c r="B562" s="19"/>
      <c r="C562" s="17"/>
      <c r="D562" s="16"/>
      <c r="E562" s="16"/>
      <c r="F562" s="16"/>
      <c r="G562" s="17"/>
    </row>
    <row r="563">
      <c r="A563" s="16" t="str">
        <f t="array" ref="A563">IF(ISBLANK(B563),,HYPERLINK("https://docs.google.com/spreadsheets/d/1HrklyxLdxO6wfiV9Oy4UeWyZ1Pzcz9yrl4CaGNHqgVU/edit?gid="&amp;XLOOKUP(B563,ID___!A:A,ID___!B:B,"")&amp;"#gid="&amp;XLOOKUP(B563,ID___!A:A,ID___!B:B,"")&amp;"&amp;range=A1:J1","Click"))</f>
        <v/>
      </c>
      <c r="B563" s="19"/>
      <c r="C563" s="17"/>
      <c r="D563" s="16"/>
      <c r="E563" s="16"/>
      <c r="F563" s="16"/>
      <c r="G563" s="17"/>
    </row>
    <row r="564">
      <c r="A564" s="16" t="str">
        <f t="array" ref="A564">IF(ISBLANK(B564),,HYPERLINK("https://docs.google.com/spreadsheets/d/1HrklyxLdxO6wfiV9Oy4UeWyZ1Pzcz9yrl4CaGNHqgVU/edit?gid="&amp;XLOOKUP(B564,ID___!A:A,ID___!B:B,"")&amp;"#gid="&amp;XLOOKUP(B564,ID___!A:A,ID___!B:B,"")&amp;"&amp;range=A1:J1","Click"))</f>
        <v/>
      </c>
      <c r="B564" s="19"/>
      <c r="C564" s="17"/>
      <c r="D564" s="16"/>
      <c r="E564" s="16"/>
      <c r="F564" s="16"/>
      <c r="G564" s="17"/>
    </row>
    <row r="565">
      <c r="A565" s="16" t="str">
        <f t="array" ref="A565">IF(ISBLANK(B565),,HYPERLINK("https://docs.google.com/spreadsheets/d/1HrklyxLdxO6wfiV9Oy4UeWyZ1Pzcz9yrl4CaGNHqgVU/edit?gid="&amp;XLOOKUP(B565,ID___!A:A,ID___!B:B,"")&amp;"#gid="&amp;XLOOKUP(B565,ID___!A:A,ID___!B:B,"")&amp;"&amp;range=A1:J1","Click"))</f>
        <v/>
      </c>
      <c r="B565" s="19"/>
      <c r="C565" s="17"/>
      <c r="D565" s="16"/>
      <c r="E565" s="16"/>
      <c r="F565" s="16"/>
      <c r="G565" s="17"/>
    </row>
    <row r="566">
      <c r="A566" s="16" t="str">
        <f t="array" ref="A566">IF(ISBLANK(B566),,HYPERLINK("https://docs.google.com/spreadsheets/d/1HrklyxLdxO6wfiV9Oy4UeWyZ1Pzcz9yrl4CaGNHqgVU/edit?gid="&amp;XLOOKUP(B566,ID___!A:A,ID___!B:B,"")&amp;"#gid="&amp;XLOOKUP(B566,ID___!A:A,ID___!B:B,"")&amp;"&amp;range=A1:J1","Click"))</f>
        <v/>
      </c>
      <c r="B566" s="19"/>
      <c r="C566" s="17"/>
      <c r="D566" s="16"/>
      <c r="E566" s="16"/>
      <c r="F566" s="16"/>
      <c r="G566" s="17"/>
    </row>
    <row r="567">
      <c r="A567" s="16" t="str">
        <f t="array" ref="A567">IF(ISBLANK(B567),,HYPERLINK("https://docs.google.com/spreadsheets/d/1HrklyxLdxO6wfiV9Oy4UeWyZ1Pzcz9yrl4CaGNHqgVU/edit?gid="&amp;XLOOKUP(B567,ID___!A:A,ID___!B:B,"")&amp;"#gid="&amp;XLOOKUP(B567,ID___!A:A,ID___!B:B,"")&amp;"&amp;range=A1:J1","Click"))</f>
        <v/>
      </c>
      <c r="B567" s="19"/>
      <c r="C567" s="17"/>
      <c r="D567" s="16"/>
      <c r="E567" s="16"/>
      <c r="F567" s="16"/>
      <c r="G567" s="17"/>
    </row>
    <row r="568">
      <c r="A568" s="16" t="str">
        <f t="array" ref="A568">IF(ISBLANK(B568),,HYPERLINK("https://docs.google.com/spreadsheets/d/1HrklyxLdxO6wfiV9Oy4UeWyZ1Pzcz9yrl4CaGNHqgVU/edit?gid="&amp;XLOOKUP(B568,ID___!A:A,ID___!B:B,"")&amp;"#gid="&amp;XLOOKUP(B568,ID___!A:A,ID___!B:B,"")&amp;"&amp;range=A1:J1","Click"))</f>
        <v/>
      </c>
      <c r="B568" s="19"/>
      <c r="C568" s="17"/>
      <c r="D568" s="16"/>
      <c r="E568" s="16"/>
      <c r="F568" s="16"/>
      <c r="G568" s="17"/>
    </row>
    <row r="569">
      <c r="A569" s="16" t="str">
        <f t="array" ref="A569">IF(ISBLANK(B569),,HYPERLINK("https://docs.google.com/spreadsheets/d/1HrklyxLdxO6wfiV9Oy4UeWyZ1Pzcz9yrl4CaGNHqgVU/edit?gid="&amp;XLOOKUP(B569,ID___!A:A,ID___!B:B,"")&amp;"#gid="&amp;XLOOKUP(B569,ID___!A:A,ID___!B:B,"")&amp;"&amp;range=A1:J1","Click"))</f>
        <v/>
      </c>
      <c r="B569" s="19"/>
      <c r="C569" s="17"/>
      <c r="D569" s="16"/>
      <c r="E569" s="16"/>
      <c r="F569" s="16"/>
      <c r="G569" s="17"/>
    </row>
    <row r="570">
      <c r="A570" s="16" t="str">
        <f t="array" ref="A570">IF(ISBLANK(B570),,HYPERLINK("https://docs.google.com/spreadsheets/d/1HrklyxLdxO6wfiV9Oy4UeWyZ1Pzcz9yrl4CaGNHqgVU/edit?gid="&amp;XLOOKUP(B570,ID___!A:A,ID___!B:B,"")&amp;"#gid="&amp;XLOOKUP(B570,ID___!A:A,ID___!B:B,"")&amp;"&amp;range=A1:J1","Click"))</f>
        <v/>
      </c>
      <c r="B570" s="19"/>
      <c r="C570" s="17"/>
      <c r="D570" s="16"/>
      <c r="E570" s="16"/>
      <c r="F570" s="16"/>
      <c r="G570" s="17"/>
    </row>
    <row r="571">
      <c r="A571" s="16" t="str">
        <f t="array" ref="A571">IF(ISBLANK(B571),,HYPERLINK("https://docs.google.com/spreadsheets/d/1HrklyxLdxO6wfiV9Oy4UeWyZ1Pzcz9yrl4CaGNHqgVU/edit?gid="&amp;XLOOKUP(B571,ID___!A:A,ID___!B:B,"")&amp;"#gid="&amp;XLOOKUP(B571,ID___!A:A,ID___!B:B,"")&amp;"&amp;range=A1:J1","Click"))</f>
        <v/>
      </c>
      <c r="B571" s="19"/>
      <c r="C571" s="17"/>
      <c r="D571" s="16"/>
      <c r="E571" s="16"/>
      <c r="F571" s="16"/>
      <c r="G571" s="17"/>
    </row>
    <row r="572">
      <c r="A572" s="16" t="str">
        <f t="array" ref="A572">IF(ISBLANK(B572),,HYPERLINK("https://docs.google.com/spreadsheets/d/1HrklyxLdxO6wfiV9Oy4UeWyZ1Pzcz9yrl4CaGNHqgVU/edit?gid="&amp;XLOOKUP(B572,ID___!A:A,ID___!B:B,"")&amp;"#gid="&amp;XLOOKUP(B572,ID___!A:A,ID___!B:B,"")&amp;"&amp;range=A1:J1","Click"))</f>
        <v/>
      </c>
      <c r="B572" s="19"/>
      <c r="C572" s="17"/>
      <c r="D572" s="16"/>
      <c r="E572" s="16"/>
      <c r="F572" s="16"/>
      <c r="G572" s="17"/>
    </row>
    <row r="573">
      <c r="A573" s="16" t="str">
        <f t="array" ref="A573">IF(ISBLANK(B573),,HYPERLINK("https://docs.google.com/spreadsheets/d/1HrklyxLdxO6wfiV9Oy4UeWyZ1Pzcz9yrl4CaGNHqgVU/edit?gid="&amp;XLOOKUP(B573,ID___!A:A,ID___!B:B,"")&amp;"#gid="&amp;XLOOKUP(B573,ID___!A:A,ID___!B:B,"")&amp;"&amp;range=A1:J1","Click"))</f>
        <v/>
      </c>
      <c r="B573" s="19"/>
      <c r="C573" s="17"/>
      <c r="D573" s="16"/>
      <c r="E573" s="16"/>
      <c r="F573" s="16"/>
      <c r="G573" s="17"/>
    </row>
    <row r="574">
      <c r="A574" s="16" t="str">
        <f t="array" ref="A574">IF(ISBLANK(B574),,HYPERLINK("https://docs.google.com/spreadsheets/d/1HrklyxLdxO6wfiV9Oy4UeWyZ1Pzcz9yrl4CaGNHqgVU/edit?gid="&amp;XLOOKUP(B574,ID___!A:A,ID___!B:B,"")&amp;"#gid="&amp;XLOOKUP(B574,ID___!A:A,ID___!B:B,"")&amp;"&amp;range=A1:J1","Click"))</f>
        <v/>
      </c>
      <c r="B574" s="19"/>
      <c r="C574" s="17"/>
      <c r="D574" s="16"/>
      <c r="E574" s="16"/>
      <c r="F574" s="16"/>
      <c r="G574" s="17"/>
    </row>
    <row r="575">
      <c r="A575" s="16" t="str">
        <f t="array" ref="A575">IF(ISBLANK(B575),,HYPERLINK("https://docs.google.com/spreadsheets/d/1HrklyxLdxO6wfiV9Oy4UeWyZ1Pzcz9yrl4CaGNHqgVU/edit?gid="&amp;XLOOKUP(B575,ID___!A:A,ID___!B:B,"")&amp;"#gid="&amp;XLOOKUP(B575,ID___!A:A,ID___!B:B,"")&amp;"&amp;range=A1:J1","Click"))</f>
        <v/>
      </c>
      <c r="B575" s="19"/>
      <c r="C575" s="17"/>
      <c r="D575" s="16"/>
      <c r="E575" s="16"/>
      <c r="F575" s="16"/>
      <c r="G575" s="17"/>
    </row>
    <row r="576">
      <c r="A576" s="16" t="str">
        <f t="array" ref="A576">IF(ISBLANK(B576),,HYPERLINK("https://docs.google.com/spreadsheets/d/1HrklyxLdxO6wfiV9Oy4UeWyZ1Pzcz9yrl4CaGNHqgVU/edit?gid="&amp;XLOOKUP(B576,ID___!A:A,ID___!B:B,"")&amp;"#gid="&amp;XLOOKUP(B576,ID___!A:A,ID___!B:B,"")&amp;"&amp;range=A1:J1","Click"))</f>
        <v/>
      </c>
      <c r="B576" s="19"/>
      <c r="C576" s="17"/>
      <c r="D576" s="16"/>
      <c r="E576" s="16"/>
      <c r="F576" s="16"/>
      <c r="G576" s="17"/>
    </row>
    <row r="577">
      <c r="A577" s="16" t="str">
        <f t="array" ref="A577">IF(ISBLANK(B577),,HYPERLINK("https://docs.google.com/spreadsheets/d/1HrklyxLdxO6wfiV9Oy4UeWyZ1Pzcz9yrl4CaGNHqgVU/edit?gid="&amp;XLOOKUP(B577,ID___!A:A,ID___!B:B,"")&amp;"#gid="&amp;XLOOKUP(B577,ID___!A:A,ID___!B:B,"")&amp;"&amp;range=A1:J1","Click"))</f>
        <v/>
      </c>
      <c r="B577" s="19"/>
      <c r="C577" s="17"/>
      <c r="D577" s="16"/>
      <c r="E577" s="16"/>
      <c r="F577" s="16"/>
      <c r="G577" s="17"/>
    </row>
    <row r="578">
      <c r="A578" s="16" t="str">
        <f t="array" ref="A578">IF(ISBLANK(B578),,HYPERLINK("https://docs.google.com/spreadsheets/d/1HrklyxLdxO6wfiV9Oy4UeWyZ1Pzcz9yrl4CaGNHqgVU/edit?gid="&amp;XLOOKUP(B578,ID___!A:A,ID___!B:B,"")&amp;"#gid="&amp;XLOOKUP(B578,ID___!A:A,ID___!B:B,"")&amp;"&amp;range=A1:J1","Click"))</f>
        <v/>
      </c>
      <c r="B578" s="19"/>
      <c r="C578" s="17"/>
      <c r="D578" s="16"/>
      <c r="E578" s="16"/>
      <c r="F578" s="16"/>
      <c r="G578" s="17"/>
    </row>
    <row r="579">
      <c r="A579" s="16" t="str">
        <f t="array" ref="A579">IF(ISBLANK(B579),,HYPERLINK("https://docs.google.com/spreadsheets/d/1HrklyxLdxO6wfiV9Oy4UeWyZ1Pzcz9yrl4CaGNHqgVU/edit?gid="&amp;XLOOKUP(B579,ID___!A:A,ID___!B:B,"")&amp;"#gid="&amp;XLOOKUP(B579,ID___!A:A,ID___!B:B,"")&amp;"&amp;range=A1:J1","Click"))</f>
        <v/>
      </c>
      <c r="B579" s="19"/>
      <c r="C579" s="17"/>
      <c r="D579" s="16"/>
      <c r="E579" s="16"/>
      <c r="F579" s="16"/>
      <c r="G579" s="17"/>
    </row>
    <row r="580">
      <c r="A580" s="16" t="str">
        <f t="array" ref="A580">IF(ISBLANK(B580),,HYPERLINK("https://docs.google.com/spreadsheets/d/1HrklyxLdxO6wfiV9Oy4UeWyZ1Pzcz9yrl4CaGNHqgVU/edit?gid="&amp;XLOOKUP(B580,ID___!A:A,ID___!B:B,"")&amp;"#gid="&amp;XLOOKUP(B580,ID___!A:A,ID___!B:B,"")&amp;"&amp;range=A1:J1","Click"))</f>
        <v/>
      </c>
      <c r="B580" s="19"/>
      <c r="C580" s="17"/>
      <c r="D580" s="16"/>
      <c r="E580" s="16"/>
      <c r="F580" s="16"/>
      <c r="G580" s="17"/>
    </row>
    <row r="581">
      <c r="A581" s="16" t="str">
        <f t="array" ref="A581">IF(ISBLANK(B581),,HYPERLINK("https://docs.google.com/spreadsheets/d/1HrklyxLdxO6wfiV9Oy4UeWyZ1Pzcz9yrl4CaGNHqgVU/edit?gid="&amp;XLOOKUP(B581,ID___!A:A,ID___!B:B,"")&amp;"#gid="&amp;XLOOKUP(B581,ID___!A:A,ID___!B:B,"")&amp;"&amp;range=A1:J1","Click"))</f>
        <v/>
      </c>
      <c r="B581" s="19"/>
      <c r="C581" s="17"/>
      <c r="D581" s="16"/>
      <c r="E581" s="16"/>
      <c r="F581" s="16"/>
      <c r="G581" s="17"/>
    </row>
    <row r="582">
      <c r="A582" s="16" t="str">
        <f t="array" ref="A582">IF(ISBLANK(B582),,HYPERLINK("https://docs.google.com/spreadsheets/d/1HrklyxLdxO6wfiV9Oy4UeWyZ1Pzcz9yrl4CaGNHqgVU/edit?gid="&amp;XLOOKUP(B582,ID___!A:A,ID___!B:B,"")&amp;"#gid="&amp;XLOOKUP(B582,ID___!A:A,ID___!B:B,"")&amp;"&amp;range=A1:J1","Click"))</f>
        <v/>
      </c>
      <c r="B582" s="19"/>
      <c r="C582" s="17"/>
      <c r="D582" s="16"/>
      <c r="E582" s="16"/>
      <c r="F582" s="16"/>
      <c r="G582" s="17"/>
    </row>
    <row r="583">
      <c r="A583" s="16" t="str">
        <f t="array" ref="A583">IF(ISBLANK(B583),,HYPERLINK("https://docs.google.com/spreadsheets/d/1HrklyxLdxO6wfiV9Oy4UeWyZ1Pzcz9yrl4CaGNHqgVU/edit?gid="&amp;XLOOKUP(B583,ID___!A:A,ID___!B:B,"")&amp;"#gid="&amp;XLOOKUP(B583,ID___!A:A,ID___!B:B,"")&amp;"&amp;range=A1:J1","Click"))</f>
        <v/>
      </c>
      <c r="B583" s="19"/>
      <c r="C583" s="17"/>
      <c r="D583" s="16"/>
      <c r="E583" s="16"/>
      <c r="F583" s="16"/>
      <c r="G583" s="17"/>
    </row>
    <row r="584">
      <c r="A584" s="16" t="str">
        <f t="array" ref="A584">IF(ISBLANK(B584),,HYPERLINK("https://docs.google.com/spreadsheets/d/1HrklyxLdxO6wfiV9Oy4UeWyZ1Pzcz9yrl4CaGNHqgVU/edit?gid="&amp;XLOOKUP(B584,ID___!A:A,ID___!B:B,"")&amp;"#gid="&amp;XLOOKUP(B584,ID___!A:A,ID___!B:B,"")&amp;"&amp;range=A1:J1","Click"))</f>
        <v/>
      </c>
      <c r="B584" s="19"/>
      <c r="C584" s="17"/>
      <c r="D584" s="16"/>
      <c r="E584" s="16"/>
      <c r="F584" s="16"/>
      <c r="G584" s="17"/>
    </row>
    <row r="585">
      <c r="A585" s="16" t="str">
        <f t="array" ref="A585">IF(ISBLANK(B585),,HYPERLINK("https://docs.google.com/spreadsheets/d/1HrklyxLdxO6wfiV9Oy4UeWyZ1Pzcz9yrl4CaGNHqgVU/edit?gid="&amp;XLOOKUP(B585,ID___!A:A,ID___!B:B,"")&amp;"#gid="&amp;XLOOKUP(B585,ID___!A:A,ID___!B:B,"")&amp;"&amp;range=A1:J1","Click"))</f>
        <v/>
      </c>
      <c r="B585" s="19"/>
      <c r="C585" s="17"/>
      <c r="D585" s="16"/>
      <c r="E585" s="16"/>
      <c r="F585" s="16"/>
      <c r="G585" s="17"/>
    </row>
    <row r="586">
      <c r="A586" s="16" t="str">
        <f t="array" ref="A586">IF(ISBLANK(B586),,HYPERLINK("https://docs.google.com/spreadsheets/d/1HrklyxLdxO6wfiV9Oy4UeWyZ1Pzcz9yrl4CaGNHqgVU/edit?gid="&amp;XLOOKUP(B586,ID___!A:A,ID___!B:B,"")&amp;"#gid="&amp;XLOOKUP(B586,ID___!A:A,ID___!B:B,"")&amp;"&amp;range=A1:J1","Click"))</f>
        <v/>
      </c>
      <c r="B586" s="19"/>
      <c r="C586" s="17"/>
      <c r="D586" s="16"/>
      <c r="E586" s="16"/>
      <c r="F586" s="16"/>
      <c r="G586" s="17"/>
    </row>
    <row r="587">
      <c r="A587" s="16" t="str">
        <f t="array" ref="A587">IF(ISBLANK(B587),,HYPERLINK("https://docs.google.com/spreadsheets/d/1HrklyxLdxO6wfiV9Oy4UeWyZ1Pzcz9yrl4CaGNHqgVU/edit?gid="&amp;XLOOKUP(B587,ID___!A:A,ID___!B:B,"")&amp;"#gid="&amp;XLOOKUP(B587,ID___!A:A,ID___!B:B,"")&amp;"&amp;range=A1:J1","Click"))</f>
        <v/>
      </c>
      <c r="B587" s="19"/>
      <c r="C587" s="17"/>
      <c r="D587" s="16"/>
      <c r="E587" s="16"/>
      <c r="F587" s="16"/>
      <c r="G587" s="17"/>
    </row>
    <row r="588">
      <c r="A588" s="16" t="str">
        <f t="array" ref="A588">IF(ISBLANK(B588),,HYPERLINK("https://docs.google.com/spreadsheets/d/1HrklyxLdxO6wfiV9Oy4UeWyZ1Pzcz9yrl4CaGNHqgVU/edit?gid="&amp;XLOOKUP(B588,ID___!A:A,ID___!B:B,"")&amp;"#gid="&amp;XLOOKUP(B588,ID___!A:A,ID___!B:B,"")&amp;"&amp;range=A1:J1","Click"))</f>
        <v/>
      </c>
      <c r="B588" s="19"/>
      <c r="C588" s="17"/>
      <c r="D588" s="16"/>
      <c r="E588" s="16"/>
      <c r="F588" s="16"/>
      <c r="G588" s="17"/>
    </row>
    <row r="589">
      <c r="A589" s="16" t="str">
        <f t="array" ref="A589">IF(ISBLANK(B589),,HYPERLINK("https://docs.google.com/spreadsheets/d/1HrklyxLdxO6wfiV9Oy4UeWyZ1Pzcz9yrl4CaGNHqgVU/edit?gid="&amp;XLOOKUP(B589,ID___!A:A,ID___!B:B,"")&amp;"#gid="&amp;XLOOKUP(B589,ID___!A:A,ID___!B:B,"")&amp;"&amp;range=A1:J1","Click"))</f>
        <v/>
      </c>
      <c r="B589" s="19"/>
      <c r="C589" s="17"/>
      <c r="D589" s="16"/>
      <c r="E589" s="16"/>
      <c r="F589" s="16"/>
      <c r="G589" s="17"/>
    </row>
    <row r="590">
      <c r="A590" s="16" t="str">
        <f t="array" ref="A590">IF(ISBLANK(B590),,HYPERLINK("https://docs.google.com/spreadsheets/d/1HrklyxLdxO6wfiV9Oy4UeWyZ1Pzcz9yrl4CaGNHqgVU/edit?gid="&amp;XLOOKUP(B590,ID___!A:A,ID___!B:B,"")&amp;"#gid="&amp;XLOOKUP(B590,ID___!A:A,ID___!B:B,"")&amp;"&amp;range=A1:J1","Click"))</f>
        <v/>
      </c>
      <c r="B590" s="19"/>
      <c r="C590" s="17"/>
      <c r="D590" s="16"/>
      <c r="E590" s="16"/>
      <c r="F590" s="16"/>
      <c r="G590" s="17"/>
    </row>
    <row r="591">
      <c r="A591" s="16" t="str">
        <f t="array" ref="A591">IF(ISBLANK(B591),,HYPERLINK("https://docs.google.com/spreadsheets/d/1HrklyxLdxO6wfiV9Oy4UeWyZ1Pzcz9yrl4CaGNHqgVU/edit?gid="&amp;XLOOKUP(B591,ID___!A:A,ID___!B:B,"")&amp;"#gid="&amp;XLOOKUP(B591,ID___!A:A,ID___!B:B,"")&amp;"&amp;range=A1:J1","Click"))</f>
        <v/>
      </c>
      <c r="B591" s="19"/>
      <c r="C591" s="17"/>
      <c r="D591" s="16"/>
      <c r="E591" s="16"/>
      <c r="F591" s="16"/>
      <c r="G591" s="17"/>
    </row>
    <row r="592">
      <c r="A592" s="16" t="str">
        <f t="array" ref="A592">IF(ISBLANK(B592),,HYPERLINK("https://docs.google.com/spreadsheets/d/1HrklyxLdxO6wfiV9Oy4UeWyZ1Pzcz9yrl4CaGNHqgVU/edit?gid="&amp;XLOOKUP(B592,ID___!A:A,ID___!B:B,"")&amp;"#gid="&amp;XLOOKUP(B592,ID___!A:A,ID___!B:B,"")&amp;"&amp;range=A1:J1","Click"))</f>
        <v/>
      </c>
      <c r="B592" s="19"/>
      <c r="C592" s="17"/>
      <c r="D592" s="16"/>
      <c r="E592" s="16"/>
      <c r="F592" s="16"/>
      <c r="G592" s="17"/>
    </row>
    <row r="593">
      <c r="A593" s="16" t="str">
        <f t="array" ref="A593">IF(ISBLANK(B593),,HYPERLINK("https://docs.google.com/spreadsheets/d/1HrklyxLdxO6wfiV9Oy4UeWyZ1Pzcz9yrl4CaGNHqgVU/edit?gid="&amp;XLOOKUP(B593,ID___!A:A,ID___!B:B,"")&amp;"#gid="&amp;XLOOKUP(B593,ID___!A:A,ID___!B:B,"")&amp;"&amp;range=A1:J1","Click"))</f>
        <v/>
      </c>
      <c r="B593" s="19"/>
      <c r="C593" s="17"/>
      <c r="D593" s="16"/>
      <c r="E593" s="16"/>
      <c r="F593" s="16"/>
      <c r="G593" s="17"/>
    </row>
    <row r="594">
      <c r="A594" s="16" t="str">
        <f t="array" ref="A594">IF(ISBLANK(B594),,HYPERLINK("https://docs.google.com/spreadsheets/d/1HrklyxLdxO6wfiV9Oy4UeWyZ1Pzcz9yrl4CaGNHqgVU/edit?gid="&amp;XLOOKUP(B594,ID___!A:A,ID___!B:B,"")&amp;"#gid="&amp;XLOOKUP(B594,ID___!A:A,ID___!B:B,"")&amp;"&amp;range=A1:J1","Click"))</f>
        <v/>
      </c>
      <c r="B594" s="19"/>
      <c r="C594" s="17"/>
      <c r="D594" s="16"/>
      <c r="E594" s="16"/>
      <c r="F594" s="16"/>
      <c r="G594" s="17"/>
    </row>
    <row r="595">
      <c r="A595" s="16" t="str">
        <f t="array" ref="A595">IF(ISBLANK(B595),,HYPERLINK("https://docs.google.com/spreadsheets/d/1HrklyxLdxO6wfiV9Oy4UeWyZ1Pzcz9yrl4CaGNHqgVU/edit?gid="&amp;XLOOKUP(B595,ID___!A:A,ID___!B:B,"")&amp;"#gid="&amp;XLOOKUP(B595,ID___!A:A,ID___!B:B,"")&amp;"&amp;range=A1:J1","Click"))</f>
        <v/>
      </c>
      <c r="B595" s="19"/>
      <c r="C595" s="17"/>
      <c r="D595" s="16"/>
      <c r="E595" s="16"/>
      <c r="F595" s="16"/>
      <c r="G595" s="17"/>
    </row>
    <row r="596">
      <c r="A596" s="16" t="str">
        <f t="array" ref="A596">IF(ISBLANK(B596),,HYPERLINK("https://docs.google.com/spreadsheets/d/1HrklyxLdxO6wfiV9Oy4UeWyZ1Pzcz9yrl4CaGNHqgVU/edit?gid="&amp;XLOOKUP(B596,ID___!A:A,ID___!B:B,"")&amp;"#gid="&amp;XLOOKUP(B596,ID___!A:A,ID___!B:B,"")&amp;"&amp;range=A1:J1","Click"))</f>
        <v/>
      </c>
      <c r="B596" s="19"/>
      <c r="C596" s="17"/>
      <c r="D596" s="16"/>
      <c r="E596" s="16"/>
      <c r="F596" s="16"/>
      <c r="G596" s="17"/>
    </row>
    <row r="597">
      <c r="A597" s="16" t="str">
        <f t="array" ref="A597">IF(ISBLANK(B597),,HYPERLINK("https://docs.google.com/spreadsheets/d/1HrklyxLdxO6wfiV9Oy4UeWyZ1Pzcz9yrl4CaGNHqgVU/edit?gid="&amp;XLOOKUP(B597,ID___!A:A,ID___!B:B,"")&amp;"#gid="&amp;XLOOKUP(B597,ID___!A:A,ID___!B:B,"")&amp;"&amp;range=A1:J1","Click"))</f>
        <v/>
      </c>
      <c r="B597" s="19"/>
      <c r="C597" s="17"/>
      <c r="D597" s="16"/>
      <c r="E597" s="16"/>
      <c r="F597" s="16"/>
      <c r="G597" s="17"/>
    </row>
    <row r="598">
      <c r="A598" s="16" t="str">
        <f t="array" ref="A598">IF(ISBLANK(B598),,HYPERLINK("https://docs.google.com/spreadsheets/d/1HrklyxLdxO6wfiV9Oy4UeWyZ1Pzcz9yrl4CaGNHqgVU/edit?gid="&amp;XLOOKUP(B598,ID___!A:A,ID___!B:B,"")&amp;"#gid="&amp;XLOOKUP(B598,ID___!A:A,ID___!B:B,"")&amp;"&amp;range=A1:J1","Click"))</f>
        <v/>
      </c>
      <c r="B598" s="19"/>
      <c r="C598" s="17"/>
      <c r="D598" s="16"/>
      <c r="E598" s="16"/>
      <c r="F598" s="16"/>
      <c r="G598" s="17"/>
    </row>
    <row r="599">
      <c r="A599" s="16" t="str">
        <f t="array" ref="A599">IF(ISBLANK(B599),,HYPERLINK("https://docs.google.com/spreadsheets/d/1HrklyxLdxO6wfiV9Oy4UeWyZ1Pzcz9yrl4CaGNHqgVU/edit?gid="&amp;XLOOKUP(B599,ID___!A:A,ID___!B:B,"")&amp;"#gid="&amp;XLOOKUP(B599,ID___!A:A,ID___!B:B,"")&amp;"&amp;range=A1:J1","Click"))</f>
        <v/>
      </c>
      <c r="B599" s="19"/>
      <c r="C599" s="17"/>
      <c r="D599" s="16"/>
      <c r="E599" s="16"/>
      <c r="F599" s="16"/>
      <c r="G599" s="17"/>
    </row>
    <row r="600">
      <c r="A600" s="16" t="str">
        <f t="array" ref="A600">IF(ISBLANK(B600),,HYPERLINK("https://docs.google.com/spreadsheets/d/1HrklyxLdxO6wfiV9Oy4UeWyZ1Pzcz9yrl4CaGNHqgVU/edit?gid="&amp;XLOOKUP(B600,ID___!A:A,ID___!B:B,"")&amp;"#gid="&amp;XLOOKUP(B600,ID___!A:A,ID___!B:B,"")&amp;"&amp;range=A1:J1","Click"))</f>
        <v/>
      </c>
      <c r="B600" s="19"/>
      <c r="C600" s="17"/>
      <c r="D600" s="16"/>
      <c r="E600" s="16"/>
      <c r="F600" s="16"/>
      <c r="G600" s="17"/>
    </row>
    <row r="601">
      <c r="A601" s="16" t="str">
        <f t="array" ref="A601">IF(ISBLANK(B601),,HYPERLINK("https://docs.google.com/spreadsheets/d/1HrklyxLdxO6wfiV9Oy4UeWyZ1Pzcz9yrl4CaGNHqgVU/edit?gid="&amp;XLOOKUP(B601,ID___!A:A,ID___!B:B,"")&amp;"#gid="&amp;XLOOKUP(B601,ID___!A:A,ID___!B:B,"")&amp;"&amp;range=A1:J1","Click"))</f>
        <v/>
      </c>
      <c r="B601" s="19"/>
      <c r="C601" s="17"/>
      <c r="D601" s="16"/>
      <c r="E601" s="16"/>
      <c r="F601" s="16"/>
      <c r="G601" s="17"/>
    </row>
    <row r="602">
      <c r="A602" s="16" t="str">
        <f t="array" ref="A602">IF(ISBLANK(B602),,HYPERLINK("https://docs.google.com/spreadsheets/d/1HrklyxLdxO6wfiV9Oy4UeWyZ1Pzcz9yrl4CaGNHqgVU/edit?gid="&amp;XLOOKUP(B602,ID___!A:A,ID___!B:B,"")&amp;"#gid="&amp;XLOOKUP(B602,ID___!A:A,ID___!B:B,"")&amp;"&amp;range=A1:J1","Click"))</f>
        <v/>
      </c>
      <c r="B602" s="19"/>
      <c r="C602" s="17"/>
      <c r="D602" s="16"/>
      <c r="E602" s="16"/>
      <c r="F602" s="16"/>
      <c r="G602" s="17"/>
    </row>
    <row r="603">
      <c r="A603" s="16" t="str">
        <f t="array" ref="A603">IF(ISBLANK(B603),,HYPERLINK("https://docs.google.com/spreadsheets/d/1HrklyxLdxO6wfiV9Oy4UeWyZ1Pzcz9yrl4CaGNHqgVU/edit?gid="&amp;XLOOKUP(B603,ID___!A:A,ID___!B:B,"")&amp;"#gid="&amp;XLOOKUP(B603,ID___!A:A,ID___!B:B,"")&amp;"&amp;range=A1:J1","Click"))</f>
        <v/>
      </c>
      <c r="B603" s="19"/>
      <c r="C603" s="17"/>
      <c r="D603" s="16"/>
      <c r="E603" s="16"/>
      <c r="F603" s="16"/>
      <c r="G603" s="17"/>
    </row>
    <row r="604">
      <c r="A604" s="16" t="str">
        <f t="array" ref="A604">IF(ISBLANK(B604),,HYPERLINK("https://docs.google.com/spreadsheets/d/1HrklyxLdxO6wfiV9Oy4UeWyZ1Pzcz9yrl4CaGNHqgVU/edit?gid="&amp;XLOOKUP(B604,ID___!A:A,ID___!B:B,"")&amp;"#gid="&amp;XLOOKUP(B604,ID___!A:A,ID___!B:B,"")&amp;"&amp;range=A1:J1","Click"))</f>
        <v/>
      </c>
      <c r="B604" s="19"/>
      <c r="C604" s="17"/>
      <c r="D604" s="16"/>
      <c r="E604" s="16"/>
      <c r="F604" s="16"/>
      <c r="G604" s="17"/>
    </row>
    <row r="605">
      <c r="A605" s="16" t="str">
        <f t="array" ref="A605">IF(ISBLANK(B605),,HYPERLINK("https://docs.google.com/spreadsheets/d/1HrklyxLdxO6wfiV9Oy4UeWyZ1Pzcz9yrl4CaGNHqgVU/edit?gid="&amp;XLOOKUP(B605,ID___!A:A,ID___!B:B,"")&amp;"#gid="&amp;XLOOKUP(B605,ID___!A:A,ID___!B:B,"")&amp;"&amp;range=A1:J1","Click"))</f>
        <v/>
      </c>
      <c r="B605" s="19"/>
      <c r="C605" s="17"/>
      <c r="D605" s="16"/>
      <c r="E605" s="16"/>
      <c r="F605" s="16"/>
      <c r="G605" s="17"/>
    </row>
    <row r="606">
      <c r="A606" s="16" t="str">
        <f t="array" ref="A606">IF(ISBLANK(B606),,HYPERLINK("https://docs.google.com/spreadsheets/d/1HrklyxLdxO6wfiV9Oy4UeWyZ1Pzcz9yrl4CaGNHqgVU/edit?gid="&amp;XLOOKUP(B606,ID___!A:A,ID___!B:B,"")&amp;"#gid="&amp;XLOOKUP(B606,ID___!A:A,ID___!B:B,"")&amp;"&amp;range=A1:J1","Click"))</f>
        <v/>
      </c>
      <c r="B606" s="19"/>
      <c r="C606" s="17"/>
      <c r="D606" s="16"/>
      <c r="E606" s="16"/>
      <c r="F606" s="16"/>
      <c r="G606" s="17"/>
    </row>
    <row r="607">
      <c r="A607" s="16" t="str">
        <f t="array" ref="A607">IF(ISBLANK(B607),,HYPERLINK("https://docs.google.com/spreadsheets/d/1HrklyxLdxO6wfiV9Oy4UeWyZ1Pzcz9yrl4CaGNHqgVU/edit?gid="&amp;XLOOKUP(B607,ID___!A:A,ID___!B:B,"")&amp;"#gid="&amp;XLOOKUP(B607,ID___!A:A,ID___!B:B,"")&amp;"&amp;range=A1:J1","Click"))</f>
        <v/>
      </c>
      <c r="B607" s="19"/>
      <c r="C607" s="17"/>
      <c r="D607" s="16"/>
      <c r="E607" s="16"/>
      <c r="F607" s="16"/>
      <c r="G607" s="17"/>
    </row>
    <row r="608">
      <c r="A608" s="16" t="str">
        <f t="array" ref="A608">IF(ISBLANK(B608),,HYPERLINK("https://docs.google.com/spreadsheets/d/1HrklyxLdxO6wfiV9Oy4UeWyZ1Pzcz9yrl4CaGNHqgVU/edit?gid="&amp;XLOOKUP(B608,ID___!A:A,ID___!B:B,"")&amp;"#gid="&amp;XLOOKUP(B608,ID___!A:A,ID___!B:B,"")&amp;"&amp;range=A1:J1","Click"))</f>
        <v/>
      </c>
      <c r="B608" s="19"/>
      <c r="C608" s="17"/>
      <c r="D608" s="16"/>
      <c r="E608" s="16"/>
      <c r="F608" s="16"/>
      <c r="G608" s="17"/>
    </row>
    <row r="609">
      <c r="A609" s="16" t="str">
        <f t="array" ref="A609">IF(ISBLANK(B609),,HYPERLINK("https://docs.google.com/spreadsheets/d/1HrklyxLdxO6wfiV9Oy4UeWyZ1Pzcz9yrl4CaGNHqgVU/edit?gid="&amp;XLOOKUP(B609,ID___!A:A,ID___!B:B,"")&amp;"#gid="&amp;XLOOKUP(B609,ID___!A:A,ID___!B:B,"")&amp;"&amp;range=A1:J1","Click"))</f>
        <v/>
      </c>
      <c r="B609" s="19"/>
      <c r="C609" s="17"/>
      <c r="D609" s="16"/>
      <c r="E609" s="16"/>
      <c r="F609" s="16"/>
      <c r="G609" s="17"/>
    </row>
    <row r="610">
      <c r="A610" s="16" t="str">
        <f t="array" ref="A610">IF(ISBLANK(B610),,HYPERLINK("https://docs.google.com/spreadsheets/d/1HrklyxLdxO6wfiV9Oy4UeWyZ1Pzcz9yrl4CaGNHqgVU/edit?gid="&amp;XLOOKUP(B610,ID___!A:A,ID___!B:B,"")&amp;"#gid="&amp;XLOOKUP(B610,ID___!A:A,ID___!B:B,"")&amp;"&amp;range=A1:J1","Click"))</f>
        <v/>
      </c>
      <c r="B610" s="19"/>
      <c r="C610" s="17"/>
      <c r="D610" s="16"/>
      <c r="E610" s="16"/>
      <c r="F610" s="16"/>
      <c r="G610" s="17"/>
    </row>
    <row r="611">
      <c r="A611" s="16" t="str">
        <f t="array" ref="A611">IF(ISBLANK(B611),,HYPERLINK("https://docs.google.com/spreadsheets/d/1HrklyxLdxO6wfiV9Oy4UeWyZ1Pzcz9yrl4CaGNHqgVU/edit?gid="&amp;XLOOKUP(B611,ID___!A:A,ID___!B:B,"")&amp;"#gid="&amp;XLOOKUP(B611,ID___!A:A,ID___!B:B,"")&amp;"&amp;range=A1:J1","Click"))</f>
        <v/>
      </c>
      <c r="B611" s="19"/>
      <c r="C611" s="17"/>
      <c r="D611" s="16"/>
      <c r="E611" s="16"/>
      <c r="F611" s="16"/>
      <c r="G611" s="17"/>
    </row>
    <row r="612">
      <c r="A612" s="16" t="str">
        <f t="array" ref="A612">IF(ISBLANK(B612),,HYPERLINK("https://docs.google.com/spreadsheets/d/1HrklyxLdxO6wfiV9Oy4UeWyZ1Pzcz9yrl4CaGNHqgVU/edit?gid="&amp;XLOOKUP(B612,ID___!A:A,ID___!B:B,"")&amp;"#gid="&amp;XLOOKUP(B612,ID___!A:A,ID___!B:B,"")&amp;"&amp;range=A1:J1","Click"))</f>
        <v/>
      </c>
      <c r="B612" s="19"/>
      <c r="C612" s="17"/>
      <c r="D612" s="16"/>
      <c r="E612" s="16"/>
      <c r="F612" s="16"/>
      <c r="G612" s="17"/>
    </row>
    <row r="613">
      <c r="A613" s="16" t="str">
        <f t="array" ref="A613">IF(ISBLANK(B613),,HYPERLINK("https://docs.google.com/spreadsheets/d/1HrklyxLdxO6wfiV9Oy4UeWyZ1Pzcz9yrl4CaGNHqgVU/edit?gid="&amp;XLOOKUP(B613,ID___!A:A,ID___!B:B,"")&amp;"#gid="&amp;XLOOKUP(B613,ID___!A:A,ID___!B:B,"")&amp;"&amp;range=A1:J1","Click"))</f>
        <v/>
      </c>
      <c r="B613" s="19"/>
      <c r="C613" s="17"/>
      <c r="D613" s="16"/>
      <c r="E613" s="16"/>
      <c r="F613" s="16"/>
      <c r="G613" s="17"/>
    </row>
    <row r="614">
      <c r="A614" s="16" t="str">
        <f t="array" ref="A614">IF(ISBLANK(B614),,HYPERLINK("https://docs.google.com/spreadsheets/d/1HrklyxLdxO6wfiV9Oy4UeWyZ1Pzcz9yrl4CaGNHqgVU/edit?gid="&amp;XLOOKUP(B614,ID___!A:A,ID___!B:B,"")&amp;"#gid="&amp;XLOOKUP(B614,ID___!A:A,ID___!B:B,"")&amp;"&amp;range=A1:J1","Click"))</f>
        <v/>
      </c>
      <c r="B614" s="19"/>
      <c r="C614" s="17"/>
      <c r="D614" s="16"/>
      <c r="E614" s="16"/>
      <c r="F614" s="16"/>
      <c r="G614" s="17"/>
    </row>
    <row r="615">
      <c r="A615" s="16" t="str">
        <f t="array" ref="A615">IF(ISBLANK(B615),,HYPERLINK("https://docs.google.com/spreadsheets/d/1HrklyxLdxO6wfiV9Oy4UeWyZ1Pzcz9yrl4CaGNHqgVU/edit?gid="&amp;XLOOKUP(B615,ID___!A:A,ID___!B:B,"")&amp;"#gid="&amp;XLOOKUP(B615,ID___!A:A,ID___!B:B,"")&amp;"&amp;range=A1:J1","Click"))</f>
        <v/>
      </c>
      <c r="B615" s="19"/>
      <c r="C615" s="17"/>
      <c r="D615" s="16"/>
      <c r="E615" s="16"/>
      <c r="F615" s="16"/>
      <c r="G615" s="17"/>
    </row>
    <row r="616">
      <c r="A616" s="16" t="str">
        <f t="array" ref="A616">IF(ISBLANK(B616),,HYPERLINK("https://docs.google.com/spreadsheets/d/1HrklyxLdxO6wfiV9Oy4UeWyZ1Pzcz9yrl4CaGNHqgVU/edit?gid="&amp;XLOOKUP(B616,ID___!A:A,ID___!B:B,"")&amp;"#gid="&amp;XLOOKUP(B616,ID___!A:A,ID___!B:B,"")&amp;"&amp;range=A1:J1","Click"))</f>
        <v/>
      </c>
      <c r="B616" s="19"/>
      <c r="C616" s="17"/>
      <c r="D616" s="16"/>
      <c r="E616" s="16"/>
      <c r="F616" s="16"/>
      <c r="G616" s="17"/>
    </row>
    <row r="617">
      <c r="A617" s="16" t="str">
        <f t="array" ref="A617">IF(ISBLANK(B617),,HYPERLINK("https://docs.google.com/spreadsheets/d/1HrklyxLdxO6wfiV9Oy4UeWyZ1Pzcz9yrl4CaGNHqgVU/edit?gid="&amp;XLOOKUP(B617,ID___!A:A,ID___!B:B,"")&amp;"#gid="&amp;XLOOKUP(B617,ID___!A:A,ID___!B:B,"")&amp;"&amp;range=A1:J1","Click"))</f>
        <v/>
      </c>
      <c r="B617" s="19"/>
      <c r="C617" s="17"/>
      <c r="D617" s="16"/>
      <c r="E617" s="16"/>
      <c r="F617" s="16"/>
      <c r="G617" s="17"/>
    </row>
    <row r="618">
      <c r="A618" s="16" t="str">
        <f t="array" ref="A618">IF(ISBLANK(B618),,HYPERLINK("https://docs.google.com/spreadsheets/d/1HrklyxLdxO6wfiV9Oy4UeWyZ1Pzcz9yrl4CaGNHqgVU/edit?gid="&amp;XLOOKUP(B618,ID___!A:A,ID___!B:B,"")&amp;"#gid="&amp;XLOOKUP(B618,ID___!A:A,ID___!B:B,"")&amp;"&amp;range=A1:J1","Click"))</f>
        <v/>
      </c>
      <c r="B618" s="19"/>
      <c r="C618" s="17"/>
      <c r="D618" s="16"/>
      <c r="E618" s="16"/>
      <c r="F618" s="16"/>
      <c r="G618" s="17"/>
    </row>
    <row r="619">
      <c r="A619" s="16" t="str">
        <f t="array" ref="A619">IF(ISBLANK(B619),,HYPERLINK("https://docs.google.com/spreadsheets/d/1HrklyxLdxO6wfiV9Oy4UeWyZ1Pzcz9yrl4CaGNHqgVU/edit?gid="&amp;XLOOKUP(B619,ID___!A:A,ID___!B:B,"")&amp;"#gid="&amp;XLOOKUP(B619,ID___!A:A,ID___!B:B,"")&amp;"&amp;range=A1:J1","Click"))</f>
        <v/>
      </c>
      <c r="B619" s="19"/>
      <c r="C619" s="17"/>
      <c r="D619" s="16"/>
      <c r="E619" s="16"/>
      <c r="F619" s="16"/>
      <c r="G619" s="17"/>
    </row>
    <row r="620">
      <c r="A620" s="16" t="str">
        <f t="array" ref="A620">IF(ISBLANK(B620),,HYPERLINK("https://docs.google.com/spreadsheets/d/1HrklyxLdxO6wfiV9Oy4UeWyZ1Pzcz9yrl4CaGNHqgVU/edit?gid="&amp;XLOOKUP(B620,ID___!A:A,ID___!B:B,"")&amp;"#gid="&amp;XLOOKUP(B620,ID___!A:A,ID___!B:B,"")&amp;"&amp;range=A1:J1","Click"))</f>
        <v/>
      </c>
      <c r="B620" s="19"/>
      <c r="C620" s="17"/>
      <c r="D620" s="16"/>
      <c r="E620" s="16"/>
      <c r="F620" s="16"/>
      <c r="G620" s="17"/>
    </row>
    <row r="621">
      <c r="A621" s="16" t="str">
        <f t="array" ref="A621">IF(ISBLANK(B621),,HYPERLINK("https://docs.google.com/spreadsheets/d/1HrklyxLdxO6wfiV9Oy4UeWyZ1Pzcz9yrl4CaGNHqgVU/edit?gid="&amp;XLOOKUP(B621,ID___!A:A,ID___!B:B,"")&amp;"#gid="&amp;XLOOKUP(B621,ID___!A:A,ID___!B:B,"")&amp;"&amp;range=A1:J1","Click"))</f>
        <v/>
      </c>
      <c r="B621" s="19"/>
      <c r="C621" s="17"/>
      <c r="D621" s="16"/>
      <c r="E621" s="16"/>
      <c r="F621" s="16"/>
      <c r="G621" s="17"/>
    </row>
    <row r="622">
      <c r="A622" s="16" t="str">
        <f t="array" ref="A622">IF(ISBLANK(B622),,HYPERLINK("https://docs.google.com/spreadsheets/d/1HrklyxLdxO6wfiV9Oy4UeWyZ1Pzcz9yrl4CaGNHqgVU/edit?gid="&amp;XLOOKUP(B622,ID___!A:A,ID___!B:B,"")&amp;"#gid="&amp;XLOOKUP(B622,ID___!A:A,ID___!B:B,"")&amp;"&amp;range=A1:J1","Click"))</f>
        <v/>
      </c>
      <c r="B622" s="19"/>
      <c r="C622" s="17"/>
      <c r="D622" s="16"/>
      <c r="E622" s="16"/>
      <c r="F622" s="16"/>
      <c r="G622" s="17"/>
    </row>
    <row r="623">
      <c r="A623" s="16" t="str">
        <f t="array" ref="A623">IF(ISBLANK(B623),,HYPERLINK("https://docs.google.com/spreadsheets/d/1HrklyxLdxO6wfiV9Oy4UeWyZ1Pzcz9yrl4CaGNHqgVU/edit?gid="&amp;XLOOKUP(B623,ID___!A:A,ID___!B:B,"")&amp;"#gid="&amp;XLOOKUP(B623,ID___!A:A,ID___!B:B,"")&amp;"&amp;range=A1:J1","Click"))</f>
        <v/>
      </c>
      <c r="B623" s="19"/>
      <c r="C623" s="17"/>
      <c r="D623" s="16"/>
      <c r="E623" s="16"/>
      <c r="F623" s="16"/>
      <c r="G623" s="17"/>
    </row>
    <row r="624">
      <c r="A624" s="16" t="str">
        <f t="array" ref="A624">IF(ISBLANK(B624),,HYPERLINK("https://docs.google.com/spreadsheets/d/1HrklyxLdxO6wfiV9Oy4UeWyZ1Pzcz9yrl4CaGNHqgVU/edit?gid="&amp;XLOOKUP(B624,ID___!A:A,ID___!B:B,"")&amp;"#gid="&amp;XLOOKUP(B624,ID___!A:A,ID___!B:B,"")&amp;"&amp;range=A1:J1","Click"))</f>
        <v/>
      </c>
      <c r="B624" s="19"/>
      <c r="C624" s="17"/>
      <c r="D624" s="16"/>
      <c r="E624" s="16"/>
      <c r="F624" s="16"/>
      <c r="G624" s="17"/>
    </row>
    <row r="625">
      <c r="A625" s="16" t="str">
        <f t="array" ref="A625">IF(ISBLANK(B625),,HYPERLINK("https://docs.google.com/spreadsheets/d/1HrklyxLdxO6wfiV9Oy4UeWyZ1Pzcz9yrl4CaGNHqgVU/edit?gid="&amp;XLOOKUP(B625,ID___!A:A,ID___!B:B,"")&amp;"#gid="&amp;XLOOKUP(B625,ID___!A:A,ID___!B:B,"")&amp;"&amp;range=A1:J1","Click"))</f>
        <v/>
      </c>
      <c r="B625" s="19"/>
      <c r="C625" s="17"/>
      <c r="D625" s="16"/>
      <c r="E625" s="16"/>
      <c r="F625" s="16"/>
      <c r="G625" s="17"/>
    </row>
    <row r="626">
      <c r="A626" s="16" t="str">
        <f t="array" ref="A626">IF(ISBLANK(B626),,HYPERLINK("https://docs.google.com/spreadsheets/d/1HrklyxLdxO6wfiV9Oy4UeWyZ1Pzcz9yrl4CaGNHqgVU/edit?gid="&amp;XLOOKUP(B626,ID___!A:A,ID___!B:B,"")&amp;"#gid="&amp;XLOOKUP(B626,ID___!A:A,ID___!B:B,"")&amp;"&amp;range=A1:J1","Click"))</f>
        <v/>
      </c>
      <c r="B626" s="19"/>
      <c r="C626" s="17"/>
      <c r="D626" s="16"/>
      <c r="E626" s="16"/>
      <c r="F626" s="16"/>
      <c r="G626" s="17"/>
    </row>
    <row r="627">
      <c r="A627" s="16" t="str">
        <f t="array" ref="A627">IF(ISBLANK(B627),,HYPERLINK("https://docs.google.com/spreadsheets/d/1HrklyxLdxO6wfiV9Oy4UeWyZ1Pzcz9yrl4CaGNHqgVU/edit?gid="&amp;XLOOKUP(B627,ID___!A:A,ID___!B:B,"")&amp;"#gid="&amp;XLOOKUP(B627,ID___!A:A,ID___!B:B,"")&amp;"&amp;range=A1:J1","Click"))</f>
        <v/>
      </c>
      <c r="B627" s="19"/>
      <c r="C627" s="17"/>
      <c r="D627" s="16"/>
      <c r="E627" s="16"/>
      <c r="F627" s="16"/>
      <c r="G627" s="17"/>
    </row>
    <row r="628">
      <c r="A628" s="16" t="str">
        <f t="array" ref="A628">IF(ISBLANK(B628),,HYPERLINK("https://docs.google.com/spreadsheets/d/1HrklyxLdxO6wfiV9Oy4UeWyZ1Pzcz9yrl4CaGNHqgVU/edit?gid="&amp;XLOOKUP(B628,ID___!A:A,ID___!B:B,"")&amp;"#gid="&amp;XLOOKUP(B628,ID___!A:A,ID___!B:B,"")&amp;"&amp;range=A1:J1","Click"))</f>
        <v/>
      </c>
      <c r="B628" s="19"/>
      <c r="C628" s="17"/>
      <c r="D628" s="16"/>
      <c r="E628" s="16"/>
      <c r="F628" s="16"/>
      <c r="G628" s="17"/>
    </row>
    <row r="629">
      <c r="A629" s="16" t="str">
        <f t="array" ref="A629">IF(ISBLANK(B629),,HYPERLINK("https://docs.google.com/spreadsheets/d/1HrklyxLdxO6wfiV9Oy4UeWyZ1Pzcz9yrl4CaGNHqgVU/edit?gid="&amp;XLOOKUP(B629,ID___!A:A,ID___!B:B,"")&amp;"#gid="&amp;XLOOKUP(B629,ID___!A:A,ID___!B:B,"")&amp;"&amp;range=A1:J1","Click"))</f>
        <v/>
      </c>
      <c r="B629" s="19"/>
      <c r="C629" s="17"/>
      <c r="D629" s="16"/>
      <c r="E629" s="16"/>
      <c r="F629" s="16"/>
      <c r="G629" s="17"/>
    </row>
    <row r="630">
      <c r="A630" s="16" t="str">
        <f t="array" ref="A630">IF(ISBLANK(B630),,HYPERLINK("https://docs.google.com/spreadsheets/d/1HrklyxLdxO6wfiV9Oy4UeWyZ1Pzcz9yrl4CaGNHqgVU/edit?gid="&amp;XLOOKUP(B630,ID___!A:A,ID___!B:B,"")&amp;"#gid="&amp;XLOOKUP(B630,ID___!A:A,ID___!B:B,"")&amp;"&amp;range=A1:J1","Click"))</f>
        <v/>
      </c>
      <c r="B630" s="19"/>
      <c r="C630" s="17"/>
      <c r="D630" s="16"/>
      <c r="E630" s="16"/>
      <c r="F630" s="16"/>
      <c r="G630" s="17"/>
    </row>
    <row r="631">
      <c r="A631" s="16" t="str">
        <f t="array" ref="A631">IF(ISBLANK(B631),,HYPERLINK("https://docs.google.com/spreadsheets/d/1HrklyxLdxO6wfiV9Oy4UeWyZ1Pzcz9yrl4CaGNHqgVU/edit?gid="&amp;XLOOKUP(B631,ID___!A:A,ID___!B:B,"")&amp;"#gid="&amp;XLOOKUP(B631,ID___!A:A,ID___!B:B,"")&amp;"&amp;range=A1:J1","Click"))</f>
        <v/>
      </c>
      <c r="B631" s="19"/>
      <c r="C631" s="17"/>
      <c r="D631" s="16"/>
      <c r="E631" s="16"/>
      <c r="F631" s="16"/>
      <c r="G631" s="17"/>
    </row>
    <row r="632">
      <c r="A632" s="16" t="str">
        <f t="array" ref="A632">IF(ISBLANK(B632),,HYPERLINK("https://docs.google.com/spreadsheets/d/1HrklyxLdxO6wfiV9Oy4UeWyZ1Pzcz9yrl4CaGNHqgVU/edit?gid="&amp;XLOOKUP(B632,ID___!A:A,ID___!B:B,"")&amp;"#gid="&amp;XLOOKUP(B632,ID___!A:A,ID___!B:B,"")&amp;"&amp;range=A1:J1","Click"))</f>
        <v/>
      </c>
      <c r="B632" s="19"/>
      <c r="C632" s="17"/>
      <c r="D632" s="16"/>
      <c r="E632" s="16"/>
      <c r="F632" s="16"/>
      <c r="G632" s="17"/>
    </row>
    <row r="633">
      <c r="A633" s="16" t="str">
        <f t="array" ref="A633">IF(ISBLANK(B633),,HYPERLINK("https://docs.google.com/spreadsheets/d/1HrklyxLdxO6wfiV9Oy4UeWyZ1Pzcz9yrl4CaGNHqgVU/edit?gid="&amp;XLOOKUP(B633,ID___!A:A,ID___!B:B,"")&amp;"#gid="&amp;XLOOKUP(B633,ID___!A:A,ID___!B:B,"")&amp;"&amp;range=A1:J1","Click"))</f>
        <v/>
      </c>
      <c r="B633" s="19"/>
      <c r="C633" s="17"/>
      <c r="D633" s="16"/>
      <c r="E633" s="16"/>
      <c r="F633" s="16"/>
      <c r="G633" s="17"/>
    </row>
    <row r="634">
      <c r="A634" s="16" t="str">
        <f t="array" ref="A634">IF(ISBLANK(B634),,HYPERLINK("https://docs.google.com/spreadsheets/d/1HrklyxLdxO6wfiV9Oy4UeWyZ1Pzcz9yrl4CaGNHqgVU/edit?gid="&amp;XLOOKUP(B634,ID___!A:A,ID___!B:B,"")&amp;"#gid="&amp;XLOOKUP(B634,ID___!A:A,ID___!B:B,"")&amp;"&amp;range=A1:J1","Click"))</f>
        <v/>
      </c>
      <c r="B634" s="19"/>
      <c r="C634" s="17"/>
      <c r="D634" s="16"/>
      <c r="E634" s="16"/>
      <c r="F634" s="16"/>
      <c r="G634" s="17"/>
    </row>
    <row r="635">
      <c r="A635" s="16" t="str">
        <f t="array" ref="A635">IF(ISBLANK(B635),,HYPERLINK("https://docs.google.com/spreadsheets/d/1HrklyxLdxO6wfiV9Oy4UeWyZ1Pzcz9yrl4CaGNHqgVU/edit?gid="&amp;XLOOKUP(B635,ID___!A:A,ID___!B:B,"")&amp;"#gid="&amp;XLOOKUP(B635,ID___!A:A,ID___!B:B,"")&amp;"&amp;range=A1:J1","Click"))</f>
        <v/>
      </c>
      <c r="B635" s="19"/>
      <c r="C635" s="17"/>
      <c r="D635" s="16"/>
      <c r="E635" s="16"/>
      <c r="F635" s="16"/>
      <c r="G635" s="17"/>
    </row>
    <row r="636">
      <c r="A636" s="16" t="str">
        <f t="array" ref="A636">IF(ISBLANK(B636),,HYPERLINK("https://docs.google.com/spreadsheets/d/1HrklyxLdxO6wfiV9Oy4UeWyZ1Pzcz9yrl4CaGNHqgVU/edit?gid="&amp;XLOOKUP(B636,ID___!A:A,ID___!B:B,"")&amp;"#gid="&amp;XLOOKUP(B636,ID___!A:A,ID___!B:B,"")&amp;"&amp;range=A1:J1","Click"))</f>
        <v/>
      </c>
      <c r="B636" s="19"/>
      <c r="C636" s="17"/>
      <c r="D636" s="16"/>
      <c r="E636" s="16"/>
      <c r="F636" s="16"/>
      <c r="G636" s="17"/>
    </row>
    <row r="637">
      <c r="A637" s="16" t="str">
        <f t="array" ref="A637">IF(ISBLANK(B637),,HYPERLINK("https://docs.google.com/spreadsheets/d/1HrklyxLdxO6wfiV9Oy4UeWyZ1Pzcz9yrl4CaGNHqgVU/edit?gid="&amp;XLOOKUP(B637,ID___!A:A,ID___!B:B,"")&amp;"#gid="&amp;XLOOKUP(B637,ID___!A:A,ID___!B:B,"")&amp;"&amp;range=A1:J1","Click"))</f>
        <v/>
      </c>
      <c r="B637" s="19"/>
      <c r="C637" s="17"/>
      <c r="D637" s="16"/>
      <c r="E637" s="16"/>
      <c r="F637" s="16"/>
      <c r="G637" s="17"/>
    </row>
    <row r="638">
      <c r="A638" s="16" t="str">
        <f t="array" ref="A638">IF(ISBLANK(B638),,HYPERLINK("https://docs.google.com/spreadsheets/d/1HrklyxLdxO6wfiV9Oy4UeWyZ1Pzcz9yrl4CaGNHqgVU/edit?gid="&amp;XLOOKUP(B638,ID___!A:A,ID___!B:B,"")&amp;"#gid="&amp;XLOOKUP(B638,ID___!A:A,ID___!B:B,"")&amp;"&amp;range=A1:J1","Click"))</f>
        <v/>
      </c>
      <c r="B638" s="19"/>
      <c r="C638" s="17"/>
      <c r="D638" s="16"/>
      <c r="E638" s="16"/>
      <c r="F638" s="16"/>
      <c r="G638" s="17"/>
    </row>
    <row r="639">
      <c r="A639" s="16" t="str">
        <f t="array" ref="A639">IF(ISBLANK(B639),,HYPERLINK("https://docs.google.com/spreadsheets/d/1HrklyxLdxO6wfiV9Oy4UeWyZ1Pzcz9yrl4CaGNHqgVU/edit?gid="&amp;XLOOKUP(B639,ID___!A:A,ID___!B:B,"")&amp;"#gid="&amp;XLOOKUP(B639,ID___!A:A,ID___!B:B,"")&amp;"&amp;range=A1:J1","Click"))</f>
        <v/>
      </c>
      <c r="B639" s="19"/>
      <c r="C639" s="17"/>
      <c r="D639" s="16"/>
      <c r="E639" s="16"/>
      <c r="F639" s="16"/>
      <c r="G639" s="17"/>
    </row>
    <row r="640">
      <c r="A640" s="16" t="str">
        <f t="array" ref="A640">IF(ISBLANK(B640),,HYPERLINK("https://docs.google.com/spreadsheets/d/1HrklyxLdxO6wfiV9Oy4UeWyZ1Pzcz9yrl4CaGNHqgVU/edit?gid="&amp;XLOOKUP(B640,ID___!A:A,ID___!B:B,"")&amp;"#gid="&amp;XLOOKUP(B640,ID___!A:A,ID___!B:B,"")&amp;"&amp;range=A1:J1","Click"))</f>
        <v/>
      </c>
      <c r="B640" s="19"/>
      <c r="C640" s="17"/>
      <c r="D640" s="16"/>
      <c r="E640" s="16"/>
      <c r="F640" s="16"/>
      <c r="G640" s="17"/>
    </row>
    <row r="641">
      <c r="A641" s="16" t="str">
        <f t="array" ref="A641">IF(ISBLANK(B641),,HYPERLINK("https://docs.google.com/spreadsheets/d/1HrklyxLdxO6wfiV9Oy4UeWyZ1Pzcz9yrl4CaGNHqgVU/edit?gid="&amp;XLOOKUP(B641,ID___!A:A,ID___!B:B,"")&amp;"#gid="&amp;XLOOKUP(B641,ID___!A:A,ID___!B:B,"")&amp;"&amp;range=A1:J1","Click"))</f>
        <v/>
      </c>
      <c r="B641" s="19"/>
      <c r="C641" s="17"/>
      <c r="D641" s="16"/>
      <c r="E641" s="16"/>
      <c r="F641" s="16"/>
      <c r="G641" s="17"/>
    </row>
    <row r="642">
      <c r="A642" s="16" t="str">
        <f t="array" ref="A642">IF(ISBLANK(B642),,HYPERLINK("https://docs.google.com/spreadsheets/d/1HrklyxLdxO6wfiV9Oy4UeWyZ1Pzcz9yrl4CaGNHqgVU/edit?gid="&amp;XLOOKUP(B642,ID___!A:A,ID___!B:B,"")&amp;"#gid="&amp;XLOOKUP(B642,ID___!A:A,ID___!B:B,"")&amp;"&amp;range=A1:J1","Click"))</f>
        <v/>
      </c>
      <c r="B642" s="19"/>
      <c r="C642" s="17"/>
      <c r="D642" s="16"/>
      <c r="E642" s="16"/>
      <c r="F642" s="16"/>
      <c r="G642" s="17"/>
    </row>
    <row r="643">
      <c r="A643" s="16" t="str">
        <f t="array" ref="A643">IF(ISBLANK(B643),,HYPERLINK("https://docs.google.com/spreadsheets/d/1HrklyxLdxO6wfiV9Oy4UeWyZ1Pzcz9yrl4CaGNHqgVU/edit?gid="&amp;XLOOKUP(B643,ID___!A:A,ID___!B:B,"")&amp;"#gid="&amp;XLOOKUP(B643,ID___!A:A,ID___!B:B,"")&amp;"&amp;range=A1:J1","Click"))</f>
        <v/>
      </c>
      <c r="B643" s="19"/>
      <c r="C643" s="17"/>
      <c r="D643" s="16"/>
      <c r="E643" s="16"/>
      <c r="F643" s="16"/>
      <c r="G643" s="17"/>
    </row>
    <row r="644">
      <c r="A644" s="16" t="str">
        <f t="array" ref="A644">IF(ISBLANK(B644),,HYPERLINK("https://docs.google.com/spreadsheets/d/1HrklyxLdxO6wfiV9Oy4UeWyZ1Pzcz9yrl4CaGNHqgVU/edit?gid="&amp;XLOOKUP(B644,ID___!A:A,ID___!B:B,"")&amp;"#gid="&amp;XLOOKUP(B644,ID___!A:A,ID___!B:B,"")&amp;"&amp;range=A1:J1","Click"))</f>
        <v/>
      </c>
      <c r="B644" s="19"/>
      <c r="C644" s="17"/>
      <c r="D644" s="16"/>
      <c r="E644" s="16"/>
      <c r="F644" s="16"/>
      <c r="G644" s="17"/>
    </row>
    <row r="645">
      <c r="A645" s="16" t="str">
        <f t="array" ref="A645">IF(ISBLANK(B645),,HYPERLINK("https://docs.google.com/spreadsheets/d/1HrklyxLdxO6wfiV9Oy4UeWyZ1Pzcz9yrl4CaGNHqgVU/edit?gid="&amp;XLOOKUP(B645,ID___!A:A,ID___!B:B,"")&amp;"#gid="&amp;XLOOKUP(B645,ID___!A:A,ID___!B:B,"")&amp;"&amp;range=A1:J1","Click"))</f>
        <v/>
      </c>
      <c r="B645" s="19"/>
      <c r="C645" s="17"/>
      <c r="D645" s="16"/>
      <c r="E645" s="16"/>
      <c r="F645" s="16"/>
      <c r="G645" s="17"/>
    </row>
    <row r="646">
      <c r="A646" s="16" t="str">
        <f t="array" ref="A646">IF(ISBLANK(B646),,HYPERLINK("https://docs.google.com/spreadsheets/d/1HrklyxLdxO6wfiV9Oy4UeWyZ1Pzcz9yrl4CaGNHqgVU/edit?gid="&amp;XLOOKUP(B646,ID___!A:A,ID___!B:B,"")&amp;"#gid="&amp;XLOOKUP(B646,ID___!A:A,ID___!B:B,"")&amp;"&amp;range=A1:J1","Click"))</f>
        <v/>
      </c>
      <c r="B646" s="19"/>
      <c r="C646" s="17"/>
      <c r="D646" s="16"/>
      <c r="E646" s="16"/>
      <c r="F646" s="16"/>
      <c r="G646" s="17"/>
    </row>
    <row r="647">
      <c r="A647" s="16" t="str">
        <f t="array" ref="A647">IF(ISBLANK(B647),,HYPERLINK("https://docs.google.com/spreadsheets/d/1HrklyxLdxO6wfiV9Oy4UeWyZ1Pzcz9yrl4CaGNHqgVU/edit?gid="&amp;XLOOKUP(B647,ID___!A:A,ID___!B:B,"")&amp;"#gid="&amp;XLOOKUP(B647,ID___!A:A,ID___!B:B,"")&amp;"&amp;range=A1:J1","Click"))</f>
        <v/>
      </c>
      <c r="B647" s="19"/>
      <c r="C647" s="17"/>
      <c r="D647" s="16"/>
      <c r="E647" s="16"/>
      <c r="F647" s="16"/>
      <c r="G647" s="17"/>
    </row>
    <row r="648">
      <c r="A648" s="16" t="str">
        <f t="array" ref="A648">IF(ISBLANK(B648),,HYPERLINK("https://docs.google.com/spreadsheets/d/1HrklyxLdxO6wfiV9Oy4UeWyZ1Pzcz9yrl4CaGNHqgVU/edit?gid="&amp;XLOOKUP(B648,ID___!A:A,ID___!B:B,"")&amp;"#gid="&amp;XLOOKUP(B648,ID___!A:A,ID___!B:B,"")&amp;"&amp;range=A1:J1","Click"))</f>
        <v/>
      </c>
      <c r="B648" s="19"/>
      <c r="C648" s="17"/>
      <c r="D648" s="16"/>
      <c r="E648" s="16"/>
      <c r="F648" s="16"/>
      <c r="G648" s="17"/>
    </row>
    <row r="649">
      <c r="A649" s="16" t="str">
        <f t="array" ref="A649">IF(ISBLANK(B649),,HYPERLINK("https://docs.google.com/spreadsheets/d/1HrklyxLdxO6wfiV9Oy4UeWyZ1Pzcz9yrl4CaGNHqgVU/edit?gid="&amp;XLOOKUP(B649,ID___!A:A,ID___!B:B,"")&amp;"#gid="&amp;XLOOKUP(B649,ID___!A:A,ID___!B:B,"")&amp;"&amp;range=A1:J1","Click"))</f>
        <v/>
      </c>
      <c r="B649" s="19"/>
      <c r="C649" s="17"/>
      <c r="D649" s="16"/>
      <c r="E649" s="16"/>
      <c r="F649" s="16"/>
      <c r="G649" s="17"/>
    </row>
    <row r="650">
      <c r="A650" s="16" t="str">
        <f t="array" ref="A650">IF(ISBLANK(B650),,HYPERLINK("https://docs.google.com/spreadsheets/d/1HrklyxLdxO6wfiV9Oy4UeWyZ1Pzcz9yrl4CaGNHqgVU/edit?gid="&amp;XLOOKUP(B650,ID___!A:A,ID___!B:B,"")&amp;"#gid="&amp;XLOOKUP(B650,ID___!A:A,ID___!B:B,"")&amp;"&amp;range=A1:J1","Click"))</f>
        <v/>
      </c>
      <c r="B650" s="19"/>
      <c r="C650" s="17"/>
      <c r="D650" s="16"/>
      <c r="E650" s="16"/>
      <c r="F650" s="16"/>
      <c r="G650" s="17"/>
    </row>
    <row r="651">
      <c r="A651" s="16" t="str">
        <f t="array" ref="A651">IF(ISBLANK(B651),,HYPERLINK("https://docs.google.com/spreadsheets/d/1HrklyxLdxO6wfiV9Oy4UeWyZ1Pzcz9yrl4CaGNHqgVU/edit?gid="&amp;XLOOKUP(B651,ID___!A:A,ID___!B:B,"")&amp;"#gid="&amp;XLOOKUP(B651,ID___!A:A,ID___!B:B,"")&amp;"&amp;range=A1:J1","Click"))</f>
        <v/>
      </c>
      <c r="B651" s="19"/>
      <c r="C651" s="17"/>
      <c r="D651" s="16"/>
      <c r="E651" s="16"/>
      <c r="F651" s="16"/>
      <c r="G651" s="17"/>
    </row>
    <row r="652">
      <c r="A652" s="16" t="str">
        <f t="array" ref="A652">IF(ISBLANK(B652),,HYPERLINK("https://docs.google.com/spreadsheets/d/1HrklyxLdxO6wfiV9Oy4UeWyZ1Pzcz9yrl4CaGNHqgVU/edit?gid="&amp;XLOOKUP(B652,ID___!A:A,ID___!B:B,"")&amp;"#gid="&amp;XLOOKUP(B652,ID___!A:A,ID___!B:B,"")&amp;"&amp;range=A1:J1","Click"))</f>
        <v/>
      </c>
      <c r="B652" s="19"/>
      <c r="C652" s="17"/>
      <c r="D652" s="16"/>
      <c r="E652" s="16"/>
      <c r="F652" s="16"/>
      <c r="G652" s="17"/>
    </row>
    <row r="653">
      <c r="A653" s="16" t="str">
        <f t="array" ref="A653">IF(ISBLANK(B653),,HYPERLINK("https://docs.google.com/spreadsheets/d/1HrklyxLdxO6wfiV9Oy4UeWyZ1Pzcz9yrl4CaGNHqgVU/edit?gid="&amp;XLOOKUP(B653,ID___!A:A,ID___!B:B,"")&amp;"#gid="&amp;XLOOKUP(B653,ID___!A:A,ID___!B:B,"")&amp;"&amp;range=A1:J1","Click"))</f>
        <v/>
      </c>
      <c r="B653" s="19"/>
      <c r="C653" s="17"/>
      <c r="D653" s="16"/>
      <c r="E653" s="16"/>
      <c r="F653" s="16"/>
      <c r="G653" s="17"/>
    </row>
    <row r="654">
      <c r="A654" s="16" t="str">
        <f t="array" ref="A654">IF(ISBLANK(B654),,HYPERLINK("https://docs.google.com/spreadsheets/d/1HrklyxLdxO6wfiV9Oy4UeWyZ1Pzcz9yrl4CaGNHqgVU/edit?gid="&amp;XLOOKUP(B654,ID___!A:A,ID___!B:B,"")&amp;"#gid="&amp;XLOOKUP(B654,ID___!A:A,ID___!B:B,"")&amp;"&amp;range=A1:J1","Click"))</f>
        <v/>
      </c>
      <c r="B654" s="19"/>
      <c r="C654" s="17"/>
      <c r="D654" s="16"/>
      <c r="E654" s="16"/>
      <c r="F654" s="16"/>
      <c r="G654" s="17"/>
    </row>
    <row r="655">
      <c r="A655" s="16" t="str">
        <f t="array" ref="A655">IF(ISBLANK(B655),,HYPERLINK("https://docs.google.com/spreadsheets/d/1HrklyxLdxO6wfiV9Oy4UeWyZ1Pzcz9yrl4CaGNHqgVU/edit?gid="&amp;XLOOKUP(B655,ID___!A:A,ID___!B:B,"")&amp;"#gid="&amp;XLOOKUP(B655,ID___!A:A,ID___!B:B,"")&amp;"&amp;range=A1:J1","Click"))</f>
        <v/>
      </c>
      <c r="B655" s="19"/>
      <c r="C655" s="17"/>
      <c r="D655" s="16"/>
      <c r="E655" s="16"/>
      <c r="F655" s="16"/>
      <c r="G655" s="17"/>
    </row>
    <row r="656">
      <c r="A656" s="16" t="str">
        <f t="array" ref="A656">IF(ISBLANK(B656),,HYPERLINK("https://docs.google.com/spreadsheets/d/1HrklyxLdxO6wfiV9Oy4UeWyZ1Pzcz9yrl4CaGNHqgVU/edit?gid="&amp;XLOOKUP(B656,ID___!A:A,ID___!B:B,"")&amp;"#gid="&amp;XLOOKUP(B656,ID___!A:A,ID___!B:B,"")&amp;"&amp;range=A1:J1","Click"))</f>
        <v/>
      </c>
      <c r="B656" s="19"/>
      <c r="C656" s="17"/>
      <c r="D656" s="16"/>
      <c r="E656" s="16"/>
      <c r="F656" s="16"/>
      <c r="G656" s="17"/>
    </row>
    <row r="657">
      <c r="A657" s="16" t="str">
        <f t="array" ref="A657">IF(ISBLANK(B657),,HYPERLINK("https://docs.google.com/spreadsheets/d/1HrklyxLdxO6wfiV9Oy4UeWyZ1Pzcz9yrl4CaGNHqgVU/edit?gid="&amp;XLOOKUP(B657,ID___!A:A,ID___!B:B,"")&amp;"#gid="&amp;XLOOKUP(B657,ID___!A:A,ID___!B:B,"")&amp;"&amp;range=A1:J1","Click"))</f>
        <v/>
      </c>
      <c r="B657" s="19"/>
      <c r="C657" s="17"/>
      <c r="D657" s="16"/>
      <c r="E657" s="16"/>
      <c r="F657" s="16"/>
      <c r="G657" s="17"/>
    </row>
    <row r="658">
      <c r="A658" s="16" t="str">
        <f t="array" ref="A658">IF(ISBLANK(B658),,HYPERLINK("https://docs.google.com/spreadsheets/d/1HrklyxLdxO6wfiV9Oy4UeWyZ1Pzcz9yrl4CaGNHqgVU/edit?gid="&amp;XLOOKUP(B658,ID___!A:A,ID___!B:B,"")&amp;"#gid="&amp;XLOOKUP(B658,ID___!A:A,ID___!B:B,"")&amp;"&amp;range=A1:J1","Click"))</f>
        <v/>
      </c>
      <c r="B658" s="19"/>
      <c r="C658" s="17"/>
      <c r="D658" s="16"/>
      <c r="E658" s="16"/>
      <c r="F658" s="16"/>
      <c r="G658" s="17"/>
    </row>
    <row r="659">
      <c r="A659" s="16" t="str">
        <f t="array" ref="A659">IF(ISBLANK(B659),,HYPERLINK("https://docs.google.com/spreadsheets/d/1HrklyxLdxO6wfiV9Oy4UeWyZ1Pzcz9yrl4CaGNHqgVU/edit?gid="&amp;XLOOKUP(B659,ID___!A:A,ID___!B:B,"")&amp;"#gid="&amp;XLOOKUP(B659,ID___!A:A,ID___!B:B,"")&amp;"&amp;range=A1:J1","Click"))</f>
        <v/>
      </c>
      <c r="B659" s="19"/>
      <c r="C659" s="17"/>
      <c r="D659" s="16"/>
      <c r="E659" s="16"/>
      <c r="F659" s="16"/>
      <c r="G659" s="17"/>
    </row>
    <row r="660">
      <c r="A660" s="16" t="str">
        <f t="array" ref="A660">IF(ISBLANK(B660),,HYPERLINK("https://docs.google.com/spreadsheets/d/1HrklyxLdxO6wfiV9Oy4UeWyZ1Pzcz9yrl4CaGNHqgVU/edit?gid="&amp;XLOOKUP(B660,ID___!A:A,ID___!B:B,"")&amp;"#gid="&amp;XLOOKUP(B660,ID___!A:A,ID___!B:B,"")&amp;"&amp;range=A1:J1","Click"))</f>
        <v/>
      </c>
      <c r="B660" s="19"/>
      <c r="C660" s="17"/>
      <c r="D660" s="16"/>
      <c r="E660" s="16"/>
      <c r="F660" s="16"/>
      <c r="G660" s="17"/>
    </row>
    <row r="661">
      <c r="A661" s="16" t="str">
        <f t="array" ref="A661">IF(ISBLANK(B661),,HYPERLINK("https://docs.google.com/spreadsheets/d/1HrklyxLdxO6wfiV9Oy4UeWyZ1Pzcz9yrl4CaGNHqgVU/edit?gid="&amp;XLOOKUP(B661,ID___!A:A,ID___!B:B,"")&amp;"#gid="&amp;XLOOKUP(B661,ID___!A:A,ID___!B:B,"")&amp;"&amp;range=A1:J1","Click"))</f>
        <v/>
      </c>
      <c r="B661" s="19"/>
      <c r="C661" s="17"/>
      <c r="D661" s="16"/>
      <c r="E661" s="16"/>
      <c r="F661" s="16"/>
      <c r="G661" s="17"/>
    </row>
    <row r="662">
      <c r="A662" s="16" t="str">
        <f t="array" ref="A662">IF(ISBLANK(B662),,HYPERLINK("https://docs.google.com/spreadsheets/d/1HrklyxLdxO6wfiV9Oy4UeWyZ1Pzcz9yrl4CaGNHqgVU/edit?gid="&amp;XLOOKUP(B662,ID___!A:A,ID___!B:B,"")&amp;"#gid="&amp;XLOOKUP(B662,ID___!A:A,ID___!B:B,"")&amp;"&amp;range=A1:J1","Click"))</f>
        <v/>
      </c>
      <c r="B662" s="19"/>
      <c r="C662" s="17"/>
      <c r="D662" s="16"/>
      <c r="E662" s="16"/>
      <c r="F662" s="16"/>
      <c r="G662" s="17"/>
    </row>
    <row r="663">
      <c r="A663" s="16" t="str">
        <f t="array" ref="A663">IF(ISBLANK(B663),,HYPERLINK("https://docs.google.com/spreadsheets/d/1HrklyxLdxO6wfiV9Oy4UeWyZ1Pzcz9yrl4CaGNHqgVU/edit?gid="&amp;XLOOKUP(B663,ID___!A:A,ID___!B:B,"")&amp;"#gid="&amp;XLOOKUP(B663,ID___!A:A,ID___!B:B,"")&amp;"&amp;range=A1:J1","Click"))</f>
        <v/>
      </c>
      <c r="B663" s="19"/>
      <c r="C663" s="17"/>
      <c r="D663" s="16"/>
      <c r="E663" s="16"/>
      <c r="F663" s="16"/>
      <c r="G663" s="17"/>
    </row>
    <row r="664">
      <c r="A664" s="16" t="str">
        <f t="array" ref="A664">IF(ISBLANK(B664),,HYPERLINK("https://docs.google.com/spreadsheets/d/1HrklyxLdxO6wfiV9Oy4UeWyZ1Pzcz9yrl4CaGNHqgVU/edit?gid="&amp;XLOOKUP(B664,ID___!A:A,ID___!B:B,"")&amp;"#gid="&amp;XLOOKUP(B664,ID___!A:A,ID___!B:B,"")&amp;"&amp;range=A1:J1","Click"))</f>
        <v/>
      </c>
      <c r="B664" s="19"/>
      <c r="C664" s="17"/>
      <c r="D664" s="16"/>
      <c r="E664" s="16"/>
      <c r="F664" s="16"/>
      <c r="G664" s="17"/>
    </row>
    <row r="665">
      <c r="A665" s="16" t="str">
        <f t="array" ref="A665">IF(ISBLANK(B665),,HYPERLINK("https://docs.google.com/spreadsheets/d/1HrklyxLdxO6wfiV9Oy4UeWyZ1Pzcz9yrl4CaGNHqgVU/edit?gid="&amp;XLOOKUP(B665,ID___!A:A,ID___!B:B,"")&amp;"#gid="&amp;XLOOKUP(B665,ID___!A:A,ID___!B:B,"")&amp;"&amp;range=A1:J1","Click"))</f>
        <v/>
      </c>
      <c r="B665" s="19"/>
      <c r="C665" s="17"/>
      <c r="D665" s="16"/>
      <c r="E665" s="16"/>
      <c r="F665" s="16"/>
      <c r="G665" s="17"/>
    </row>
    <row r="666">
      <c r="A666" s="16" t="str">
        <f t="array" ref="A666">IF(ISBLANK(B666),,HYPERLINK("https://docs.google.com/spreadsheets/d/1HrklyxLdxO6wfiV9Oy4UeWyZ1Pzcz9yrl4CaGNHqgVU/edit?gid="&amp;XLOOKUP(B666,ID___!A:A,ID___!B:B,"")&amp;"#gid="&amp;XLOOKUP(B666,ID___!A:A,ID___!B:B,"")&amp;"&amp;range=A1:J1","Click"))</f>
        <v/>
      </c>
      <c r="B666" s="19"/>
      <c r="C666" s="17"/>
      <c r="D666" s="16"/>
      <c r="E666" s="16"/>
      <c r="F666" s="16"/>
      <c r="G666" s="17"/>
    </row>
    <row r="667">
      <c r="A667" s="16" t="str">
        <f t="array" ref="A667">IF(ISBLANK(B667),,HYPERLINK("https://docs.google.com/spreadsheets/d/1HrklyxLdxO6wfiV9Oy4UeWyZ1Pzcz9yrl4CaGNHqgVU/edit?gid="&amp;XLOOKUP(B667,ID___!A:A,ID___!B:B,"")&amp;"#gid="&amp;XLOOKUP(B667,ID___!A:A,ID___!B:B,"")&amp;"&amp;range=A1:J1","Click"))</f>
        <v/>
      </c>
      <c r="B667" s="19"/>
      <c r="C667" s="17"/>
      <c r="D667" s="16"/>
      <c r="E667" s="16"/>
      <c r="F667" s="16"/>
      <c r="G667" s="17"/>
    </row>
    <row r="668">
      <c r="A668" s="16" t="str">
        <f t="array" ref="A668">IF(ISBLANK(B668),,HYPERLINK("https://docs.google.com/spreadsheets/d/1HrklyxLdxO6wfiV9Oy4UeWyZ1Pzcz9yrl4CaGNHqgVU/edit?gid="&amp;XLOOKUP(B668,ID___!A:A,ID___!B:B,"")&amp;"#gid="&amp;XLOOKUP(B668,ID___!A:A,ID___!B:B,"")&amp;"&amp;range=A1:J1","Click"))</f>
        <v/>
      </c>
      <c r="B668" s="19"/>
      <c r="C668" s="17"/>
      <c r="D668" s="16"/>
      <c r="E668" s="16"/>
      <c r="F668" s="16"/>
      <c r="G668" s="17"/>
    </row>
    <row r="669">
      <c r="A669" s="16" t="str">
        <f t="array" ref="A669">IF(ISBLANK(B669),,HYPERLINK("https://docs.google.com/spreadsheets/d/1HrklyxLdxO6wfiV9Oy4UeWyZ1Pzcz9yrl4CaGNHqgVU/edit?gid="&amp;XLOOKUP(B669,ID___!A:A,ID___!B:B,"")&amp;"#gid="&amp;XLOOKUP(B669,ID___!A:A,ID___!B:B,"")&amp;"&amp;range=A1:J1","Click"))</f>
        <v/>
      </c>
      <c r="B669" s="19"/>
      <c r="C669" s="17"/>
      <c r="D669" s="16"/>
      <c r="E669" s="16"/>
      <c r="F669" s="16"/>
      <c r="G669" s="17"/>
    </row>
    <row r="670">
      <c r="A670" s="16" t="str">
        <f t="array" ref="A670">IF(ISBLANK(B670),,HYPERLINK("https://docs.google.com/spreadsheets/d/1HrklyxLdxO6wfiV9Oy4UeWyZ1Pzcz9yrl4CaGNHqgVU/edit?gid="&amp;XLOOKUP(B670,ID___!A:A,ID___!B:B,"")&amp;"#gid="&amp;XLOOKUP(B670,ID___!A:A,ID___!B:B,"")&amp;"&amp;range=A1:J1","Click"))</f>
        <v/>
      </c>
      <c r="B670" s="19"/>
      <c r="C670" s="17"/>
      <c r="D670" s="16"/>
      <c r="E670" s="16"/>
      <c r="F670" s="16"/>
      <c r="G670" s="17"/>
    </row>
    <row r="671">
      <c r="A671" s="16" t="str">
        <f t="array" ref="A671">IF(ISBLANK(B671),,HYPERLINK("https://docs.google.com/spreadsheets/d/1HrklyxLdxO6wfiV9Oy4UeWyZ1Pzcz9yrl4CaGNHqgVU/edit?gid="&amp;XLOOKUP(B671,ID___!A:A,ID___!B:B,"")&amp;"#gid="&amp;XLOOKUP(B671,ID___!A:A,ID___!B:B,"")&amp;"&amp;range=A1:J1","Click"))</f>
        <v/>
      </c>
      <c r="B671" s="19"/>
      <c r="C671" s="17"/>
      <c r="D671" s="16"/>
      <c r="E671" s="16"/>
      <c r="F671" s="16"/>
      <c r="G671" s="17"/>
    </row>
    <row r="672">
      <c r="A672" s="16" t="str">
        <f t="array" ref="A672">IF(ISBLANK(B672),,HYPERLINK("https://docs.google.com/spreadsheets/d/1HrklyxLdxO6wfiV9Oy4UeWyZ1Pzcz9yrl4CaGNHqgVU/edit?gid="&amp;XLOOKUP(B672,ID___!A:A,ID___!B:B,"")&amp;"#gid="&amp;XLOOKUP(B672,ID___!A:A,ID___!B:B,"")&amp;"&amp;range=A1:J1","Click"))</f>
        <v/>
      </c>
      <c r="B672" s="19"/>
      <c r="C672" s="17"/>
      <c r="D672" s="16"/>
      <c r="E672" s="16"/>
      <c r="F672" s="16"/>
      <c r="G672" s="17"/>
    </row>
    <row r="673">
      <c r="A673" s="16" t="str">
        <f t="array" ref="A673">IF(ISBLANK(B673),,HYPERLINK("https://docs.google.com/spreadsheets/d/1HrklyxLdxO6wfiV9Oy4UeWyZ1Pzcz9yrl4CaGNHqgVU/edit?gid="&amp;XLOOKUP(B673,ID___!A:A,ID___!B:B,"")&amp;"#gid="&amp;XLOOKUP(B673,ID___!A:A,ID___!B:B,"")&amp;"&amp;range=A1:J1","Click"))</f>
        <v/>
      </c>
      <c r="B673" s="19"/>
      <c r="C673" s="17"/>
      <c r="D673" s="16"/>
      <c r="E673" s="16"/>
      <c r="F673" s="16"/>
      <c r="G673" s="17"/>
    </row>
    <row r="674">
      <c r="A674" s="16" t="str">
        <f t="array" ref="A674">IF(ISBLANK(B674),,HYPERLINK("https://docs.google.com/spreadsheets/d/1HrklyxLdxO6wfiV9Oy4UeWyZ1Pzcz9yrl4CaGNHqgVU/edit?gid="&amp;XLOOKUP(B674,ID___!A:A,ID___!B:B,"")&amp;"#gid="&amp;XLOOKUP(B674,ID___!A:A,ID___!B:B,"")&amp;"&amp;range=A1:J1","Click"))</f>
        <v/>
      </c>
      <c r="B674" s="19"/>
      <c r="C674" s="17"/>
      <c r="D674" s="16"/>
      <c r="E674" s="16"/>
      <c r="F674" s="16"/>
      <c r="G674" s="17"/>
    </row>
    <row r="675">
      <c r="A675" s="16" t="str">
        <f t="array" ref="A675">IF(ISBLANK(B675),,HYPERLINK("https://docs.google.com/spreadsheets/d/1HrklyxLdxO6wfiV9Oy4UeWyZ1Pzcz9yrl4CaGNHqgVU/edit?gid="&amp;XLOOKUP(B675,ID___!A:A,ID___!B:B,"")&amp;"#gid="&amp;XLOOKUP(B675,ID___!A:A,ID___!B:B,"")&amp;"&amp;range=A1:J1","Click"))</f>
        <v/>
      </c>
      <c r="B675" s="19"/>
      <c r="C675" s="17"/>
      <c r="D675" s="16"/>
      <c r="E675" s="16"/>
      <c r="F675" s="16"/>
      <c r="G675" s="17"/>
    </row>
    <row r="676">
      <c r="A676" s="16" t="str">
        <f t="array" ref="A676">IF(ISBLANK(B676),,HYPERLINK("https://docs.google.com/spreadsheets/d/1HrklyxLdxO6wfiV9Oy4UeWyZ1Pzcz9yrl4CaGNHqgVU/edit?gid="&amp;XLOOKUP(B676,ID___!A:A,ID___!B:B,"")&amp;"#gid="&amp;XLOOKUP(B676,ID___!A:A,ID___!B:B,"")&amp;"&amp;range=A1:J1","Click"))</f>
        <v/>
      </c>
      <c r="B676" s="19"/>
      <c r="C676" s="17"/>
      <c r="D676" s="16"/>
      <c r="E676" s="16"/>
      <c r="F676" s="16"/>
      <c r="G676" s="17"/>
    </row>
    <row r="677">
      <c r="A677" s="16" t="str">
        <f t="array" ref="A677">IF(ISBLANK(B677),,HYPERLINK("https://docs.google.com/spreadsheets/d/1HrklyxLdxO6wfiV9Oy4UeWyZ1Pzcz9yrl4CaGNHqgVU/edit?gid="&amp;XLOOKUP(B677,ID___!A:A,ID___!B:B,"")&amp;"#gid="&amp;XLOOKUP(B677,ID___!A:A,ID___!B:B,"")&amp;"&amp;range=A1:J1","Click"))</f>
        <v/>
      </c>
      <c r="B677" s="19"/>
      <c r="C677" s="17"/>
      <c r="D677" s="16"/>
      <c r="E677" s="16"/>
      <c r="F677" s="16"/>
      <c r="G677" s="17"/>
    </row>
    <row r="678">
      <c r="A678" s="16" t="str">
        <f t="array" ref="A678">IF(ISBLANK(B678),,HYPERLINK("https://docs.google.com/spreadsheets/d/1HrklyxLdxO6wfiV9Oy4UeWyZ1Pzcz9yrl4CaGNHqgVU/edit?gid="&amp;XLOOKUP(B678,ID___!A:A,ID___!B:B,"")&amp;"#gid="&amp;XLOOKUP(B678,ID___!A:A,ID___!B:B,"")&amp;"&amp;range=A1:J1","Click"))</f>
        <v/>
      </c>
      <c r="B678" s="19"/>
      <c r="C678" s="17"/>
      <c r="D678" s="16"/>
      <c r="E678" s="16"/>
      <c r="F678" s="16"/>
      <c r="G678" s="17"/>
    </row>
    <row r="679">
      <c r="A679" s="16" t="str">
        <f t="array" ref="A679">IF(ISBLANK(B679),,HYPERLINK("https://docs.google.com/spreadsheets/d/1HrklyxLdxO6wfiV9Oy4UeWyZ1Pzcz9yrl4CaGNHqgVU/edit?gid="&amp;XLOOKUP(B679,ID___!A:A,ID___!B:B,"")&amp;"#gid="&amp;XLOOKUP(B679,ID___!A:A,ID___!B:B,"")&amp;"&amp;range=A1:J1","Click"))</f>
        <v/>
      </c>
      <c r="B679" s="19"/>
      <c r="C679" s="17"/>
      <c r="D679" s="16"/>
      <c r="E679" s="16"/>
      <c r="F679" s="16"/>
      <c r="G679" s="17"/>
    </row>
    <row r="680">
      <c r="A680" s="16" t="str">
        <f t="array" ref="A680">IF(ISBLANK(B680),,HYPERLINK("https://docs.google.com/spreadsheets/d/1HrklyxLdxO6wfiV9Oy4UeWyZ1Pzcz9yrl4CaGNHqgVU/edit?gid="&amp;XLOOKUP(B680,ID___!A:A,ID___!B:B,"")&amp;"#gid="&amp;XLOOKUP(B680,ID___!A:A,ID___!B:B,"")&amp;"&amp;range=A1:J1","Click"))</f>
        <v/>
      </c>
      <c r="B680" s="19"/>
      <c r="C680" s="17"/>
      <c r="D680" s="16"/>
      <c r="E680" s="16"/>
      <c r="F680" s="16"/>
      <c r="G680" s="17"/>
    </row>
    <row r="681">
      <c r="A681" s="16" t="str">
        <f t="array" ref="A681">IF(ISBLANK(B681),,HYPERLINK("https://docs.google.com/spreadsheets/d/1HrklyxLdxO6wfiV9Oy4UeWyZ1Pzcz9yrl4CaGNHqgVU/edit?gid="&amp;XLOOKUP(B681,ID___!A:A,ID___!B:B,"")&amp;"#gid="&amp;XLOOKUP(B681,ID___!A:A,ID___!B:B,"")&amp;"&amp;range=A1:J1","Click"))</f>
        <v/>
      </c>
      <c r="B681" s="19"/>
      <c r="C681" s="17"/>
      <c r="D681" s="16"/>
      <c r="E681" s="16"/>
      <c r="F681" s="16"/>
      <c r="G681" s="17"/>
    </row>
    <row r="682">
      <c r="A682" s="16" t="str">
        <f t="array" ref="A682">IF(ISBLANK(B682),,HYPERLINK("https://docs.google.com/spreadsheets/d/1HrklyxLdxO6wfiV9Oy4UeWyZ1Pzcz9yrl4CaGNHqgVU/edit?gid="&amp;XLOOKUP(B682,ID___!A:A,ID___!B:B,"")&amp;"#gid="&amp;XLOOKUP(B682,ID___!A:A,ID___!B:B,"")&amp;"&amp;range=A1:J1","Click"))</f>
        <v/>
      </c>
      <c r="B682" s="19"/>
      <c r="C682" s="17"/>
      <c r="D682" s="16"/>
      <c r="E682" s="16"/>
      <c r="F682" s="16"/>
      <c r="G682" s="17"/>
    </row>
    <row r="683">
      <c r="A683" s="16" t="str">
        <f t="array" ref="A683">IF(ISBLANK(B683),,HYPERLINK("https://docs.google.com/spreadsheets/d/1HrklyxLdxO6wfiV9Oy4UeWyZ1Pzcz9yrl4CaGNHqgVU/edit?gid="&amp;XLOOKUP(B683,ID___!A:A,ID___!B:B,"")&amp;"#gid="&amp;XLOOKUP(B683,ID___!A:A,ID___!B:B,"")&amp;"&amp;range=A1:J1","Click"))</f>
        <v/>
      </c>
      <c r="B683" s="19"/>
      <c r="C683" s="17"/>
      <c r="D683" s="16"/>
      <c r="E683" s="16"/>
      <c r="F683" s="16"/>
      <c r="G683" s="17"/>
    </row>
    <row r="684">
      <c r="A684" s="16" t="str">
        <f t="array" ref="A684">IF(ISBLANK(B684),,HYPERLINK("https://docs.google.com/spreadsheets/d/1HrklyxLdxO6wfiV9Oy4UeWyZ1Pzcz9yrl4CaGNHqgVU/edit?gid="&amp;XLOOKUP(B684,ID___!A:A,ID___!B:B,"")&amp;"#gid="&amp;XLOOKUP(B684,ID___!A:A,ID___!B:B,"")&amp;"&amp;range=A1:J1","Click"))</f>
        <v/>
      </c>
      <c r="B684" s="19"/>
      <c r="C684" s="17"/>
      <c r="D684" s="16"/>
      <c r="E684" s="16"/>
      <c r="F684" s="16"/>
      <c r="G684" s="17"/>
    </row>
    <row r="685">
      <c r="A685" s="16" t="str">
        <f t="array" ref="A685">IF(ISBLANK(B685),,HYPERLINK("https://docs.google.com/spreadsheets/d/1HrklyxLdxO6wfiV9Oy4UeWyZ1Pzcz9yrl4CaGNHqgVU/edit?gid="&amp;XLOOKUP(B685,ID___!A:A,ID___!B:B,"")&amp;"#gid="&amp;XLOOKUP(B685,ID___!A:A,ID___!B:B,"")&amp;"&amp;range=A1:J1","Click"))</f>
        <v/>
      </c>
      <c r="B685" s="19"/>
      <c r="C685" s="17"/>
      <c r="D685" s="16"/>
      <c r="E685" s="16"/>
      <c r="F685" s="16"/>
      <c r="G685" s="17"/>
    </row>
    <row r="686">
      <c r="A686" s="16" t="str">
        <f t="array" ref="A686">IF(ISBLANK(B686),,HYPERLINK("https://docs.google.com/spreadsheets/d/1HrklyxLdxO6wfiV9Oy4UeWyZ1Pzcz9yrl4CaGNHqgVU/edit?gid="&amp;XLOOKUP(B686,ID___!A:A,ID___!B:B,"")&amp;"#gid="&amp;XLOOKUP(B686,ID___!A:A,ID___!B:B,"")&amp;"&amp;range=A1:J1","Click"))</f>
        <v/>
      </c>
      <c r="B686" s="19"/>
      <c r="C686" s="17"/>
      <c r="D686" s="16"/>
      <c r="E686" s="16"/>
      <c r="F686" s="16"/>
      <c r="G686" s="17"/>
    </row>
    <row r="687">
      <c r="A687" s="16" t="str">
        <f t="array" ref="A687">IF(ISBLANK(B687),,HYPERLINK("https://docs.google.com/spreadsheets/d/1HrklyxLdxO6wfiV9Oy4UeWyZ1Pzcz9yrl4CaGNHqgVU/edit?gid="&amp;XLOOKUP(B687,ID___!A:A,ID___!B:B,"")&amp;"#gid="&amp;XLOOKUP(B687,ID___!A:A,ID___!B:B,"")&amp;"&amp;range=A1:J1","Click"))</f>
        <v/>
      </c>
      <c r="B687" s="19"/>
      <c r="C687" s="17"/>
      <c r="D687" s="16"/>
      <c r="E687" s="16"/>
      <c r="F687" s="16"/>
      <c r="G687" s="17"/>
    </row>
    <row r="688">
      <c r="A688" s="16" t="str">
        <f t="array" ref="A688">IF(ISBLANK(B688),,HYPERLINK("https://docs.google.com/spreadsheets/d/1HrklyxLdxO6wfiV9Oy4UeWyZ1Pzcz9yrl4CaGNHqgVU/edit?gid="&amp;XLOOKUP(B688,ID___!A:A,ID___!B:B,"")&amp;"#gid="&amp;XLOOKUP(B688,ID___!A:A,ID___!B:B,"")&amp;"&amp;range=A1:J1","Click"))</f>
        <v/>
      </c>
      <c r="B688" s="19"/>
      <c r="C688" s="17"/>
      <c r="D688" s="16"/>
      <c r="E688" s="16"/>
      <c r="F688" s="16"/>
      <c r="G688" s="17"/>
    </row>
    <row r="689">
      <c r="A689" s="16" t="str">
        <f t="array" ref="A689">IF(ISBLANK(B689),,HYPERLINK("https://docs.google.com/spreadsheets/d/1HrklyxLdxO6wfiV9Oy4UeWyZ1Pzcz9yrl4CaGNHqgVU/edit?gid="&amp;XLOOKUP(B689,ID___!A:A,ID___!B:B,"")&amp;"#gid="&amp;XLOOKUP(B689,ID___!A:A,ID___!B:B,"")&amp;"&amp;range=A1:J1","Click"))</f>
        <v/>
      </c>
      <c r="B689" s="19"/>
      <c r="C689" s="17"/>
      <c r="D689" s="16"/>
      <c r="E689" s="16"/>
      <c r="F689" s="16"/>
      <c r="G689" s="17"/>
    </row>
    <row r="690">
      <c r="A690" s="16" t="str">
        <f t="array" ref="A690">IF(ISBLANK(B690),,HYPERLINK("https://docs.google.com/spreadsheets/d/1HrklyxLdxO6wfiV9Oy4UeWyZ1Pzcz9yrl4CaGNHqgVU/edit?gid="&amp;XLOOKUP(B690,ID___!A:A,ID___!B:B,"")&amp;"#gid="&amp;XLOOKUP(B690,ID___!A:A,ID___!B:B,"")&amp;"&amp;range=A1:J1","Click"))</f>
        <v/>
      </c>
      <c r="B690" s="19"/>
      <c r="C690" s="17"/>
      <c r="D690" s="16"/>
      <c r="E690" s="16"/>
      <c r="F690" s="16"/>
      <c r="G690" s="17"/>
    </row>
    <row r="691">
      <c r="A691" s="16" t="str">
        <f t="array" ref="A691">IF(ISBLANK(B691),,HYPERLINK("https://docs.google.com/spreadsheets/d/1HrklyxLdxO6wfiV9Oy4UeWyZ1Pzcz9yrl4CaGNHqgVU/edit?gid="&amp;XLOOKUP(B691,ID___!A:A,ID___!B:B,"")&amp;"#gid="&amp;XLOOKUP(B691,ID___!A:A,ID___!B:B,"")&amp;"&amp;range=A1:J1","Click"))</f>
        <v/>
      </c>
      <c r="B691" s="19"/>
      <c r="C691" s="17"/>
      <c r="D691" s="16"/>
      <c r="E691" s="16"/>
      <c r="F691" s="16"/>
      <c r="G691" s="17"/>
    </row>
    <row r="692">
      <c r="A692" s="16" t="str">
        <f t="array" ref="A692">IF(ISBLANK(B692),,HYPERLINK("https://docs.google.com/spreadsheets/d/1HrklyxLdxO6wfiV9Oy4UeWyZ1Pzcz9yrl4CaGNHqgVU/edit?gid="&amp;XLOOKUP(B692,ID___!A:A,ID___!B:B,"")&amp;"#gid="&amp;XLOOKUP(B692,ID___!A:A,ID___!B:B,"")&amp;"&amp;range=A1:J1","Click"))</f>
        <v/>
      </c>
      <c r="B692" s="19"/>
      <c r="C692" s="17"/>
      <c r="D692" s="16"/>
      <c r="E692" s="16"/>
      <c r="F692" s="16"/>
      <c r="G692" s="17"/>
    </row>
    <row r="693">
      <c r="A693" s="16" t="str">
        <f t="array" ref="A693">IF(ISBLANK(B693),,HYPERLINK("https://docs.google.com/spreadsheets/d/1HrklyxLdxO6wfiV9Oy4UeWyZ1Pzcz9yrl4CaGNHqgVU/edit?gid="&amp;XLOOKUP(B693,ID___!A:A,ID___!B:B,"")&amp;"#gid="&amp;XLOOKUP(B693,ID___!A:A,ID___!B:B,"")&amp;"&amp;range=A1:J1","Click"))</f>
        <v/>
      </c>
      <c r="B693" s="19"/>
      <c r="C693" s="17"/>
      <c r="D693" s="16"/>
      <c r="E693" s="16"/>
      <c r="F693" s="16"/>
      <c r="G693" s="17"/>
    </row>
    <row r="694">
      <c r="A694" s="16" t="str">
        <f t="array" ref="A694">IF(ISBLANK(B694),,HYPERLINK("https://docs.google.com/spreadsheets/d/1HrklyxLdxO6wfiV9Oy4UeWyZ1Pzcz9yrl4CaGNHqgVU/edit?gid="&amp;XLOOKUP(B694,ID___!A:A,ID___!B:B,"")&amp;"#gid="&amp;XLOOKUP(B694,ID___!A:A,ID___!B:B,"")&amp;"&amp;range=A1:J1","Click"))</f>
        <v/>
      </c>
      <c r="B694" s="19"/>
      <c r="C694" s="17"/>
      <c r="D694" s="16"/>
      <c r="E694" s="16"/>
      <c r="F694" s="16"/>
      <c r="G694" s="17"/>
    </row>
    <row r="695">
      <c r="A695" s="16" t="str">
        <f t="array" ref="A695">IF(ISBLANK(B695),,HYPERLINK("https://docs.google.com/spreadsheets/d/1HrklyxLdxO6wfiV9Oy4UeWyZ1Pzcz9yrl4CaGNHqgVU/edit?gid="&amp;XLOOKUP(B695,ID___!A:A,ID___!B:B,"")&amp;"#gid="&amp;XLOOKUP(B695,ID___!A:A,ID___!B:B,"")&amp;"&amp;range=A1:J1","Click"))</f>
        <v/>
      </c>
      <c r="B695" s="19"/>
      <c r="C695" s="17"/>
      <c r="D695" s="16"/>
      <c r="E695" s="16"/>
      <c r="F695" s="16"/>
      <c r="G695" s="17"/>
    </row>
    <row r="696">
      <c r="A696" s="16" t="str">
        <f t="array" ref="A696">IF(ISBLANK(B696),,HYPERLINK("https://docs.google.com/spreadsheets/d/1HrklyxLdxO6wfiV9Oy4UeWyZ1Pzcz9yrl4CaGNHqgVU/edit?gid="&amp;XLOOKUP(B696,ID___!A:A,ID___!B:B,"")&amp;"#gid="&amp;XLOOKUP(B696,ID___!A:A,ID___!B:B,"")&amp;"&amp;range=A1:J1","Click"))</f>
        <v/>
      </c>
      <c r="B696" s="19"/>
      <c r="C696" s="17"/>
      <c r="D696" s="16"/>
      <c r="E696" s="16"/>
      <c r="F696" s="16"/>
      <c r="G696" s="17"/>
    </row>
    <row r="697">
      <c r="A697" s="16" t="str">
        <f t="array" ref="A697">IF(ISBLANK(B697),,HYPERLINK("https://docs.google.com/spreadsheets/d/1HrklyxLdxO6wfiV9Oy4UeWyZ1Pzcz9yrl4CaGNHqgVU/edit?gid="&amp;XLOOKUP(B697,ID___!A:A,ID___!B:B,"")&amp;"#gid="&amp;XLOOKUP(B697,ID___!A:A,ID___!B:B,"")&amp;"&amp;range=A1:J1","Click"))</f>
        <v/>
      </c>
      <c r="B697" s="19"/>
      <c r="C697" s="17"/>
      <c r="D697" s="16"/>
      <c r="E697" s="16"/>
      <c r="F697" s="16"/>
      <c r="G697" s="17"/>
    </row>
    <row r="698">
      <c r="A698" s="16" t="str">
        <f t="array" ref="A698">IF(ISBLANK(B698),,HYPERLINK("https://docs.google.com/spreadsheets/d/1HrklyxLdxO6wfiV9Oy4UeWyZ1Pzcz9yrl4CaGNHqgVU/edit?gid="&amp;XLOOKUP(B698,ID___!A:A,ID___!B:B,"")&amp;"#gid="&amp;XLOOKUP(B698,ID___!A:A,ID___!B:B,"")&amp;"&amp;range=A1:J1","Click"))</f>
        <v/>
      </c>
      <c r="B698" s="19"/>
      <c r="C698" s="17"/>
      <c r="D698" s="16"/>
      <c r="E698" s="16"/>
      <c r="F698" s="16"/>
      <c r="G698" s="17"/>
    </row>
    <row r="699">
      <c r="A699" s="16" t="str">
        <f t="array" ref="A699">IF(ISBLANK(B699),,HYPERLINK("https://docs.google.com/spreadsheets/d/1HrklyxLdxO6wfiV9Oy4UeWyZ1Pzcz9yrl4CaGNHqgVU/edit?gid="&amp;XLOOKUP(B699,ID___!A:A,ID___!B:B,"")&amp;"#gid="&amp;XLOOKUP(B699,ID___!A:A,ID___!B:B,"")&amp;"&amp;range=A1:J1","Click"))</f>
        <v/>
      </c>
      <c r="B699" s="19"/>
      <c r="C699" s="17"/>
      <c r="D699" s="16"/>
      <c r="E699" s="16"/>
      <c r="F699" s="16"/>
      <c r="G699" s="17"/>
    </row>
    <row r="700">
      <c r="A700" s="16" t="str">
        <f t="array" ref="A700">IF(ISBLANK(B700),,HYPERLINK("https://docs.google.com/spreadsheets/d/1HrklyxLdxO6wfiV9Oy4UeWyZ1Pzcz9yrl4CaGNHqgVU/edit?gid="&amp;XLOOKUP(B700,ID___!A:A,ID___!B:B,"")&amp;"#gid="&amp;XLOOKUP(B700,ID___!A:A,ID___!B:B,"")&amp;"&amp;range=A1:J1","Click"))</f>
        <v/>
      </c>
      <c r="B700" s="19"/>
      <c r="C700" s="17"/>
      <c r="D700" s="16"/>
      <c r="E700" s="16"/>
      <c r="F700" s="16"/>
      <c r="G700" s="17"/>
    </row>
    <row r="701">
      <c r="A701" s="16" t="str">
        <f t="array" ref="A701">IF(ISBLANK(B701),,HYPERLINK("https://docs.google.com/spreadsheets/d/1HrklyxLdxO6wfiV9Oy4UeWyZ1Pzcz9yrl4CaGNHqgVU/edit?gid="&amp;XLOOKUP(B701,ID___!A:A,ID___!B:B,"")&amp;"#gid="&amp;XLOOKUP(B701,ID___!A:A,ID___!B:B,"")&amp;"&amp;range=A1:J1","Click"))</f>
        <v/>
      </c>
      <c r="B701" s="19"/>
      <c r="C701" s="17"/>
      <c r="D701" s="16"/>
      <c r="E701" s="16"/>
      <c r="F701" s="16"/>
      <c r="G701" s="17"/>
    </row>
    <row r="702">
      <c r="A702" s="16" t="str">
        <f t="array" ref="A702">IF(ISBLANK(B702),,HYPERLINK("https://docs.google.com/spreadsheets/d/1HrklyxLdxO6wfiV9Oy4UeWyZ1Pzcz9yrl4CaGNHqgVU/edit?gid="&amp;XLOOKUP(B702,ID___!A:A,ID___!B:B,"")&amp;"#gid="&amp;XLOOKUP(B702,ID___!A:A,ID___!B:B,"")&amp;"&amp;range=A1:J1","Click"))</f>
        <v/>
      </c>
      <c r="B702" s="19"/>
      <c r="C702" s="17"/>
      <c r="D702" s="16"/>
      <c r="E702" s="16"/>
      <c r="F702" s="16"/>
      <c r="G702" s="17"/>
    </row>
    <row r="703">
      <c r="A703" s="16" t="str">
        <f t="array" ref="A703">IF(ISBLANK(B703),,HYPERLINK("https://docs.google.com/spreadsheets/d/1HrklyxLdxO6wfiV9Oy4UeWyZ1Pzcz9yrl4CaGNHqgVU/edit?gid="&amp;XLOOKUP(B703,ID___!A:A,ID___!B:B,"")&amp;"#gid="&amp;XLOOKUP(B703,ID___!A:A,ID___!B:B,"")&amp;"&amp;range=A1:J1","Click"))</f>
        <v/>
      </c>
      <c r="B703" s="19"/>
      <c r="C703" s="17"/>
      <c r="D703" s="16"/>
      <c r="E703" s="16"/>
      <c r="F703" s="16"/>
      <c r="G703" s="17"/>
    </row>
    <row r="704">
      <c r="A704" s="16" t="str">
        <f t="array" ref="A704">IF(ISBLANK(B704),,HYPERLINK("https://docs.google.com/spreadsheets/d/1HrklyxLdxO6wfiV9Oy4UeWyZ1Pzcz9yrl4CaGNHqgVU/edit?gid="&amp;XLOOKUP(B704,ID___!A:A,ID___!B:B,"")&amp;"#gid="&amp;XLOOKUP(B704,ID___!A:A,ID___!B:B,"")&amp;"&amp;range=A1:J1","Click"))</f>
        <v/>
      </c>
      <c r="B704" s="19"/>
      <c r="C704" s="17"/>
      <c r="D704" s="16"/>
      <c r="E704" s="16"/>
      <c r="F704" s="16"/>
      <c r="G704" s="17"/>
    </row>
    <row r="705">
      <c r="A705" s="16" t="str">
        <f t="array" ref="A705">IF(ISBLANK(B705),,HYPERLINK("https://docs.google.com/spreadsheets/d/1HrklyxLdxO6wfiV9Oy4UeWyZ1Pzcz9yrl4CaGNHqgVU/edit?gid="&amp;XLOOKUP(B705,ID___!A:A,ID___!B:B,"")&amp;"#gid="&amp;XLOOKUP(B705,ID___!A:A,ID___!B:B,"")&amp;"&amp;range=A1:J1","Click"))</f>
        <v/>
      </c>
      <c r="B705" s="19"/>
      <c r="C705" s="17"/>
      <c r="D705" s="16"/>
      <c r="E705" s="16"/>
      <c r="F705" s="16"/>
      <c r="G705" s="17"/>
    </row>
    <row r="706">
      <c r="A706" s="16" t="str">
        <f t="array" ref="A706">IF(ISBLANK(B706),,HYPERLINK("https://docs.google.com/spreadsheets/d/1HrklyxLdxO6wfiV9Oy4UeWyZ1Pzcz9yrl4CaGNHqgVU/edit?gid="&amp;XLOOKUP(B706,ID___!A:A,ID___!B:B,"")&amp;"#gid="&amp;XLOOKUP(B706,ID___!A:A,ID___!B:B,"")&amp;"&amp;range=A1:J1","Click"))</f>
        <v/>
      </c>
      <c r="B706" s="19"/>
      <c r="C706" s="17"/>
      <c r="D706" s="16"/>
      <c r="E706" s="16"/>
      <c r="F706" s="16"/>
      <c r="G706" s="17"/>
    </row>
    <row r="707">
      <c r="A707" s="16" t="str">
        <f t="array" ref="A707">IF(ISBLANK(B707),,HYPERLINK("https://docs.google.com/spreadsheets/d/1HrklyxLdxO6wfiV9Oy4UeWyZ1Pzcz9yrl4CaGNHqgVU/edit?gid="&amp;XLOOKUP(B707,ID___!A:A,ID___!B:B,"")&amp;"#gid="&amp;XLOOKUP(B707,ID___!A:A,ID___!B:B,"")&amp;"&amp;range=A1:J1","Click"))</f>
        <v/>
      </c>
      <c r="B707" s="19"/>
      <c r="C707" s="17"/>
      <c r="D707" s="16"/>
      <c r="E707" s="16"/>
      <c r="F707" s="16"/>
      <c r="G707" s="17"/>
    </row>
    <row r="708">
      <c r="A708" s="16" t="str">
        <f t="array" ref="A708">IF(ISBLANK(B708),,HYPERLINK("https://docs.google.com/spreadsheets/d/1HrklyxLdxO6wfiV9Oy4UeWyZ1Pzcz9yrl4CaGNHqgVU/edit?gid="&amp;XLOOKUP(B708,ID___!A:A,ID___!B:B,"")&amp;"#gid="&amp;XLOOKUP(B708,ID___!A:A,ID___!B:B,"")&amp;"&amp;range=A1:J1","Click"))</f>
        <v/>
      </c>
      <c r="B708" s="19"/>
      <c r="C708" s="17"/>
      <c r="D708" s="16"/>
      <c r="E708" s="16"/>
      <c r="F708" s="16"/>
      <c r="G708" s="17"/>
    </row>
    <row r="709">
      <c r="A709" s="16" t="str">
        <f t="array" ref="A709">IF(ISBLANK(B709),,HYPERLINK("https://docs.google.com/spreadsheets/d/1HrklyxLdxO6wfiV9Oy4UeWyZ1Pzcz9yrl4CaGNHqgVU/edit?gid="&amp;XLOOKUP(B709,ID___!A:A,ID___!B:B,"")&amp;"#gid="&amp;XLOOKUP(B709,ID___!A:A,ID___!B:B,"")&amp;"&amp;range=A1:J1","Click"))</f>
        <v/>
      </c>
      <c r="B709" s="19"/>
      <c r="C709" s="17"/>
      <c r="D709" s="16"/>
      <c r="E709" s="16"/>
      <c r="F709" s="16"/>
      <c r="G709" s="17"/>
    </row>
    <row r="710">
      <c r="A710" s="16" t="str">
        <f t="array" ref="A710">IF(ISBLANK(B710),,HYPERLINK("https://docs.google.com/spreadsheets/d/1HrklyxLdxO6wfiV9Oy4UeWyZ1Pzcz9yrl4CaGNHqgVU/edit?gid="&amp;XLOOKUP(B710,ID___!A:A,ID___!B:B,"")&amp;"#gid="&amp;XLOOKUP(B710,ID___!A:A,ID___!B:B,"")&amp;"&amp;range=A1:J1","Click"))</f>
        <v/>
      </c>
      <c r="B710" s="19"/>
      <c r="C710" s="17"/>
      <c r="D710" s="16"/>
      <c r="E710" s="16"/>
      <c r="F710" s="16"/>
      <c r="G710" s="17"/>
    </row>
    <row r="711">
      <c r="A711" s="16" t="str">
        <f t="array" ref="A711">IF(ISBLANK(B711),,HYPERLINK("https://docs.google.com/spreadsheets/d/1HrklyxLdxO6wfiV9Oy4UeWyZ1Pzcz9yrl4CaGNHqgVU/edit?gid="&amp;XLOOKUP(B711,ID___!A:A,ID___!B:B,"")&amp;"#gid="&amp;XLOOKUP(B711,ID___!A:A,ID___!B:B,"")&amp;"&amp;range=A1:J1","Click"))</f>
        <v/>
      </c>
      <c r="B711" s="19"/>
      <c r="C711" s="17"/>
      <c r="D711" s="16"/>
      <c r="E711" s="16"/>
      <c r="F711" s="16"/>
      <c r="G711" s="17"/>
    </row>
    <row r="712">
      <c r="A712" s="16" t="str">
        <f t="array" ref="A712">IF(ISBLANK(B712),,HYPERLINK("https://docs.google.com/spreadsheets/d/1HrklyxLdxO6wfiV9Oy4UeWyZ1Pzcz9yrl4CaGNHqgVU/edit?gid="&amp;XLOOKUP(B712,ID___!A:A,ID___!B:B,"")&amp;"#gid="&amp;XLOOKUP(B712,ID___!A:A,ID___!B:B,"")&amp;"&amp;range=A1:J1","Click"))</f>
        <v/>
      </c>
      <c r="B712" s="19"/>
      <c r="C712" s="17"/>
      <c r="D712" s="16"/>
      <c r="E712" s="16"/>
      <c r="F712" s="16"/>
      <c r="G712" s="17"/>
    </row>
    <row r="713">
      <c r="A713" s="16" t="str">
        <f t="array" ref="A713">IF(ISBLANK(B713),,HYPERLINK("https://docs.google.com/spreadsheets/d/1HrklyxLdxO6wfiV9Oy4UeWyZ1Pzcz9yrl4CaGNHqgVU/edit?gid="&amp;XLOOKUP(B713,ID___!A:A,ID___!B:B,"")&amp;"#gid="&amp;XLOOKUP(B713,ID___!A:A,ID___!B:B,"")&amp;"&amp;range=A1:J1","Click"))</f>
        <v/>
      </c>
      <c r="B713" s="19"/>
      <c r="C713" s="17"/>
      <c r="D713" s="16"/>
      <c r="E713" s="16"/>
      <c r="F713" s="16"/>
      <c r="G713" s="17"/>
    </row>
    <row r="714">
      <c r="A714" s="16" t="str">
        <f t="array" ref="A714">IF(ISBLANK(B714),,HYPERLINK("https://docs.google.com/spreadsheets/d/1HrklyxLdxO6wfiV9Oy4UeWyZ1Pzcz9yrl4CaGNHqgVU/edit?gid="&amp;XLOOKUP(B714,ID___!A:A,ID___!B:B,"")&amp;"#gid="&amp;XLOOKUP(B714,ID___!A:A,ID___!B:B,"")&amp;"&amp;range=A1:J1","Click"))</f>
        <v/>
      </c>
      <c r="B714" s="19"/>
      <c r="C714" s="17"/>
      <c r="D714" s="16"/>
      <c r="E714" s="16"/>
      <c r="F714" s="16"/>
      <c r="G714" s="17"/>
    </row>
    <row r="715">
      <c r="A715" s="16" t="str">
        <f t="array" ref="A715">IF(ISBLANK(B715),,HYPERLINK("https://docs.google.com/spreadsheets/d/1HrklyxLdxO6wfiV9Oy4UeWyZ1Pzcz9yrl4CaGNHqgVU/edit?gid="&amp;XLOOKUP(B715,ID___!A:A,ID___!B:B,"")&amp;"#gid="&amp;XLOOKUP(B715,ID___!A:A,ID___!B:B,"")&amp;"&amp;range=A1:J1","Click"))</f>
        <v/>
      </c>
      <c r="B715" s="19"/>
      <c r="C715" s="17"/>
      <c r="D715" s="16"/>
      <c r="E715" s="16"/>
      <c r="F715" s="16"/>
      <c r="G715" s="17"/>
    </row>
    <row r="716">
      <c r="A716" s="16" t="str">
        <f t="array" ref="A716">IF(ISBLANK(B716),,HYPERLINK("https://docs.google.com/spreadsheets/d/1HrklyxLdxO6wfiV9Oy4UeWyZ1Pzcz9yrl4CaGNHqgVU/edit?gid="&amp;XLOOKUP(B716,ID___!A:A,ID___!B:B,"")&amp;"#gid="&amp;XLOOKUP(B716,ID___!A:A,ID___!B:B,"")&amp;"&amp;range=A1:J1","Click"))</f>
        <v/>
      </c>
      <c r="B716" s="19"/>
      <c r="C716" s="17"/>
      <c r="D716" s="16"/>
      <c r="E716" s="16"/>
      <c r="F716" s="16"/>
      <c r="G716" s="17"/>
    </row>
    <row r="717">
      <c r="A717" s="16" t="str">
        <f t="array" ref="A717">IF(ISBLANK(B717),,HYPERLINK("https://docs.google.com/spreadsheets/d/1HrklyxLdxO6wfiV9Oy4UeWyZ1Pzcz9yrl4CaGNHqgVU/edit?gid="&amp;XLOOKUP(B717,ID___!A:A,ID___!B:B,"")&amp;"#gid="&amp;XLOOKUP(B717,ID___!A:A,ID___!B:B,"")&amp;"&amp;range=A1:J1","Click"))</f>
        <v/>
      </c>
      <c r="B717" s="19"/>
      <c r="C717" s="17"/>
      <c r="D717" s="16"/>
      <c r="E717" s="16"/>
      <c r="F717" s="16"/>
      <c r="G717" s="17"/>
    </row>
    <row r="718">
      <c r="A718" s="16" t="str">
        <f t="array" ref="A718">IF(ISBLANK(B718),,HYPERLINK("https://docs.google.com/spreadsheets/d/1HrklyxLdxO6wfiV9Oy4UeWyZ1Pzcz9yrl4CaGNHqgVU/edit?gid="&amp;XLOOKUP(B718,ID___!A:A,ID___!B:B,"")&amp;"#gid="&amp;XLOOKUP(B718,ID___!A:A,ID___!B:B,"")&amp;"&amp;range=A1:J1","Click"))</f>
        <v/>
      </c>
      <c r="B718" s="19"/>
      <c r="C718" s="17"/>
      <c r="D718" s="16"/>
      <c r="E718" s="16"/>
      <c r="F718" s="16"/>
      <c r="G718" s="17"/>
    </row>
    <row r="719">
      <c r="A719" s="16" t="str">
        <f t="array" ref="A719">IF(ISBLANK(B719),,HYPERLINK("https://docs.google.com/spreadsheets/d/1HrklyxLdxO6wfiV9Oy4UeWyZ1Pzcz9yrl4CaGNHqgVU/edit?gid="&amp;XLOOKUP(B719,ID___!A:A,ID___!B:B,"")&amp;"#gid="&amp;XLOOKUP(B719,ID___!A:A,ID___!B:B,"")&amp;"&amp;range=A1:J1","Click"))</f>
        <v/>
      </c>
      <c r="B719" s="19"/>
      <c r="C719" s="17"/>
      <c r="D719" s="16"/>
      <c r="E719" s="16"/>
      <c r="F719" s="16"/>
      <c r="G719" s="17"/>
    </row>
    <row r="720">
      <c r="A720" s="16" t="str">
        <f t="array" ref="A720">IF(ISBLANK(B720),,HYPERLINK("https://docs.google.com/spreadsheets/d/1HrklyxLdxO6wfiV9Oy4UeWyZ1Pzcz9yrl4CaGNHqgVU/edit?gid="&amp;XLOOKUP(B720,ID___!A:A,ID___!B:B,"")&amp;"#gid="&amp;XLOOKUP(B720,ID___!A:A,ID___!B:B,"")&amp;"&amp;range=A1:J1","Click"))</f>
        <v/>
      </c>
      <c r="B720" s="19"/>
      <c r="C720" s="17"/>
      <c r="D720" s="16"/>
      <c r="E720" s="16"/>
      <c r="F720" s="16"/>
      <c r="G720" s="17"/>
    </row>
    <row r="721">
      <c r="A721" s="16" t="str">
        <f t="array" ref="A721">IF(ISBLANK(B721),,HYPERLINK("https://docs.google.com/spreadsheets/d/1HrklyxLdxO6wfiV9Oy4UeWyZ1Pzcz9yrl4CaGNHqgVU/edit?gid="&amp;XLOOKUP(B721,ID___!A:A,ID___!B:B,"")&amp;"#gid="&amp;XLOOKUP(B721,ID___!A:A,ID___!B:B,"")&amp;"&amp;range=A1:J1","Click"))</f>
        <v/>
      </c>
      <c r="B721" s="19"/>
      <c r="C721" s="17"/>
      <c r="D721" s="16"/>
      <c r="E721" s="16"/>
      <c r="F721" s="16"/>
      <c r="G721" s="17"/>
    </row>
    <row r="722">
      <c r="A722" s="16" t="str">
        <f t="array" ref="A722">IF(ISBLANK(B722),,HYPERLINK("https://docs.google.com/spreadsheets/d/1HrklyxLdxO6wfiV9Oy4UeWyZ1Pzcz9yrl4CaGNHqgVU/edit?gid="&amp;XLOOKUP(B722,ID___!A:A,ID___!B:B,"")&amp;"#gid="&amp;XLOOKUP(B722,ID___!A:A,ID___!B:B,"")&amp;"&amp;range=A1:J1","Click"))</f>
        <v/>
      </c>
      <c r="B722" s="19"/>
      <c r="C722" s="17"/>
      <c r="D722" s="16"/>
      <c r="E722" s="16"/>
      <c r="F722" s="16"/>
      <c r="G722" s="17"/>
    </row>
    <row r="723">
      <c r="A723" s="16" t="str">
        <f t="array" ref="A723">IF(ISBLANK(B723),,HYPERLINK("https://docs.google.com/spreadsheets/d/1HrklyxLdxO6wfiV9Oy4UeWyZ1Pzcz9yrl4CaGNHqgVU/edit?gid="&amp;XLOOKUP(B723,ID___!A:A,ID___!B:B,"")&amp;"#gid="&amp;XLOOKUP(B723,ID___!A:A,ID___!B:B,"")&amp;"&amp;range=A1:J1","Click"))</f>
        <v/>
      </c>
      <c r="B723" s="19"/>
      <c r="C723" s="17"/>
      <c r="D723" s="16"/>
      <c r="E723" s="16"/>
      <c r="F723" s="16"/>
      <c r="G723" s="17"/>
    </row>
    <row r="724">
      <c r="A724" s="16" t="str">
        <f t="array" ref="A724">IF(ISBLANK(B724),,HYPERLINK("https://docs.google.com/spreadsheets/d/1HrklyxLdxO6wfiV9Oy4UeWyZ1Pzcz9yrl4CaGNHqgVU/edit?gid="&amp;XLOOKUP(B724,ID___!A:A,ID___!B:B,"")&amp;"#gid="&amp;XLOOKUP(B724,ID___!A:A,ID___!B:B,"")&amp;"&amp;range=A1:J1","Click"))</f>
        <v/>
      </c>
      <c r="B724" s="19"/>
      <c r="C724" s="17"/>
      <c r="D724" s="16"/>
      <c r="E724" s="16"/>
      <c r="F724" s="16"/>
      <c r="G724" s="17"/>
    </row>
    <row r="725">
      <c r="A725" s="16" t="str">
        <f t="array" ref="A725">IF(ISBLANK(B725),,HYPERLINK("https://docs.google.com/spreadsheets/d/1HrklyxLdxO6wfiV9Oy4UeWyZ1Pzcz9yrl4CaGNHqgVU/edit?gid="&amp;XLOOKUP(B725,ID___!A:A,ID___!B:B,"")&amp;"#gid="&amp;XLOOKUP(B725,ID___!A:A,ID___!B:B,"")&amp;"&amp;range=A1:J1","Click"))</f>
        <v/>
      </c>
      <c r="B725" s="19"/>
      <c r="C725" s="17"/>
      <c r="D725" s="16"/>
      <c r="E725" s="16"/>
      <c r="F725" s="16"/>
      <c r="G725" s="17"/>
    </row>
    <row r="726">
      <c r="A726" s="16" t="str">
        <f t="array" ref="A726">IF(ISBLANK(B726),,HYPERLINK("https://docs.google.com/spreadsheets/d/1HrklyxLdxO6wfiV9Oy4UeWyZ1Pzcz9yrl4CaGNHqgVU/edit?gid="&amp;XLOOKUP(B726,ID___!A:A,ID___!B:B,"")&amp;"#gid="&amp;XLOOKUP(B726,ID___!A:A,ID___!B:B,"")&amp;"&amp;range=A1:J1","Click"))</f>
        <v/>
      </c>
      <c r="B726" s="19"/>
      <c r="C726" s="17"/>
      <c r="D726" s="16"/>
      <c r="E726" s="16"/>
      <c r="F726" s="16"/>
      <c r="G726" s="17"/>
    </row>
    <row r="727">
      <c r="A727" s="16" t="str">
        <f t="array" ref="A727">IF(ISBLANK(B727),,HYPERLINK("https://docs.google.com/spreadsheets/d/1HrklyxLdxO6wfiV9Oy4UeWyZ1Pzcz9yrl4CaGNHqgVU/edit?gid="&amp;XLOOKUP(B727,ID___!A:A,ID___!B:B,"")&amp;"#gid="&amp;XLOOKUP(B727,ID___!A:A,ID___!B:B,"")&amp;"&amp;range=A1:J1","Click"))</f>
        <v/>
      </c>
      <c r="B727" s="19"/>
      <c r="C727" s="17"/>
      <c r="D727" s="16"/>
      <c r="E727" s="16"/>
      <c r="F727" s="16"/>
      <c r="G727" s="17"/>
    </row>
    <row r="728">
      <c r="A728" s="16" t="str">
        <f t="array" ref="A728">IF(ISBLANK(B728),,HYPERLINK("https://docs.google.com/spreadsheets/d/1HrklyxLdxO6wfiV9Oy4UeWyZ1Pzcz9yrl4CaGNHqgVU/edit?gid="&amp;XLOOKUP(B728,ID___!A:A,ID___!B:B,"")&amp;"#gid="&amp;XLOOKUP(B728,ID___!A:A,ID___!B:B,"")&amp;"&amp;range=A1:J1","Click"))</f>
        <v/>
      </c>
      <c r="B728" s="19"/>
      <c r="C728" s="17"/>
      <c r="D728" s="16"/>
      <c r="E728" s="16"/>
      <c r="F728" s="16"/>
      <c r="G728" s="17"/>
    </row>
    <row r="729">
      <c r="A729" s="16" t="str">
        <f t="array" ref="A729">IF(ISBLANK(B729),,HYPERLINK("https://docs.google.com/spreadsheets/d/1HrklyxLdxO6wfiV9Oy4UeWyZ1Pzcz9yrl4CaGNHqgVU/edit?gid="&amp;XLOOKUP(B729,ID___!A:A,ID___!B:B,"")&amp;"#gid="&amp;XLOOKUP(B729,ID___!A:A,ID___!B:B,"")&amp;"&amp;range=A1:J1","Click"))</f>
        <v/>
      </c>
      <c r="B729" s="19"/>
      <c r="C729" s="17"/>
      <c r="D729" s="16"/>
      <c r="E729" s="16"/>
      <c r="F729" s="16"/>
      <c r="G729" s="17"/>
    </row>
    <row r="730">
      <c r="A730" s="16" t="str">
        <f t="array" ref="A730">IF(ISBLANK(B730),,HYPERLINK("https://docs.google.com/spreadsheets/d/1HrklyxLdxO6wfiV9Oy4UeWyZ1Pzcz9yrl4CaGNHqgVU/edit?gid="&amp;XLOOKUP(B730,ID___!A:A,ID___!B:B,"")&amp;"#gid="&amp;XLOOKUP(B730,ID___!A:A,ID___!B:B,"")&amp;"&amp;range=A1:J1","Click"))</f>
        <v/>
      </c>
      <c r="B730" s="19"/>
      <c r="C730" s="17"/>
      <c r="D730" s="16"/>
      <c r="E730" s="16"/>
      <c r="F730" s="16"/>
      <c r="G730" s="17"/>
    </row>
    <row r="731">
      <c r="A731" s="16" t="str">
        <f t="array" ref="A731">IF(ISBLANK(B731),,HYPERLINK("https://docs.google.com/spreadsheets/d/1HrklyxLdxO6wfiV9Oy4UeWyZ1Pzcz9yrl4CaGNHqgVU/edit?gid="&amp;XLOOKUP(B731,ID___!A:A,ID___!B:B,"")&amp;"#gid="&amp;XLOOKUP(B731,ID___!A:A,ID___!B:B,"")&amp;"&amp;range=A1:J1","Click"))</f>
        <v/>
      </c>
      <c r="B731" s="19"/>
      <c r="C731" s="17"/>
      <c r="D731" s="16"/>
      <c r="E731" s="16"/>
      <c r="F731" s="16"/>
      <c r="G731" s="17"/>
    </row>
    <row r="732">
      <c r="A732" s="16" t="str">
        <f t="array" ref="A732">IF(ISBLANK(B732),,HYPERLINK("https://docs.google.com/spreadsheets/d/1HrklyxLdxO6wfiV9Oy4UeWyZ1Pzcz9yrl4CaGNHqgVU/edit?gid="&amp;XLOOKUP(B732,ID___!A:A,ID___!B:B,"")&amp;"#gid="&amp;XLOOKUP(B732,ID___!A:A,ID___!B:B,"")&amp;"&amp;range=A1:J1","Click"))</f>
        <v/>
      </c>
      <c r="B732" s="19"/>
      <c r="C732" s="17"/>
      <c r="D732" s="16"/>
      <c r="E732" s="16"/>
      <c r="F732" s="16"/>
      <c r="G732" s="1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63"/>
    <col customWidth="1" min="2" max="3" width="7.75"/>
    <col customWidth="1" hidden="1" min="4" max="4" width="7.75"/>
    <col customWidth="1" min="5" max="5" width="26.63"/>
    <col customWidth="1" min="6" max="7" width="6.25"/>
    <col customWidth="1" hidden="1" min="8" max="8" width="6.25"/>
    <col customWidth="1" min="9" max="9" width="49.0"/>
  </cols>
  <sheetData>
    <row r="1">
      <c r="A1" s="21"/>
      <c r="B1" s="22" t="s">
        <v>13</v>
      </c>
      <c r="F1" s="23" t="s">
        <v>14</v>
      </c>
    </row>
    <row r="2">
      <c r="A2" s="24" t="str">
        <f>IFERROR(__xludf.DUMMYFUNCTION("IMPORTRANGE(""https://docs.google.com/spreadsheets/d/1SuEMkbHknElA7RJfCzr-w8vM-qm1KDf2hFbF_KtAGgY/edit#gid=405217023"",""Coordination_""&amp;Links!A2&amp;""!A:I"")"),"Course")</f>
        <v>Course</v>
      </c>
      <c r="B2" s="25" t="str">
        <f>IFERROR(__xludf.DUMMYFUNCTION("""COMPUTED_VALUE"""),"Theory 1")</f>
        <v>Theory 1</v>
      </c>
      <c r="C2" s="25" t="str">
        <f>IFERROR(__xludf.DUMMYFUNCTION("""COMPUTED_VALUE"""),"Theory 2")</f>
        <v>Theory 2</v>
      </c>
      <c r="D2" s="25" t="str">
        <f>IFERROR(__xludf.DUMMYFUNCTION("""COMPUTED_VALUE"""),"Theory 3")</f>
        <v>Theory 3</v>
      </c>
      <c r="E2" s="26" t="str">
        <f>IFERROR(__xludf.DUMMYFUNCTION("""COMPUTED_VALUE"""),"Theory Email")</f>
        <v>Theory Email</v>
      </c>
      <c r="F2" s="27" t="str">
        <f>IFERROR(__xludf.DUMMYFUNCTION("""COMPUTED_VALUE"""),"Lab 1")</f>
        <v>Lab 1</v>
      </c>
      <c r="G2" s="27" t="str">
        <f>IFERROR(__xludf.DUMMYFUNCTION("""COMPUTED_VALUE"""),"Lab 2")</f>
        <v>Lab 2</v>
      </c>
      <c r="H2" s="27" t="str">
        <f>IFERROR(__xludf.DUMMYFUNCTION("""COMPUTED_VALUE"""),"Lab 3")</f>
        <v>Lab 3</v>
      </c>
      <c r="I2" s="28" t="str">
        <f>IFERROR(__xludf.DUMMYFUNCTION("""COMPUTED_VALUE"""),"Lab Email")</f>
        <v>Lab Email</v>
      </c>
    </row>
    <row r="3">
      <c r="A3" s="29" t="str">
        <f>IFERROR(__xludf.DUMMYFUNCTION("""COMPUTED_VALUE"""),"CSE101")</f>
        <v>CSE101</v>
      </c>
      <c r="B3" s="30" t="str">
        <f>IFERROR(__xludf.DUMMYFUNCTION("""COMPUTED_VALUE"""),"RBR")</f>
        <v>RBR</v>
      </c>
      <c r="C3" s="30"/>
      <c r="D3" s="30"/>
      <c r="E3" s="31" t="str">
        <f>IFERROR(__xludf.DUMMYFUNCTION("""COMPUTED_VALUE"""),"rakin.rabbani@bracu.ac.bd")</f>
        <v>rakin.rabbani@bracu.ac.bd</v>
      </c>
      <c r="F3" s="32" t="str">
        <f>IFERROR(__xludf.DUMMYFUNCTION("""COMPUTED_VALUE"""),"RBR")</f>
        <v>RBR</v>
      </c>
      <c r="G3" s="32"/>
      <c r="H3" s="32"/>
      <c r="I3" s="33" t="str">
        <f>IFERROR(__xludf.DUMMYFUNCTION("""COMPUTED_VALUE"""),"rakin.rabbani@bracu.ac.bd")</f>
        <v>rakin.rabbani@bracu.ac.bd</v>
      </c>
    </row>
    <row r="4">
      <c r="A4" s="34" t="str">
        <f>IFERROR(__xludf.DUMMYFUNCTION("""COMPUTED_VALUE"""),"CSE103")</f>
        <v>CSE103</v>
      </c>
      <c r="B4" s="35"/>
      <c r="C4" s="35"/>
      <c r="D4" s="35"/>
      <c r="E4" s="36" t="str">
        <f>IFERROR(__xludf.DUMMYFUNCTION("""COMPUTED_VALUE"""),"")</f>
        <v/>
      </c>
      <c r="F4" s="37" t="str">
        <f>IFERROR(__xludf.DUMMYFUNCTION("""COMPUTED_VALUE"""),"RBR")</f>
        <v>RBR</v>
      </c>
      <c r="G4" s="37"/>
      <c r="H4" s="37"/>
      <c r="I4" s="38" t="str">
        <f>IFERROR(__xludf.DUMMYFUNCTION("""COMPUTED_VALUE"""),"rakin.rabbani@bracu.ac.bd")</f>
        <v>rakin.rabbani@bracu.ac.bd</v>
      </c>
    </row>
    <row r="5">
      <c r="A5" s="29" t="str">
        <f>IFERROR(__xludf.DUMMYFUNCTION("""COMPUTED_VALUE"""),"CSE110")</f>
        <v>CSE110</v>
      </c>
      <c r="B5" s="30" t="str">
        <f>IFERROR(__xludf.DUMMYFUNCTION("""COMPUTED_VALUE"""),"TAW")</f>
        <v>TAW</v>
      </c>
      <c r="C5" s="30"/>
      <c r="D5" s="30"/>
      <c r="E5" s="31" t="str">
        <f>IFERROR(__xludf.DUMMYFUNCTION("""COMPUTED_VALUE"""),"tawhid.anwar@bracu.ac.bd")</f>
        <v>tawhid.anwar@bracu.ac.bd</v>
      </c>
      <c r="F5" s="32" t="str">
        <f>IFERROR(__xludf.DUMMYFUNCTION("""COMPUTED_VALUE"""),"DFD")</f>
        <v>DFD</v>
      </c>
      <c r="G5" s="32" t="str">
        <f>IFERROR(__xludf.DUMMYFUNCTION("""COMPUTED_VALUE"""),"RKBM")</f>
        <v>RKBM</v>
      </c>
      <c r="H5" s="32"/>
      <c r="I5" s="33" t="str">
        <f>IFERROR(__xludf.DUMMYFUNCTION("""COMPUTED_VALUE"""),"fabian.dofadar@bracu.ac.bd,mohammad.rakibul@bracu.ac.bd")</f>
        <v>fabian.dofadar@bracu.ac.bd,mohammad.rakibul@bracu.ac.bd</v>
      </c>
    </row>
    <row r="6">
      <c r="A6" s="34" t="str">
        <f>IFERROR(__xludf.DUMMYFUNCTION("""COMPUTED_VALUE"""),"CSE111")</f>
        <v>CSE111</v>
      </c>
      <c r="B6" s="35" t="str">
        <f>IFERROR(__xludf.DUMMYFUNCTION("""COMPUTED_VALUE"""),"TAW")</f>
        <v>TAW</v>
      </c>
      <c r="C6" s="35"/>
      <c r="D6" s="35"/>
      <c r="E6" s="36" t="str">
        <f>IFERROR(__xludf.DUMMYFUNCTION("""COMPUTED_VALUE"""),"tawhid.anwar@bracu.ac.bd")</f>
        <v>tawhid.anwar@bracu.ac.bd</v>
      </c>
      <c r="F6" s="37" t="str">
        <f>IFERROR(__xludf.DUMMYFUNCTION("""COMPUTED_VALUE"""),"KNI")</f>
        <v>KNI</v>
      </c>
      <c r="G6" s="37" t="str">
        <f>IFERROR(__xludf.DUMMYFUNCTION("""COMPUTED_VALUE"""),"ADU")</f>
        <v>ADU</v>
      </c>
      <c r="H6" s="37"/>
      <c r="I6" s="38" t="str">
        <f>IFERROR(__xludf.DUMMYFUNCTION("""COMPUTED_VALUE"""),"nazia.iqbal@bracu.ac.bd,ahmed.ruhan@bracu.ac.bd")</f>
        <v>nazia.iqbal@bracu.ac.bd,ahmed.ruhan@bracu.ac.bd</v>
      </c>
    </row>
    <row r="7">
      <c r="A7" s="29" t="str">
        <f>IFERROR(__xludf.DUMMYFUNCTION("""COMPUTED_VALUE"""),"CSE220")</f>
        <v>CSE220</v>
      </c>
      <c r="B7" s="30" t="str">
        <f>IFERROR(__xludf.DUMMYFUNCTION("""COMPUTED_VALUE"""),"AIB")</f>
        <v>AIB</v>
      </c>
      <c r="C7" s="30"/>
      <c r="D7" s="30"/>
      <c r="E7" s="31" t="str">
        <f>IFERROR(__xludf.DUMMYFUNCTION("""COMPUTED_VALUE"""),"abu.ibrahim@bracu.ac.bd")</f>
        <v>abu.ibrahim@bracu.ac.bd</v>
      </c>
      <c r="F7" s="32" t="str">
        <f>IFERROR(__xludf.DUMMYFUNCTION("""COMPUTED_VALUE"""),"AIB")</f>
        <v>AIB</v>
      </c>
      <c r="G7" s="32" t="str">
        <f>IFERROR(__xludf.DUMMYFUNCTION("""COMPUTED_VALUE"""),"KKS")</f>
        <v>KKS</v>
      </c>
      <c r="H7" s="32"/>
      <c r="I7" s="33" t="str">
        <f>IFERROR(__xludf.DUMMYFUNCTION("""COMPUTED_VALUE"""),"abu.ibrahim@bracu.ac.bd,md.khaliduzzaman@bracu.ac.bd")</f>
        <v>abu.ibrahim@bracu.ac.bd,md.khaliduzzaman@bracu.ac.bd</v>
      </c>
    </row>
    <row r="8">
      <c r="A8" s="34" t="str">
        <f>IFERROR(__xludf.DUMMYFUNCTION("""COMPUTED_VALUE"""),"CSE221")</f>
        <v>CSE221</v>
      </c>
      <c r="B8" s="35" t="str">
        <f>IFERROR(__xludf.DUMMYFUNCTION("""COMPUTED_VALUE"""),"FGZ")</f>
        <v>FGZ</v>
      </c>
      <c r="C8" s="35" t="str">
        <f>IFERROR(__xludf.DUMMYFUNCTION("""COMPUTED_VALUE"""),"IBA")</f>
        <v>IBA</v>
      </c>
      <c r="D8" s="35"/>
      <c r="E8" s="36" t="str">
        <f>IFERROR(__xludf.DUMMYFUNCTION("""COMPUTED_VALUE"""),"fakhruddin.gazzali@bracu.ac.bd,imran.azad@bracu.ac.bd")</f>
        <v>fakhruddin.gazzali@bracu.ac.bd,imran.azad@bracu.ac.bd</v>
      </c>
      <c r="F8" s="37" t="str">
        <f>IFERROR(__xludf.DUMMYFUNCTION("""COMPUTED_VALUE"""),"KKP")</f>
        <v>KKP</v>
      </c>
      <c r="G8" s="37"/>
      <c r="H8" s="37"/>
      <c r="I8" s="38" t="str">
        <f>IFERROR(__xludf.DUMMYFUNCTION("""COMPUTED_VALUE"""),"kabbya.kantam@bracu.ac.bd")</f>
        <v>kabbya.kantam@bracu.ac.bd</v>
      </c>
    </row>
    <row r="9">
      <c r="A9" s="29" t="str">
        <f>IFERROR(__xludf.DUMMYFUNCTION("""COMPUTED_VALUE"""),"CSE230")</f>
        <v>CSE230</v>
      </c>
      <c r="B9" s="30" t="str">
        <f>IFERROR(__xludf.DUMMYFUNCTION("""COMPUTED_VALUE"""),"AVB")</f>
        <v>AVB</v>
      </c>
      <c r="C9" s="30" t="str">
        <f>IFERROR(__xludf.DUMMYFUNCTION("""COMPUTED_VALUE"""),"FIC")</f>
        <v>FIC</v>
      </c>
      <c r="D9" s="30"/>
      <c r="E9" s="31" t="str">
        <f>IFERROR(__xludf.DUMMYFUNCTION("""COMPUTED_VALUE"""),"avinandan@bracu.ac.bd,fatiha.ishrar@bracu.ac.bd")</f>
        <v>avinandan@bracu.ac.bd,fatiha.ishrar@bracu.ac.bd</v>
      </c>
      <c r="F9" s="32"/>
      <c r="G9" s="32"/>
      <c r="H9" s="32"/>
      <c r="I9" s="33" t="str">
        <f>IFERROR(__xludf.DUMMYFUNCTION("""COMPUTED_VALUE"""),"")</f>
        <v/>
      </c>
    </row>
    <row r="10">
      <c r="A10" s="34" t="str">
        <f>IFERROR(__xludf.DUMMYFUNCTION("""COMPUTED_VALUE"""),"CSE250")</f>
        <v>CSE250</v>
      </c>
      <c r="B10" s="35" t="str">
        <f>IFERROR(__xludf.DUMMYFUNCTION("""COMPUTED_VALUE"""),"SDS")</f>
        <v>SDS</v>
      </c>
      <c r="C10" s="35" t="str">
        <f>IFERROR(__xludf.DUMMYFUNCTION("""COMPUTED_VALUE"""),"PDS")</f>
        <v>PDS</v>
      </c>
      <c r="D10" s="35"/>
      <c r="E10" s="36" t="str">
        <f>IFERROR(__xludf.DUMMYFUNCTION("""COMPUTED_VALUE"""),"shadman.shahriar@bracu.ac.bd,purbayan.das@bracu.ac.bd")</f>
        <v>shadman.shahriar@bracu.ac.bd,purbayan.das@bracu.ac.bd</v>
      </c>
      <c r="F10" s="37" t="str">
        <f>IFERROR(__xludf.DUMMYFUNCTION("""COMPUTED_VALUE"""),"SDQ")</f>
        <v>SDQ</v>
      </c>
      <c r="G10" s="37" t="str">
        <f>IFERROR(__xludf.DUMMYFUNCTION("""COMPUTED_VALUE"""),"FFR")</f>
        <v>FFR</v>
      </c>
      <c r="H10" s="37"/>
      <c r="I10" s="38" t="str">
        <f>IFERROR(__xludf.DUMMYFUNCTION("""COMPUTED_VALUE"""),"saiful.bari@bracu.ac.bd,md.fatin@bracu.ac.bd")</f>
        <v>saiful.bari@bracu.ac.bd,md.fatin@bracu.ac.bd</v>
      </c>
    </row>
    <row r="11">
      <c r="A11" s="29" t="str">
        <f>IFERROR(__xludf.DUMMYFUNCTION("""COMPUTED_VALUE"""),"CSE251")</f>
        <v>CSE251</v>
      </c>
      <c r="B11" s="30" t="str">
        <f>IFERROR(__xludf.DUMMYFUNCTION("""COMPUTED_VALUE"""),"PDS")</f>
        <v>PDS</v>
      </c>
      <c r="C11" s="30" t="str">
        <f>IFERROR(__xludf.DUMMYFUNCTION("""COMPUTED_VALUE"""),"UTS")</f>
        <v>UTS</v>
      </c>
      <c r="D11" s="30"/>
      <c r="E11" s="31" t="str">
        <f>IFERROR(__xludf.DUMMYFUNCTION("""COMPUTED_VALUE"""),"purbayan.das@bracu.ac.bd,utsab.saha@bracu.ac.bd")</f>
        <v>purbayan.das@bracu.ac.bd,utsab.saha@bracu.ac.bd</v>
      </c>
      <c r="F11" s="32" t="str">
        <f>IFERROR(__xludf.DUMMYFUNCTION("""COMPUTED_VALUE"""),"MOM")</f>
        <v>MOM</v>
      </c>
      <c r="G11" s="32"/>
      <c r="H11" s="32"/>
      <c r="I11" s="33" t="str">
        <f>IFERROR(__xludf.DUMMYFUNCTION("""COMPUTED_VALUE"""),"moynul.moni@bracu.ac.bd")</f>
        <v>moynul.moni@bracu.ac.bd</v>
      </c>
    </row>
    <row r="12">
      <c r="A12" s="34" t="str">
        <f>IFERROR(__xludf.DUMMYFUNCTION("""COMPUTED_VALUE"""),"CSE260")</f>
        <v>CSE260</v>
      </c>
      <c r="B12" s="35" t="str">
        <f>IFERROR(__xludf.DUMMYFUNCTION("""COMPUTED_VALUE"""),"DZK")</f>
        <v>DZK</v>
      </c>
      <c r="C12" s="35"/>
      <c r="D12" s="35"/>
      <c r="E12" s="36" t="str">
        <f>IFERROR(__xludf.DUMMYFUNCTION("""COMPUTED_VALUE"""),"ziaul.karim@bracu.ac.bd")</f>
        <v>ziaul.karim@bracu.ac.bd</v>
      </c>
      <c r="F12" s="37" t="str">
        <f>IFERROR(__xludf.DUMMYFUNCTION("""COMPUTED_VALUE"""),"DZK")</f>
        <v>DZK</v>
      </c>
      <c r="G12" s="37" t="str">
        <f>IFERROR(__xludf.DUMMYFUNCTION("""COMPUTED_VALUE"""),"PBK")</f>
        <v>PBK</v>
      </c>
      <c r="H12" s="37"/>
      <c r="I12" s="38" t="str">
        <f>IFERROR(__xludf.DUMMYFUNCTION("""COMPUTED_VALUE"""),"ziaul.karim@bracu.ac.bd,partha.bhoumik@bracu.ac.bd")</f>
        <v>ziaul.karim@bracu.ac.bd,partha.bhoumik@bracu.ac.bd</v>
      </c>
    </row>
    <row r="13">
      <c r="A13" s="29" t="str">
        <f>IFERROR(__xludf.DUMMYFUNCTION("""COMPUTED_VALUE"""),"CSE310")</f>
        <v>CSE310</v>
      </c>
      <c r="B13" s="30" t="str">
        <f>IFERROR(__xludf.DUMMYFUNCTION("""COMPUTED_VALUE"""),"ADR")</f>
        <v>ADR</v>
      </c>
      <c r="C13" s="30"/>
      <c r="D13" s="30"/>
      <c r="E13" s="31" t="str">
        <f>IFERROR(__xludf.DUMMYFUNCTION("""COMPUTED_VALUE"""),"abdur.rahman@bracu.ac.bd")</f>
        <v>abdur.rahman@bracu.ac.bd</v>
      </c>
      <c r="F13" s="32" t="str">
        <f>IFERROR(__xludf.DUMMYFUNCTION("""COMPUTED_VALUE"""),"ADR")</f>
        <v>ADR</v>
      </c>
      <c r="G13" s="32"/>
      <c r="H13" s="32"/>
      <c r="I13" s="33" t="str">
        <f>IFERROR(__xludf.DUMMYFUNCTION("""COMPUTED_VALUE"""),"abdur.rahman@bracu.ac.bd")</f>
        <v>abdur.rahman@bracu.ac.bd</v>
      </c>
    </row>
    <row r="14">
      <c r="A14" s="34" t="str">
        <f>IFERROR(__xludf.DUMMYFUNCTION("""COMPUTED_VALUE"""),"CSE320")</f>
        <v>CSE320</v>
      </c>
      <c r="B14" s="35" t="str">
        <f>IFERROR(__xludf.DUMMYFUNCTION("""COMPUTED_VALUE"""),"SRJ")</f>
        <v>SRJ</v>
      </c>
      <c r="C14" s="35"/>
      <c r="D14" s="35"/>
      <c r="E14" s="36" t="str">
        <f>IFERROR(__xludf.DUMMYFUNCTION("""COMPUTED_VALUE"""),"seraj.mehnaz@bracu.ac.bd")</f>
        <v>seraj.mehnaz@bracu.ac.bd</v>
      </c>
      <c r="F14" s="37"/>
      <c r="G14" s="37"/>
      <c r="H14" s="37"/>
      <c r="I14" s="38" t="str">
        <f>IFERROR(__xludf.DUMMYFUNCTION("""COMPUTED_VALUE"""),"")</f>
        <v/>
      </c>
    </row>
    <row r="15">
      <c r="A15" s="29" t="str">
        <f>IFERROR(__xludf.DUMMYFUNCTION("""COMPUTED_VALUE"""),"CSE321")</f>
        <v>CSE321</v>
      </c>
      <c r="B15" s="30" t="str">
        <f>IFERROR(__xludf.DUMMYFUNCTION("""COMPUTED_VALUE"""),"BDH")</f>
        <v>BDH</v>
      </c>
      <c r="C15" s="30" t="str">
        <f>IFERROR(__xludf.DUMMYFUNCTION("""COMPUTED_VALUE"""),"SZD")</f>
        <v>SZD</v>
      </c>
      <c r="D15" s="30"/>
      <c r="E15" s="31" t="str">
        <f>IFERROR(__xludf.DUMMYFUNCTION("""COMPUTED_VALUE"""),"badrul.hossain@bracu.ac.bd,shazid.mahbub@bracu.ac.bd")</f>
        <v>badrul.hossain@bracu.ac.bd,shazid.mahbub@bracu.ac.bd</v>
      </c>
      <c r="F15" s="32" t="str">
        <f>IFERROR(__xludf.DUMMYFUNCTION("""COMPUTED_VALUE"""),"BDH")</f>
        <v>BDH</v>
      </c>
      <c r="G15" s="32" t="str">
        <f>IFERROR(__xludf.DUMMYFUNCTION("""COMPUTED_VALUE"""),"SWV")</f>
        <v>SWV</v>
      </c>
      <c r="H15" s="32"/>
      <c r="I15" s="33" t="str">
        <f>IFERROR(__xludf.DUMMYFUNCTION("""COMPUTED_VALUE"""),"badrul.hossain@bracu.ac.bd,showvik.biswas@bracu.ac.bd")</f>
        <v>badrul.hossain@bracu.ac.bd,showvik.biswas@bracu.ac.bd</v>
      </c>
    </row>
    <row r="16">
      <c r="A16" s="34" t="str">
        <f>IFERROR(__xludf.DUMMYFUNCTION("""COMPUTED_VALUE"""),"CSE330")</f>
        <v>CSE330</v>
      </c>
      <c r="B16" s="35" t="str">
        <f>IFERROR(__xludf.DUMMYFUNCTION("""COMPUTED_VALUE"""),"AMK")</f>
        <v>AMK</v>
      </c>
      <c r="C16" s="35" t="str">
        <f>IFERROR(__xludf.DUMMYFUNCTION("""COMPUTED_VALUE"""),"AQU")</f>
        <v>AQU</v>
      </c>
      <c r="D16" s="35"/>
      <c r="E16" s="36" t="str">
        <f>IFERROR(__xludf.DUMMYFUNCTION("""COMPUTED_VALUE"""),"abu.khan@bracu.ac.bd,aquib.azmain@bracu.ac.bd")</f>
        <v>abu.khan@bracu.ac.bd,aquib.azmain@bracu.ac.bd</v>
      </c>
      <c r="F16" s="37" t="str">
        <f>IFERROR(__xludf.DUMMYFUNCTION("""COMPUTED_VALUE"""),"MNP")</f>
        <v>MNP</v>
      </c>
      <c r="G16" s="37" t="str">
        <f>IFERROR(__xludf.DUMMYFUNCTION("""COMPUTED_VALUE"""),"NTN")</f>
        <v>NTN</v>
      </c>
      <c r="H16" s="37"/>
      <c r="I16" s="38" t="str">
        <f>IFERROR(__xludf.DUMMYFUNCTION("""COMPUTED_VALUE"""),"mushfique.nasir@bracu.ac.bd,ext.naima.tahsin@bracu.ac.bd")</f>
        <v>mushfique.nasir@bracu.ac.bd,ext.naima.tahsin@bracu.ac.bd</v>
      </c>
    </row>
    <row r="17">
      <c r="A17" s="29" t="str">
        <f>IFERROR(__xludf.DUMMYFUNCTION("""COMPUTED_VALUE"""),"CSE331")</f>
        <v>CSE331</v>
      </c>
      <c r="B17" s="30" t="str">
        <f>IFERROR(__xludf.DUMMYFUNCTION("""COMPUTED_VALUE"""),"KKP")</f>
        <v>KKP</v>
      </c>
      <c r="C17" s="30" t="str">
        <f>IFERROR(__xludf.DUMMYFUNCTION("""COMPUTED_VALUE"""),"RSS")</f>
        <v>RSS</v>
      </c>
      <c r="D17" s="30"/>
      <c r="E17" s="31" t="str">
        <f>IFERROR(__xludf.DUMMYFUNCTION("""COMPUTED_VALUE"""),"kabbya.kantam@bracu.ac.bd,rafiad.shahir@bracu.ac.bd")</f>
        <v>kabbya.kantam@bracu.ac.bd,rafiad.shahir@bracu.ac.bd</v>
      </c>
      <c r="F17" s="32"/>
      <c r="G17" s="32"/>
      <c r="H17" s="32"/>
      <c r="I17" s="33" t="str">
        <f>IFERROR(__xludf.DUMMYFUNCTION("""COMPUTED_VALUE"""),"")</f>
        <v/>
      </c>
    </row>
    <row r="18">
      <c r="A18" s="34" t="str">
        <f>IFERROR(__xludf.DUMMYFUNCTION("""COMPUTED_VALUE"""),"CSE340")</f>
        <v>CSE340</v>
      </c>
      <c r="B18" s="35" t="str">
        <f>IFERROR(__xludf.DUMMYFUNCTION("""COMPUTED_VALUE"""),"PBK")</f>
        <v>PBK</v>
      </c>
      <c r="C18" s="35"/>
      <c r="D18" s="35"/>
      <c r="E18" s="36" t="str">
        <f>IFERROR(__xludf.DUMMYFUNCTION("""COMPUTED_VALUE"""),"partha.bhoumik@bracu.ac.bd")</f>
        <v>partha.bhoumik@bracu.ac.bd</v>
      </c>
      <c r="F18" s="37"/>
      <c r="G18" s="37"/>
      <c r="H18" s="37"/>
      <c r="I18" s="38" t="str">
        <f>IFERROR(__xludf.DUMMYFUNCTION("""COMPUTED_VALUE"""),"")</f>
        <v/>
      </c>
    </row>
    <row r="19">
      <c r="A19" s="29" t="str">
        <f>IFERROR(__xludf.DUMMYFUNCTION("""COMPUTED_VALUE"""),"CSE341")</f>
        <v>CSE341</v>
      </c>
      <c r="B19" s="30" t="str">
        <f>IFERROR(__xludf.DUMMYFUNCTION("""COMPUTED_VALUE"""),"RKN")</f>
        <v>RKN</v>
      </c>
      <c r="C19" s="30"/>
      <c r="D19" s="30"/>
      <c r="E19" s="31" t="str">
        <f>IFERROR(__xludf.DUMMYFUNCTION("""COMPUTED_VALUE"""),"raisul.kabir@bracu.ac.bd")</f>
        <v>raisul.kabir@bracu.ac.bd</v>
      </c>
      <c r="F19" s="32" t="str">
        <f>IFERROR(__xludf.DUMMYFUNCTION("""COMPUTED_VALUE"""),"RKN")</f>
        <v>RKN</v>
      </c>
      <c r="G19" s="32" t="str">
        <f>IFERROR(__xludf.DUMMYFUNCTION("""COMPUTED_VALUE"""),"NWT")</f>
        <v>NWT</v>
      </c>
      <c r="H19" s="32"/>
      <c r="I19" s="33" t="str">
        <f>IFERROR(__xludf.DUMMYFUNCTION("""COMPUTED_VALUE"""),"raisul.kabir@bracu.ac.bd,ext.nowshin.tabassum@bracu.ac.bd")</f>
        <v>raisul.kabir@bracu.ac.bd,ext.nowshin.tabassum@bracu.ac.bd</v>
      </c>
    </row>
    <row r="20">
      <c r="A20" s="34" t="str">
        <f>IFERROR(__xludf.DUMMYFUNCTION("""COMPUTED_VALUE"""),"CSE350")</f>
        <v>CSE350</v>
      </c>
      <c r="B20" s="35" t="str">
        <f>IFERROR(__xludf.DUMMYFUNCTION("""COMPUTED_VALUE"""),"ZAZ")</f>
        <v>ZAZ</v>
      </c>
      <c r="C20" s="35" t="str">
        <f>IFERROR(__xludf.DUMMYFUNCTION("""COMPUTED_VALUE"""),"TSE")</f>
        <v>TSE</v>
      </c>
      <c r="D20" s="35"/>
      <c r="E20" s="36" t="str">
        <f>IFERROR(__xludf.DUMMYFUNCTION("""COMPUTED_VALUE"""),"ihzaz.sadik@bracu.ac.bd,tasneem.mazhar@bracu.ac.bd")</f>
        <v>ihzaz.sadik@bracu.ac.bd,tasneem.mazhar@bracu.ac.bd</v>
      </c>
      <c r="F20" s="37" t="str">
        <f>IFERROR(__xludf.DUMMYFUNCTION("""COMPUTED_VALUE"""),"TSE")</f>
        <v>TSE</v>
      </c>
      <c r="G20" s="37"/>
      <c r="H20" s="37"/>
      <c r="I20" s="38" t="str">
        <f>IFERROR(__xludf.DUMMYFUNCTION("""COMPUTED_VALUE"""),"tasneem.mazhar@bracu.ac.bd")</f>
        <v>tasneem.mazhar@bracu.ac.bd</v>
      </c>
    </row>
    <row r="21">
      <c r="A21" s="29" t="str">
        <f>IFERROR(__xludf.DUMMYFUNCTION("""COMPUTED_VALUE"""),"CSE360")</f>
        <v>CSE360</v>
      </c>
      <c r="B21" s="30" t="str">
        <f>IFERROR(__xludf.DUMMYFUNCTION("""COMPUTED_VALUE"""),"UJT")</f>
        <v>UJT</v>
      </c>
      <c r="C21" s="30"/>
      <c r="D21" s="30"/>
      <c r="E21" s="31" t="str">
        <f>IFERROR(__xludf.DUMMYFUNCTION("""COMPUTED_VALUE"""),"jannat.taposhi@bracu.ac.bd")</f>
        <v>jannat.taposhi@bracu.ac.bd</v>
      </c>
      <c r="F21" s="32" t="str">
        <f>IFERROR(__xludf.DUMMYFUNCTION("""COMPUTED_VALUE"""),"UJT")</f>
        <v>UJT</v>
      </c>
      <c r="G21" s="32" t="str">
        <f>IFERROR(__xludf.DUMMYFUNCTION("""COMPUTED_VALUE"""),"RDW")</f>
        <v>RDW</v>
      </c>
      <c r="H21" s="32"/>
      <c r="I21" s="33" t="str">
        <f>IFERROR(__xludf.DUMMYFUNCTION("""COMPUTED_VALUE"""),"jannat.taposhi@bracu.ac.bd,redowanul.akbar@bracu.ac.bd")</f>
        <v>jannat.taposhi@bracu.ac.bd,redowanul.akbar@bracu.ac.bd</v>
      </c>
    </row>
    <row r="22">
      <c r="A22" s="34" t="str">
        <f>IFERROR(__xludf.DUMMYFUNCTION("""COMPUTED_VALUE"""),"CSE370")</f>
        <v>CSE370</v>
      </c>
      <c r="B22" s="35" t="str">
        <f>IFERROR(__xludf.DUMMYFUNCTION("""COMPUTED_VALUE"""),"NNC")</f>
        <v>NNC</v>
      </c>
      <c r="C22" s="35"/>
      <c r="D22" s="35"/>
      <c r="E22" s="36" t="str">
        <f>IFERROR(__xludf.DUMMYFUNCTION("""COMPUTED_VALUE"""),"najeefa.chy@bracu.ac.bd")</f>
        <v>najeefa.chy@bracu.ac.bd</v>
      </c>
      <c r="F22" s="37" t="str">
        <f>IFERROR(__xludf.DUMMYFUNCTION("""COMPUTED_VALUE"""),"FEK")</f>
        <v>FEK</v>
      </c>
      <c r="G22" s="37"/>
      <c r="H22" s="37"/>
      <c r="I22" s="38" t="str">
        <f>IFERROR(__xludf.DUMMYFUNCTION("""COMPUTED_VALUE"""),"farden.khan@bracu.ac.bd")</f>
        <v>farden.khan@bracu.ac.bd</v>
      </c>
    </row>
    <row r="23">
      <c r="A23" s="29" t="str">
        <f>IFERROR(__xludf.DUMMYFUNCTION("""COMPUTED_VALUE"""),"CSE391")</f>
        <v>CSE391</v>
      </c>
      <c r="B23" s="30" t="str">
        <f>IFERROR(__xludf.DUMMYFUNCTION("""COMPUTED_VALUE"""),"ADR")</f>
        <v>ADR</v>
      </c>
      <c r="C23" s="30"/>
      <c r="D23" s="30"/>
      <c r="E23" s="31" t="str">
        <f>IFERROR(__xludf.DUMMYFUNCTION("""COMPUTED_VALUE"""),"abdur.rahman@bracu.ac.bd")</f>
        <v>abdur.rahman@bracu.ac.bd</v>
      </c>
      <c r="F23" s="32" t="str">
        <f>IFERROR(__xludf.DUMMYFUNCTION("""COMPUTED_VALUE"""),"ADR")</f>
        <v>ADR</v>
      </c>
      <c r="G23" s="32"/>
      <c r="H23" s="32"/>
      <c r="I23" s="33" t="str">
        <f>IFERROR(__xludf.DUMMYFUNCTION("""COMPUTED_VALUE"""),"abdur.rahman@bracu.ac.bd")</f>
        <v>abdur.rahman@bracu.ac.bd</v>
      </c>
    </row>
    <row r="24">
      <c r="A24" s="34" t="str">
        <f>IFERROR(__xludf.DUMMYFUNCTION("""COMPUTED_VALUE"""),"CSE419")</f>
        <v>CSE419</v>
      </c>
      <c r="B24" s="35" t="str">
        <f>IFERROR(__xludf.DUMMYFUNCTION("""COMPUTED_VALUE"""),"KKP")</f>
        <v>KKP</v>
      </c>
      <c r="C24" s="35"/>
      <c r="D24" s="35"/>
      <c r="E24" s="36" t="str">
        <f>IFERROR(__xludf.DUMMYFUNCTION("""COMPUTED_VALUE"""),"kabbya.kantam@bracu.ac.bd")</f>
        <v>kabbya.kantam@bracu.ac.bd</v>
      </c>
      <c r="F24" s="37" t="str">
        <f>IFERROR(__xludf.DUMMYFUNCTION("""COMPUTED_VALUE"""),"ARD")</f>
        <v>ARD</v>
      </c>
      <c r="G24" s="37"/>
      <c r="H24" s="37"/>
      <c r="I24" s="38" t="str">
        <f>IFERROR(__xludf.DUMMYFUNCTION("""COMPUTED_VALUE"""),"ayman.rasheed@bracu.ac.bd")</f>
        <v>ayman.rasheed@bracu.ac.bd</v>
      </c>
    </row>
    <row r="25">
      <c r="A25" s="29" t="str">
        <f>IFERROR(__xludf.DUMMYFUNCTION("""COMPUTED_VALUE"""),"CSE420")</f>
        <v>CSE420</v>
      </c>
      <c r="B25" s="30" t="str">
        <f>IFERROR(__xludf.DUMMYFUNCTION("""COMPUTED_VALUE"""),"MNY")</f>
        <v>MNY</v>
      </c>
      <c r="C25" s="30" t="str">
        <f>IFERROR(__xludf.DUMMYFUNCTION("""COMPUTED_VALUE"""),"SUE")</f>
        <v>SUE</v>
      </c>
      <c r="D25" s="30"/>
      <c r="E25" s="31" t="str">
        <f>IFERROR(__xludf.DUMMYFUNCTION("""COMPUTED_VALUE"""),"nur.yanhaona@bracu.ac.bd,sukarna.sarkar@bracu.ac.bd")</f>
        <v>nur.yanhaona@bracu.ac.bd,sukarna.sarkar@bracu.ac.bd</v>
      </c>
      <c r="F25" s="32" t="str">
        <f>IFERROR(__xludf.DUMMYFUNCTION("""COMPUTED_VALUE"""),"SUE")</f>
        <v>SUE</v>
      </c>
      <c r="G25" s="32" t="str">
        <f>IFERROR(__xludf.DUMMYFUNCTION("""COMPUTED_VALUE"""),"MNY")</f>
        <v>MNY</v>
      </c>
      <c r="H25" s="32"/>
      <c r="I25" s="33" t="str">
        <f>IFERROR(__xludf.DUMMYFUNCTION("""COMPUTED_VALUE"""),"sukarna.sarkar@bracu.ac.bd,nur.yanhaona@bracu.ac.bd")</f>
        <v>sukarna.sarkar@bracu.ac.bd,nur.yanhaona@bracu.ac.bd</v>
      </c>
    </row>
    <row r="26">
      <c r="A26" s="34" t="str">
        <f>IFERROR(__xludf.DUMMYFUNCTION("""COMPUTED_VALUE"""),"CSE421")</f>
        <v>CSE421</v>
      </c>
      <c r="B26" s="35" t="str">
        <f>IFERROR(__xludf.DUMMYFUNCTION("""COMPUTED_VALUE"""),"MSMA")</f>
        <v>MSMA</v>
      </c>
      <c r="C26" s="35" t="str">
        <f>IFERROR(__xludf.DUMMYFUNCTION("""COMPUTED_VALUE"""),"NDT")</f>
        <v>NDT</v>
      </c>
      <c r="D26" s="35"/>
      <c r="E26" s="36" t="str">
        <f>IFERROR(__xludf.DUMMYFUNCTION("""COMPUTED_VALUE"""),"shamim.mia@bracu.ac.bd,nirjhor.datta@bracu.ac.bd")</f>
        <v>shamim.mia@bracu.ac.bd,nirjhor.datta@bracu.ac.bd</v>
      </c>
      <c r="F26" s="37" t="str">
        <f>IFERROR(__xludf.DUMMYFUNCTION("""COMPUTED_VALUE"""),"SRJ")</f>
        <v>SRJ</v>
      </c>
      <c r="G26" s="37" t="str">
        <f>IFERROR(__xludf.DUMMYFUNCTION("""COMPUTED_VALUE"""),"MSMA")</f>
        <v>MSMA</v>
      </c>
      <c r="H26" s="37"/>
      <c r="I26" s="38" t="str">
        <f>IFERROR(__xludf.DUMMYFUNCTION("""COMPUTED_VALUE"""),"seraj.mehnaz@bracu.ac.bd,shamim.mia@bracu.ac.bd")</f>
        <v>seraj.mehnaz@bracu.ac.bd,shamim.mia@bracu.ac.bd</v>
      </c>
    </row>
    <row r="27">
      <c r="A27" s="29" t="str">
        <f>IFERROR(__xludf.DUMMYFUNCTION("""COMPUTED_VALUE"""),"CSE422")</f>
        <v>CSE422</v>
      </c>
      <c r="B27" s="30" t="str">
        <f>IFERROR(__xludf.DUMMYFUNCTION("""COMPUTED_VALUE"""),"TRZ")</f>
        <v>TRZ</v>
      </c>
      <c r="C27" s="30"/>
      <c r="D27" s="30"/>
      <c r="E27" s="31" t="str">
        <f>IFERROR(__xludf.DUMMYFUNCTION("""COMPUTED_VALUE"""),"tanzim.reza@bracu.ac.bd")</f>
        <v>tanzim.reza@bracu.ac.bd</v>
      </c>
      <c r="F27" s="32" t="str">
        <f>IFERROR(__xludf.DUMMYFUNCTION("""COMPUTED_VALUE"""),"ZHS")</f>
        <v>ZHS</v>
      </c>
      <c r="G27" s="32"/>
      <c r="H27" s="32"/>
      <c r="I27" s="33" t="str">
        <f>IFERROR(__xludf.DUMMYFUNCTION("""COMPUTED_VALUE"""),"shoumo.hasan@bracu.ac.bd")</f>
        <v>shoumo.hasan@bracu.ac.bd</v>
      </c>
    </row>
    <row r="28">
      <c r="A28" s="34" t="str">
        <f>IFERROR(__xludf.DUMMYFUNCTION("""COMPUTED_VALUE"""),"CSE423")</f>
        <v>CSE423</v>
      </c>
      <c r="B28" s="35" t="str">
        <f>IFERROR(__xludf.DUMMYFUNCTION("""COMPUTED_VALUE"""),"TMD")</f>
        <v>TMD</v>
      </c>
      <c r="C28" s="35" t="str">
        <f>IFERROR(__xludf.DUMMYFUNCTION("""COMPUTED_VALUE"""),"SMUR")</f>
        <v>SMUR</v>
      </c>
      <c r="D28" s="35"/>
      <c r="E28" s="36" t="str">
        <f>IFERROR(__xludf.DUMMYFUNCTION("""COMPUTED_VALUE"""),"tamkin.mahmud@bracu.ac.bd,rahman.samiur@bracu.ac.bd")</f>
        <v>tamkin.mahmud@bracu.ac.bd,rahman.samiur@bracu.ac.bd</v>
      </c>
      <c r="F28" s="37" t="str">
        <f>IFERROR(__xludf.DUMMYFUNCTION("""COMPUTED_VALUE"""),"AJA")</f>
        <v>AJA</v>
      </c>
      <c r="G28" s="37" t="str">
        <f>IFERROR(__xludf.DUMMYFUNCTION("""COMPUTED_VALUE"""),"SRU")</f>
        <v>SRU</v>
      </c>
      <c r="H28" s="37"/>
      <c r="I28" s="38" t="str">
        <f>IFERROR(__xludf.DUMMYFUNCTION("""COMPUTED_VALUE"""),"abid.jahan@bracu.ac.bd,shakir.rouf@bracu.ac.bd")</f>
        <v>abid.jahan@bracu.ac.bd,shakir.rouf@bracu.ac.bd</v>
      </c>
    </row>
    <row r="29">
      <c r="A29" s="29" t="str">
        <f>IFERROR(__xludf.DUMMYFUNCTION("""COMPUTED_VALUE"""),"CSE424")</f>
        <v>CSE424</v>
      </c>
      <c r="B29" s="30" t="str">
        <f>IFERROR(__xludf.DUMMYFUNCTION("""COMPUTED_VALUE"""),"AAR")</f>
        <v>AAR</v>
      </c>
      <c r="C29" s="30"/>
      <c r="D29" s="30"/>
      <c r="E29" s="31" t="str">
        <f>IFERROR(__xludf.DUMMYFUNCTION("""COMPUTED_VALUE"""),"annajiat@bracu.ac.bd")</f>
        <v>annajiat@bracu.ac.bd</v>
      </c>
      <c r="F29" s="32" t="str">
        <f>IFERROR(__xludf.DUMMYFUNCTION("""COMPUTED_VALUE"""),"AAR")</f>
        <v>AAR</v>
      </c>
      <c r="G29" s="32"/>
      <c r="H29" s="32"/>
      <c r="I29" s="33" t="str">
        <f>IFERROR(__xludf.DUMMYFUNCTION("""COMPUTED_VALUE"""),"annajiat@bracu.ac.bd")</f>
        <v>annajiat@bracu.ac.bd</v>
      </c>
    </row>
    <row r="30">
      <c r="A30" s="34" t="str">
        <f>IFERROR(__xludf.DUMMYFUNCTION("""COMPUTED_VALUE"""),"CSE425")</f>
        <v>CSE425</v>
      </c>
      <c r="B30" s="35" t="str">
        <f>IFERROR(__xludf.DUMMYFUNCTION("""COMPUTED_VALUE"""),"MMM")</f>
        <v>MMM</v>
      </c>
      <c r="C30" s="35"/>
      <c r="D30" s="35"/>
      <c r="E30" s="36" t="str">
        <f>IFERROR(__xludf.DUMMYFUNCTION("""COMPUTED_VALUE"""),"mostakim@bracu.ac.bd")</f>
        <v>mostakim@bracu.ac.bd</v>
      </c>
      <c r="F30" s="37"/>
      <c r="G30" s="37"/>
      <c r="H30" s="37"/>
      <c r="I30" s="38" t="str">
        <f>IFERROR(__xludf.DUMMYFUNCTION("""COMPUTED_VALUE"""),"")</f>
        <v/>
      </c>
    </row>
    <row r="31">
      <c r="A31" s="29" t="str">
        <f>IFERROR(__xludf.DUMMYFUNCTION("""COMPUTED_VALUE"""),"CSE426")</f>
        <v>CSE426</v>
      </c>
      <c r="B31" s="30" t="str">
        <f>IFERROR(__xludf.DUMMYFUNCTION("""COMPUTED_VALUE"""),"TSM")</f>
        <v>TSM</v>
      </c>
      <c r="C31" s="30"/>
      <c r="D31" s="30"/>
      <c r="E31" s="31" t="str">
        <f>IFERROR(__xludf.DUMMYFUNCTION("""COMPUTED_VALUE"""),"mirza.mugdho@bracu.ac.bd")</f>
        <v>mirza.mugdho@bracu.ac.bd</v>
      </c>
      <c r="F31" s="32"/>
      <c r="G31" s="32"/>
      <c r="H31" s="32"/>
      <c r="I31" s="33" t="str">
        <f>IFERROR(__xludf.DUMMYFUNCTION("""COMPUTED_VALUE"""),"")</f>
        <v/>
      </c>
    </row>
    <row r="32">
      <c r="A32" s="34" t="str">
        <f>IFERROR(__xludf.DUMMYFUNCTION("""COMPUTED_VALUE"""),"CSE427")</f>
        <v>CSE427</v>
      </c>
      <c r="B32" s="35" t="str">
        <f>IFERROR(__xludf.DUMMYFUNCTION("""COMPUTED_VALUE"""),"CMR")</f>
        <v>CMR</v>
      </c>
      <c r="C32" s="35" t="str">
        <f>IFERROR(__xludf.DUMMYFUNCTION("""COMPUTED_VALUE"""),"DFD")</f>
        <v>DFD</v>
      </c>
      <c r="D32" s="35"/>
      <c r="E32" s="36" t="str">
        <f>IFERROR(__xludf.DUMMYFUNCTION("""COMPUTED_VALUE"""),"rahman.mofizur@bracu.ac.bd,fabian.dofadar@bracu.ac.bd")</f>
        <v>rahman.mofizur@bracu.ac.bd,fabian.dofadar@bracu.ac.bd</v>
      </c>
      <c r="F32" s="37" t="str">
        <f>IFERROR(__xludf.DUMMYFUNCTION("""COMPUTED_VALUE"""),"DFD")</f>
        <v>DFD</v>
      </c>
      <c r="G32" s="37" t="str">
        <f>IFERROR(__xludf.DUMMYFUNCTION("""COMPUTED_VALUE"""),"QUZA")</f>
        <v>QUZA</v>
      </c>
      <c r="H32" s="37"/>
      <c r="I32" s="38" t="str">
        <f>IFERROR(__xludf.DUMMYFUNCTION("""COMPUTED_VALUE"""),"fabian.dofadar@bracu.ac.bd,quazi.ashikur@bracu.ac.bd")</f>
        <v>fabian.dofadar@bracu.ac.bd,quazi.ashikur@bracu.ac.bd</v>
      </c>
    </row>
    <row r="33">
      <c r="A33" s="29" t="str">
        <f>IFERROR(__xludf.DUMMYFUNCTION("""COMPUTED_VALUE"""),"CSE428")</f>
        <v>CSE428</v>
      </c>
      <c r="B33" s="30" t="str">
        <f>IFERROR(__xludf.DUMMYFUNCTION("""COMPUTED_VALUE"""),"SDQ")</f>
        <v>SDQ</v>
      </c>
      <c r="C33" s="30"/>
      <c r="D33" s="30"/>
      <c r="E33" s="31" t="str">
        <f>IFERROR(__xludf.DUMMYFUNCTION("""COMPUTED_VALUE"""),"saiful.bari@bracu.ac.bd")</f>
        <v>saiful.bari@bracu.ac.bd</v>
      </c>
      <c r="F33" s="32" t="str">
        <f>IFERROR(__xludf.DUMMYFUNCTION("""COMPUTED_VALUE"""),"EHQ")</f>
        <v>EHQ</v>
      </c>
      <c r="G33" s="32"/>
      <c r="H33" s="32"/>
      <c r="I33" s="33" t="str">
        <f>IFERROR(__xludf.DUMMYFUNCTION("""COMPUTED_VALUE"""),"ehtashamul.haque@bracu.ac.bd")</f>
        <v>ehtashamul.haque@bracu.ac.bd</v>
      </c>
    </row>
    <row r="34">
      <c r="A34" s="34" t="str">
        <f>IFERROR(__xludf.DUMMYFUNCTION("""COMPUTED_VALUE"""),"CSE430")</f>
        <v>CSE430</v>
      </c>
      <c r="B34" s="35" t="str">
        <f>IFERROR(__xludf.DUMMYFUNCTION("""COMPUTED_VALUE"""),"EHQ")</f>
        <v>EHQ</v>
      </c>
      <c r="C34" s="35"/>
      <c r="D34" s="35"/>
      <c r="E34" s="36" t="str">
        <f>IFERROR(__xludf.DUMMYFUNCTION("""COMPUTED_VALUE"""),"ehtashamul.haque@bracu.ac.bd")</f>
        <v>ehtashamul.haque@bracu.ac.bd</v>
      </c>
      <c r="F34" s="37" t="str">
        <f>IFERROR(__xludf.DUMMYFUNCTION("""COMPUTED_VALUE"""),"TAV")</f>
        <v>TAV</v>
      </c>
      <c r="G34" s="37"/>
      <c r="H34" s="37"/>
      <c r="I34" s="38" t="str">
        <f>IFERROR(__xludf.DUMMYFUNCTION("""COMPUTED_VALUE"""),"tarvir.anjum@bracu.ac.bd")</f>
        <v>tarvir.anjum@bracu.ac.bd</v>
      </c>
    </row>
    <row r="35">
      <c r="A35" s="29" t="str">
        <f>IFERROR(__xludf.DUMMYFUNCTION("""COMPUTED_VALUE"""),"CSE437")</f>
        <v>CSE437</v>
      </c>
      <c r="B35" s="30" t="str">
        <f>IFERROR(__xludf.DUMMYFUNCTION("""COMPUTED_VALUE"""),"GRA")</f>
        <v>GRA</v>
      </c>
      <c r="C35" s="30"/>
      <c r="D35" s="30"/>
      <c r="E35" s="31" t="str">
        <f>IFERROR(__xludf.DUMMYFUNCTION("""COMPUTED_VALUE"""),"rabiul.alam@bracu.ac.bd")</f>
        <v>rabiul.alam@bracu.ac.bd</v>
      </c>
      <c r="F35" s="32"/>
      <c r="G35" s="32"/>
      <c r="H35" s="32"/>
      <c r="I35" s="33" t="str">
        <f>IFERROR(__xludf.DUMMYFUNCTION("""COMPUTED_VALUE"""),"")</f>
        <v/>
      </c>
    </row>
    <row r="36">
      <c r="A36" s="34" t="str">
        <f>IFERROR(__xludf.DUMMYFUNCTION("""COMPUTED_VALUE"""),"CSE440")</f>
        <v>CSE440</v>
      </c>
      <c r="B36" s="35" t="str">
        <f>IFERROR(__xludf.DUMMYFUNCTION("""COMPUTED_VALUE"""),"FYS")</f>
        <v>FYS</v>
      </c>
      <c r="C36" s="35"/>
      <c r="D36" s="35"/>
      <c r="E36" s="36" t="str">
        <f>IFERROR(__xludf.DUMMYFUNCTION("""COMPUTED_VALUE"""),"farig.sadeque@bracu.ac.bd")</f>
        <v>farig.sadeque@bracu.ac.bd</v>
      </c>
      <c r="F36" s="37"/>
      <c r="G36" s="37"/>
      <c r="H36" s="37"/>
      <c r="I36" s="38" t="str">
        <f>IFERROR(__xludf.DUMMYFUNCTION("""COMPUTED_VALUE"""),"")</f>
        <v/>
      </c>
    </row>
    <row r="37">
      <c r="A37" s="29" t="str">
        <f>IFERROR(__xludf.DUMMYFUNCTION("""COMPUTED_VALUE"""),"CSE443")</f>
        <v>CSE443</v>
      </c>
      <c r="B37" s="30" t="str">
        <f>IFERROR(__xludf.DUMMYFUNCTION("""COMPUTED_VALUE"""),"SWK")</f>
        <v>SWK</v>
      </c>
      <c r="C37" s="30"/>
      <c r="D37" s="30"/>
      <c r="E37" s="31" t="str">
        <f>IFERROR(__xludf.DUMMYFUNCTION("""COMPUTED_VALUE"""),"swakkhar.shatabda@bracu.ac.bd")</f>
        <v>swakkhar.shatabda@bracu.ac.bd</v>
      </c>
      <c r="F37" s="32"/>
      <c r="G37" s="32"/>
      <c r="H37" s="32"/>
      <c r="I37" s="33"/>
    </row>
    <row r="38">
      <c r="A38" s="34" t="str">
        <f>IFERROR(__xludf.DUMMYFUNCTION("""COMPUTED_VALUE"""),"CSE446")</f>
        <v>CSE446</v>
      </c>
      <c r="B38" s="35" t="str">
        <f>IFERROR(__xludf.DUMMYFUNCTION("""COMPUTED_VALUE"""),"SDF")</f>
        <v>SDF</v>
      </c>
      <c r="C38" s="35"/>
      <c r="D38" s="35"/>
      <c r="E38" s="36" t="str">
        <f>IFERROR(__xludf.DUMMYFUNCTION("""COMPUTED_VALUE"""),"sadek.ferdous@bracu.ac.bd")</f>
        <v>sadek.ferdous@bracu.ac.bd</v>
      </c>
      <c r="F38" s="37" t="str">
        <f>IFERROR(__xludf.DUMMYFUNCTION("""COMPUTED_VALUE"""),"SDF")</f>
        <v>SDF</v>
      </c>
      <c r="G38" s="37"/>
      <c r="H38" s="37"/>
      <c r="I38" s="38" t="str">
        <f>IFERROR(__xludf.DUMMYFUNCTION("""COMPUTED_VALUE"""),"sadek.ferdous@bracu.ac.bd")</f>
        <v>sadek.ferdous@bracu.ac.bd</v>
      </c>
    </row>
    <row r="39">
      <c r="A39" s="29" t="str">
        <f>IFERROR(__xludf.DUMMYFUNCTION("""COMPUTED_VALUE"""),"CSE447")</f>
        <v>CSE447</v>
      </c>
      <c r="B39" s="30" t="str">
        <f>IFERROR(__xludf.DUMMYFUNCTION("""COMPUTED_VALUE"""),"MIH")</f>
        <v>MIH</v>
      </c>
      <c r="C39" s="30"/>
      <c r="D39" s="30"/>
      <c r="E39" s="31" t="str">
        <f>IFERROR(__xludf.DUMMYFUNCTION("""COMPUTED_VALUE"""),"iqbal.hossain@bracu.ac.bd")</f>
        <v>iqbal.hossain@bracu.ac.bd</v>
      </c>
      <c r="F39" s="32" t="str">
        <f>IFERROR(__xludf.DUMMYFUNCTION("""COMPUTED_VALUE"""),"MIH")</f>
        <v>MIH</v>
      </c>
      <c r="G39" s="32"/>
      <c r="H39" s="32"/>
      <c r="I39" s="33" t="str">
        <f>IFERROR(__xludf.DUMMYFUNCTION("""COMPUTED_VALUE"""),"iqbal.hossain@bracu.ac.bd")</f>
        <v>iqbal.hossain@bracu.ac.bd</v>
      </c>
    </row>
    <row r="40">
      <c r="A40" s="34" t="str">
        <f>IFERROR(__xludf.DUMMYFUNCTION("""COMPUTED_VALUE"""),"CSE449")</f>
        <v>CSE449</v>
      </c>
      <c r="B40" s="35" t="str">
        <f>IFERROR(__xludf.DUMMYFUNCTION("""COMPUTED_VALUE"""),"AAR")</f>
        <v>AAR</v>
      </c>
      <c r="C40" s="35"/>
      <c r="D40" s="35"/>
      <c r="E40" s="36" t="str">
        <f>IFERROR(__xludf.DUMMYFUNCTION("""COMPUTED_VALUE"""),"annajiat@bracu.ac.bd")</f>
        <v>annajiat@bracu.ac.bd</v>
      </c>
      <c r="F40" s="37"/>
      <c r="G40" s="37"/>
      <c r="H40" s="37"/>
      <c r="I40" s="38" t="str">
        <f>IFERROR(__xludf.DUMMYFUNCTION("""COMPUTED_VALUE"""),"")</f>
        <v/>
      </c>
    </row>
    <row r="41">
      <c r="A41" s="29" t="str">
        <f>IFERROR(__xludf.DUMMYFUNCTION("""COMPUTED_VALUE"""),"CSE460")</f>
        <v>CSE460</v>
      </c>
      <c r="B41" s="30" t="str">
        <f>IFERROR(__xludf.DUMMYFUNCTION("""COMPUTED_VALUE"""),"SDU")</f>
        <v>SDU</v>
      </c>
      <c r="C41" s="30"/>
      <c r="D41" s="30"/>
      <c r="E41" s="31" t="str">
        <f>IFERROR(__xludf.DUMMYFUNCTION("""COMPUTED_VALUE"""),"shomen.kundu@bracu.ac.bd")</f>
        <v>shomen.kundu@bracu.ac.bd</v>
      </c>
      <c r="F41" s="32" t="str">
        <f>IFERROR(__xludf.DUMMYFUNCTION("""COMPUTED_VALUE"""),"THL")</f>
        <v>THL</v>
      </c>
      <c r="G41" s="32"/>
      <c r="H41" s="32"/>
      <c r="I41" s="33" t="str">
        <f>IFERROR(__xludf.DUMMYFUNCTION("""COMPUTED_VALUE"""),"tahsin.alam@bracu.ac.bd")</f>
        <v>tahsin.alam@bracu.ac.bd</v>
      </c>
    </row>
    <row r="42">
      <c r="A42" s="34" t="str">
        <f>IFERROR(__xludf.DUMMYFUNCTION("""COMPUTED_VALUE"""),"CSE461")</f>
        <v>CSE461</v>
      </c>
      <c r="B42" s="35" t="str">
        <f>IFERROR(__xludf.DUMMYFUNCTION("""COMPUTED_VALUE"""),"KHR")</f>
        <v>KHR</v>
      </c>
      <c r="C42" s="35"/>
      <c r="D42" s="35"/>
      <c r="E42" s="36" t="str">
        <f>IFERROR(__xludf.DUMMYFUNCTION("""COMPUTED_VALUE"""),"khalilur@bracu.ac.bd")</f>
        <v>khalilur@bracu.ac.bd</v>
      </c>
      <c r="F42" s="37" t="str">
        <f>IFERROR(__xludf.DUMMYFUNCTION("""COMPUTED_VALUE"""),"RDW")</f>
        <v>RDW</v>
      </c>
      <c r="G42" s="37" t="str">
        <f>IFERROR(__xludf.DUMMYFUNCTION("""COMPUTED_VALUE"""),"RFF")</f>
        <v>RFF</v>
      </c>
      <c r="H42" s="37"/>
      <c r="I42" s="38" t="str">
        <f>IFERROR(__xludf.DUMMYFUNCTION("""COMPUTED_VALUE"""),"redowanul.akbar@bracu.ac.bd,rafid.ahnaf@bracu.ac.bd")</f>
        <v>redowanul.akbar@bracu.ac.bd,rafid.ahnaf@bracu.ac.bd</v>
      </c>
    </row>
    <row r="43">
      <c r="A43" s="29" t="str">
        <f>IFERROR(__xludf.DUMMYFUNCTION("""COMPUTED_VALUE"""),"CSE463")</f>
        <v>CSE463</v>
      </c>
      <c r="B43" s="30" t="str">
        <f>IFERROR(__xludf.DUMMYFUNCTION("""COMPUTED_VALUE"""),"ASA")</f>
        <v>ASA</v>
      </c>
      <c r="C43" s="30"/>
      <c r="D43" s="30"/>
      <c r="E43" s="31" t="str">
        <f>IFERROR(__xludf.DUMMYFUNCTION("""COMPUTED_VALUE"""),"ashraful.alam@bracu.ac.bd")</f>
        <v>ashraful.alam@bracu.ac.bd</v>
      </c>
      <c r="F43" s="32" t="str">
        <f>IFERROR(__xludf.DUMMYFUNCTION("""COMPUTED_VALUE"""),"ASA")</f>
        <v>ASA</v>
      </c>
      <c r="G43" s="32"/>
      <c r="H43" s="32"/>
      <c r="I43" s="33" t="str">
        <f>IFERROR(__xludf.DUMMYFUNCTION("""COMPUTED_VALUE"""),"ashraful.alam@bracu.ac.bd")</f>
        <v>ashraful.alam@bracu.ac.bd</v>
      </c>
    </row>
    <row r="44">
      <c r="A44" s="34" t="str">
        <f>IFERROR(__xludf.DUMMYFUNCTION("""COMPUTED_VALUE"""),"CSE470")</f>
        <v>CSE470</v>
      </c>
      <c r="B44" s="35" t="str">
        <f>IFERROR(__xludf.DUMMYFUNCTION("""COMPUTED_VALUE"""),"SHRR")</f>
        <v>SHRR</v>
      </c>
      <c r="C44" s="35" t="str">
        <f>IFERROR(__xludf.DUMMYFUNCTION("""COMPUTED_VALUE"""),"ART")</f>
        <v>ART</v>
      </c>
      <c r="D44" s="35"/>
      <c r="E44" s="36" t="str">
        <f>IFERROR(__xludf.DUMMYFUNCTION("""COMPUTED_VALUE"""),"shahriar.rahman@bracu.ac.bd,atanu.roy@bracu.ac.bd")</f>
        <v>shahriar.rahman@bracu.ac.bd,atanu.roy@bracu.ac.bd</v>
      </c>
      <c r="F44" s="37"/>
      <c r="G44" s="37"/>
      <c r="H44" s="37"/>
      <c r="I44" s="38" t="str">
        <f>IFERROR(__xludf.DUMMYFUNCTION("""COMPUTED_VALUE"""),"")</f>
        <v/>
      </c>
    </row>
    <row r="45">
      <c r="A45" s="29" t="str">
        <f>IFERROR(__xludf.DUMMYFUNCTION("""COMPUTED_VALUE"""),"CSE471")</f>
        <v>CSE471</v>
      </c>
      <c r="B45" s="30" t="str">
        <f>IFERROR(__xludf.DUMMYFUNCTION("""COMPUTED_VALUE"""),"MIH")</f>
        <v>MIH</v>
      </c>
      <c r="C45" s="30"/>
      <c r="D45" s="30"/>
      <c r="E45" s="31" t="str">
        <f>IFERROR(__xludf.DUMMYFUNCTION("""COMPUTED_VALUE"""),"iqbal.hossain@bracu.ac.bd")</f>
        <v>iqbal.hossain@bracu.ac.bd</v>
      </c>
      <c r="F45" s="32" t="str">
        <f>IFERROR(__xludf.DUMMYFUNCTION("""COMPUTED_VALUE"""),"AQU")</f>
        <v>AQU</v>
      </c>
      <c r="G45" s="32"/>
      <c r="H45" s="32"/>
      <c r="I45" s="33" t="str">
        <f>IFERROR(__xludf.DUMMYFUNCTION("""COMPUTED_VALUE"""),"aquib.azmain@bracu.ac.bd")</f>
        <v>aquib.azmain@bracu.ac.bd</v>
      </c>
    </row>
    <row r="46">
      <c r="A46" s="34" t="str">
        <f>IFERROR(__xludf.DUMMYFUNCTION("""COMPUTED_VALUE"""),"CSE472")</f>
        <v>CSE472</v>
      </c>
      <c r="B46" s="35" t="str">
        <f>IFERROR(__xludf.DUMMYFUNCTION("""COMPUTED_VALUE"""),"FDC")</f>
        <v>FDC</v>
      </c>
      <c r="C46" s="35"/>
      <c r="D46" s="35"/>
      <c r="E46" s="36" t="str">
        <f>IFERROR(__xludf.DUMMYFUNCTION("""COMPUTED_VALUE"""),"farida.chowdhury@bracu.ac.bd")</f>
        <v>farida.chowdhury@bracu.ac.bd</v>
      </c>
      <c r="F46" s="37"/>
      <c r="G46" s="37"/>
      <c r="H46" s="37"/>
      <c r="I46" s="38" t="str">
        <f>IFERROR(__xludf.DUMMYFUNCTION("""COMPUTED_VALUE"""),"")</f>
        <v/>
      </c>
    </row>
    <row r="47">
      <c r="A47" s="29" t="str">
        <f>IFERROR(__xludf.DUMMYFUNCTION("""COMPUTED_VALUE"""),"CSE474")</f>
        <v>CSE474</v>
      </c>
      <c r="B47" s="30" t="str">
        <f>IFERROR(__xludf.DUMMYFUNCTION("""COMPUTED_VALUE"""),"AAR")</f>
        <v>AAR</v>
      </c>
      <c r="C47" s="30"/>
      <c r="D47" s="30"/>
      <c r="E47" s="31" t="str">
        <f>IFERROR(__xludf.DUMMYFUNCTION("""COMPUTED_VALUE"""),"annajiat@bracu.ac.bd")</f>
        <v>annajiat@bracu.ac.bd</v>
      </c>
      <c r="F47" s="32" t="str">
        <f>IFERROR(__xludf.DUMMYFUNCTION("""COMPUTED_VALUE"""),"AAR")</f>
        <v>AAR</v>
      </c>
      <c r="G47" s="32"/>
      <c r="H47" s="32"/>
      <c r="I47" s="33" t="str">
        <f>IFERROR(__xludf.DUMMYFUNCTION("""COMPUTED_VALUE"""),"annajiat@bracu.ac.bd")</f>
        <v>annajiat@bracu.ac.bd</v>
      </c>
    </row>
    <row r="48">
      <c r="A48" s="34" t="str">
        <f>IFERROR(__xludf.DUMMYFUNCTION("""COMPUTED_VALUE"""),"CSE481")</f>
        <v>CSE481</v>
      </c>
      <c r="B48" s="35" t="str">
        <f>IFERROR(__xludf.DUMMYFUNCTION("""COMPUTED_VALUE"""),"SDS")</f>
        <v>SDS</v>
      </c>
      <c r="C48" s="35"/>
      <c r="D48" s="35"/>
      <c r="E48" s="36" t="str">
        <f>IFERROR(__xludf.DUMMYFUNCTION("""COMPUTED_VALUE"""),"shadman.shahriar@bracu.ac.bd")</f>
        <v>shadman.shahriar@bracu.ac.bd</v>
      </c>
      <c r="F48" s="37" t="str">
        <f>IFERROR(__xludf.DUMMYFUNCTION("""COMPUTED_VALUE"""),"SDS")</f>
        <v>SDS</v>
      </c>
      <c r="G48" s="37"/>
      <c r="H48" s="37"/>
      <c r="I48" s="38" t="str">
        <f>IFERROR(__xludf.DUMMYFUNCTION("""COMPUTED_VALUE"""),"shadman.shahriar@bracu.ac.bd")</f>
        <v>shadman.shahriar@bracu.ac.bd</v>
      </c>
    </row>
    <row r="49">
      <c r="A49" s="29" t="str">
        <f>IFERROR(__xludf.DUMMYFUNCTION("""COMPUTED_VALUE"""),"CSE482")</f>
        <v>CSE482</v>
      </c>
      <c r="B49" s="30" t="str">
        <f>IFERROR(__xludf.DUMMYFUNCTION("""COMPUTED_VALUE"""),"SDS")</f>
        <v>SDS</v>
      </c>
      <c r="C49" s="30"/>
      <c r="D49" s="30"/>
      <c r="E49" s="31" t="str">
        <f>IFERROR(__xludf.DUMMYFUNCTION("""COMPUTED_VALUE"""),"shadman.shahriar@bracu.ac.bd")</f>
        <v>shadman.shahriar@bracu.ac.bd</v>
      </c>
      <c r="F49" s="32" t="str">
        <f>IFERROR(__xludf.DUMMYFUNCTION("""COMPUTED_VALUE"""),"SDS")</f>
        <v>SDS</v>
      </c>
      <c r="G49" s="32"/>
      <c r="H49" s="32"/>
      <c r="I49" s="33" t="str">
        <f>IFERROR(__xludf.DUMMYFUNCTION("""COMPUTED_VALUE"""),"shadman.shahriar@bracu.ac.bd")</f>
        <v>shadman.shahriar@bracu.ac.bd</v>
      </c>
    </row>
    <row r="50">
      <c r="A50" s="34" t="str">
        <f>IFERROR(__xludf.DUMMYFUNCTION("""COMPUTED_VALUE"""),"CSE489")</f>
        <v>CSE489</v>
      </c>
      <c r="B50" s="35" t="str">
        <f>IFERROR(__xludf.DUMMYFUNCTION("""COMPUTED_VALUE"""),"ADR")</f>
        <v>ADR</v>
      </c>
      <c r="C50" s="35"/>
      <c r="D50" s="35"/>
      <c r="E50" s="36" t="str">
        <f>IFERROR(__xludf.DUMMYFUNCTION("""COMPUTED_VALUE"""),"abdur.rahman@bracu.ac.bd")</f>
        <v>abdur.rahman@bracu.ac.bd</v>
      </c>
      <c r="F50" s="37" t="str">
        <f>IFERROR(__xludf.DUMMYFUNCTION("""COMPUTED_VALUE"""),"ADR")</f>
        <v>ADR</v>
      </c>
      <c r="G50" s="37"/>
      <c r="H50" s="37"/>
      <c r="I50" s="38" t="str">
        <f>IFERROR(__xludf.DUMMYFUNCTION("""COMPUTED_VALUE"""),"abdur.rahman@bracu.ac.bd")</f>
        <v>abdur.rahman@bracu.ac.bd</v>
      </c>
    </row>
    <row r="51">
      <c r="A51" s="29" t="str">
        <f>IFERROR(__xludf.DUMMYFUNCTION("""COMPUTED_VALUE"""),"CSE490B")</f>
        <v>CSE490B</v>
      </c>
      <c r="B51" s="30" t="str">
        <f>IFERROR(__xludf.DUMMYFUNCTION("""COMPUTED_VALUE"""),"TLQ")</f>
        <v>TLQ</v>
      </c>
      <c r="C51" s="30"/>
      <c r="D51" s="30"/>
      <c r="E51" s="31" t="str">
        <f>IFERROR(__xludf.DUMMYFUNCTION("""COMPUTED_VALUE"""),"taiabul.haque@bracu.ac.bd")</f>
        <v>taiabul.haque@bracu.ac.bd</v>
      </c>
      <c r="F51" s="32"/>
      <c r="G51" s="32"/>
      <c r="H51" s="32"/>
      <c r="I51" s="33" t="str">
        <f>IFERROR(__xludf.DUMMYFUNCTION("""COMPUTED_VALUE"""),"")</f>
        <v/>
      </c>
    </row>
    <row r="52">
      <c r="A52" s="34" t="str">
        <f>IFERROR(__xludf.DUMMYFUNCTION("""COMPUTED_VALUE"""),"CSE490C")</f>
        <v>CSE490C</v>
      </c>
      <c r="B52" s="35" t="str">
        <f>IFERROR(__xludf.DUMMYFUNCTION("""COMPUTED_VALUE"""),"SDAS")</f>
        <v>SDAS</v>
      </c>
      <c r="C52" s="35"/>
      <c r="D52" s="35"/>
      <c r="E52" s="36" t="str">
        <f>IFERROR(__xludf.DUMMYFUNCTION("""COMPUTED_VALUE"""),"sowmitra.das@bracu.ac.bd")</f>
        <v>sowmitra.das@bracu.ac.bd</v>
      </c>
      <c r="F52" s="37"/>
      <c r="G52" s="37"/>
      <c r="H52" s="37"/>
      <c r="I52" s="38" t="str">
        <f>IFERROR(__xludf.DUMMYFUNCTION("""COMPUTED_VALUE"""),"")</f>
        <v/>
      </c>
    </row>
    <row r="53">
      <c r="A53" s="29" t="str">
        <f>IFERROR(__xludf.DUMMYFUNCTION("""COMPUTED_VALUE"""),"CSE490D")</f>
        <v>CSE490D</v>
      </c>
      <c r="B53" s="30" t="str">
        <f>IFERROR(__xludf.DUMMYFUNCTION("""COMPUTED_VALUE"""),"TAV")</f>
        <v>TAV</v>
      </c>
      <c r="C53" s="30"/>
      <c r="D53" s="30"/>
      <c r="E53" s="31" t="str">
        <f>IFERROR(__xludf.DUMMYFUNCTION("""COMPUTED_VALUE"""),"tarvir.anjum@bracu.ac.bd")</f>
        <v>tarvir.anjum@bracu.ac.bd</v>
      </c>
      <c r="F53" s="32"/>
      <c r="G53" s="32"/>
      <c r="H53" s="32"/>
      <c r="I53" s="33" t="str">
        <f>IFERROR(__xludf.DUMMYFUNCTION("""COMPUTED_VALUE"""),"")</f>
        <v/>
      </c>
    </row>
    <row r="54">
      <c r="A54" s="34"/>
      <c r="B54" s="35"/>
      <c r="C54" s="35"/>
      <c r="D54" s="35"/>
      <c r="E54" s="36"/>
      <c r="F54" s="37"/>
      <c r="G54" s="37"/>
      <c r="H54" s="37"/>
      <c r="I54" s="38" t="str">
        <f>IFERROR(__xludf.DUMMYFUNCTION("""COMPUTED_VALUE"""),"")</f>
        <v/>
      </c>
    </row>
    <row r="55">
      <c r="A55" s="29"/>
      <c r="B55" s="30"/>
      <c r="C55" s="30"/>
      <c r="D55" s="30"/>
      <c r="E55" s="31"/>
      <c r="F55" s="32"/>
      <c r="G55" s="32"/>
      <c r="H55" s="32"/>
      <c r="I55" s="33" t="str">
        <f>IFERROR(__xludf.DUMMYFUNCTION("""COMPUTED_VALUE"""),"")</f>
        <v/>
      </c>
    </row>
    <row r="56">
      <c r="A56" s="34"/>
      <c r="B56" s="35"/>
      <c r="C56" s="35"/>
      <c r="D56" s="35"/>
      <c r="E56" s="36"/>
      <c r="F56" s="37"/>
      <c r="G56" s="37"/>
      <c r="H56" s="37"/>
      <c r="I56" s="38" t="str">
        <f>IFERROR(__xludf.DUMMYFUNCTION("""COMPUTED_VALUE"""),"")</f>
        <v/>
      </c>
    </row>
    <row r="57">
      <c r="A57" s="29"/>
      <c r="B57" s="30"/>
      <c r="C57" s="30"/>
      <c r="D57" s="30"/>
      <c r="E57" s="31"/>
      <c r="F57" s="32"/>
      <c r="G57" s="32"/>
      <c r="H57" s="32"/>
      <c r="I57" s="33" t="str">
        <f>IFERROR(__xludf.DUMMYFUNCTION("""COMPUTED_VALUE"""),"")</f>
        <v/>
      </c>
    </row>
    <row r="58">
      <c r="A58" s="34"/>
      <c r="B58" s="35"/>
      <c r="C58" s="35"/>
      <c r="D58" s="35"/>
      <c r="E58" s="36"/>
      <c r="F58" s="37"/>
      <c r="G58" s="37"/>
      <c r="H58" s="37"/>
      <c r="I58" s="38" t="str">
        <f>IFERROR(__xludf.DUMMYFUNCTION("""COMPUTED_VALUE"""),"")</f>
        <v/>
      </c>
    </row>
    <row r="59">
      <c r="A59" s="29"/>
      <c r="B59" s="30"/>
      <c r="C59" s="30"/>
      <c r="D59" s="30"/>
      <c r="E59" s="31"/>
      <c r="F59" s="32"/>
      <c r="G59" s="32"/>
      <c r="H59" s="32"/>
      <c r="I59" s="33" t="str">
        <f>IFERROR(__xludf.DUMMYFUNCTION("""COMPUTED_VALUE"""),"")</f>
        <v/>
      </c>
    </row>
    <row r="60">
      <c r="A60" s="34"/>
      <c r="B60" s="35"/>
      <c r="C60" s="35"/>
      <c r="D60" s="35"/>
      <c r="E60" s="36"/>
      <c r="F60" s="37"/>
      <c r="G60" s="37"/>
      <c r="H60" s="37"/>
      <c r="I60" s="38" t="str">
        <f>IFERROR(__xludf.DUMMYFUNCTION("""COMPUTED_VALUE"""),"")</f>
        <v/>
      </c>
    </row>
    <row r="61">
      <c r="A61" s="29"/>
      <c r="B61" s="30"/>
      <c r="C61" s="30"/>
      <c r="D61" s="30"/>
      <c r="E61" s="31"/>
      <c r="F61" s="32"/>
      <c r="G61" s="32"/>
      <c r="H61" s="32"/>
      <c r="I61" s="33" t="str">
        <f>IFERROR(__xludf.DUMMYFUNCTION("""COMPUTED_VALUE"""),"")</f>
        <v/>
      </c>
    </row>
    <row r="62">
      <c r="A62" s="34"/>
      <c r="B62" s="35"/>
      <c r="C62" s="35"/>
      <c r="D62" s="35"/>
      <c r="E62" s="36"/>
      <c r="F62" s="37"/>
      <c r="G62" s="37"/>
      <c r="H62" s="37"/>
      <c r="I62" s="38" t="str">
        <f>IFERROR(__xludf.DUMMYFUNCTION("""COMPUTED_VALUE"""),"")</f>
        <v/>
      </c>
    </row>
    <row r="63">
      <c r="A63" s="29"/>
      <c r="B63" s="30"/>
      <c r="C63" s="30"/>
      <c r="D63" s="30"/>
      <c r="E63" s="31"/>
      <c r="F63" s="32"/>
      <c r="G63" s="32"/>
      <c r="H63" s="32"/>
      <c r="I63" s="33" t="str">
        <f>IFERROR(__xludf.DUMMYFUNCTION("""COMPUTED_VALUE"""),"")</f>
        <v/>
      </c>
    </row>
    <row r="64">
      <c r="A64" s="34"/>
      <c r="B64" s="35"/>
      <c r="C64" s="35"/>
      <c r="D64" s="35"/>
      <c r="E64" s="36"/>
      <c r="F64" s="37"/>
      <c r="G64" s="37"/>
      <c r="H64" s="37"/>
      <c r="I64" s="38" t="str">
        <f>IFERROR(__xludf.DUMMYFUNCTION("""COMPUTED_VALUE"""),"")</f>
        <v/>
      </c>
    </row>
    <row r="65">
      <c r="A65" s="29"/>
      <c r="B65" s="30"/>
      <c r="C65" s="30"/>
      <c r="D65" s="30"/>
      <c r="E65" s="31"/>
      <c r="F65" s="32"/>
      <c r="G65" s="32"/>
      <c r="H65" s="32"/>
      <c r="I65" s="33"/>
    </row>
    <row r="66">
      <c r="A66" s="34"/>
      <c r="B66" s="35"/>
      <c r="C66" s="35"/>
      <c r="D66" s="35"/>
      <c r="E66" s="36"/>
      <c r="F66" s="37"/>
      <c r="G66" s="37"/>
      <c r="H66" s="37"/>
      <c r="I66" s="38" t="str">
        <f>IFERROR(__xludf.DUMMYFUNCTION("""COMPUTED_VALUE"""),"")</f>
        <v/>
      </c>
    </row>
    <row r="67">
      <c r="A67" s="29"/>
      <c r="B67" s="30"/>
      <c r="C67" s="30"/>
      <c r="D67" s="30"/>
      <c r="E67" s="31"/>
      <c r="F67" s="32"/>
      <c r="G67" s="32"/>
      <c r="H67" s="32"/>
      <c r="I67" s="33" t="str">
        <f>IFERROR(__xludf.DUMMYFUNCTION("""COMPUTED_VALUE"""),"")</f>
        <v/>
      </c>
    </row>
    <row r="68">
      <c r="A68" s="34"/>
      <c r="B68" s="35"/>
      <c r="C68" s="35"/>
      <c r="D68" s="35"/>
      <c r="E68" s="36"/>
      <c r="F68" s="37"/>
      <c r="G68" s="37"/>
      <c r="H68" s="37"/>
      <c r="I68" s="38" t="str">
        <f>IFERROR(__xludf.DUMMYFUNCTION("""COMPUTED_VALUE"""),"")</f>
        <v/>
      </c>
    </row>
    <row r="69">
      <c r="A69" s="29"/>
      <c r="B69" s="30"/>
      <c r="C69" s="30"/>
      <c r="D69" s="30"/>
      <c r="E69" s="31"/>
      <c r="F69" s="32"/>
      <c r="G69" s="32"/>
      <c r="H69" s="32"/>
      <c r="I69" s="33" t="str">
        <f>IFERROR(__xludf.DUMMYFUNCTION("""COMPUTED_VALUE"""),"")</f>
        <v/>
      </c>
    </row>
    <row r="70">
      <c r="A70" s="34"/>
      <c r="B70" s="35"/>
      <c r="C70" s="35"/>
      <c r="D70" s="35"/>
      <c r="E70" s="36" t="str">
        <f>IFERROR(__xludf.DUMMYFUNCTION("""COMPUTED_VALUE"""),"")</f>
        <v/>
      </c>
      <c r="F70" s="37"/>
      <c r="G70" s="37"/>
      <c r="H70" s="37"/>
      <c r="I70" s="38" t="str">
        <f>IFERROR(__xludf.DUMMYFUNCTION("""COMPUTED_VALUE"""),"")</f>
        <v/>
      </c>
    </row>
    <row r="71">
      <c r="A71" s="29"/>
      <c r="B71" s="30"/>
      <c r="C71" s="30"/>
      <c r="D71" s="30"/>
      <c r="E71" s="31" t="str">
        <f>IFERROR(__xludf.DUMMYFUNCTION("""COMPUTED_VALUE"""),"")</f>
        <v/>
      </c>
      <c r="F71" s="32"/>
      <c r="G71" s="32"/>
      <c r="H71" s="32"/>
      <c r="I71" s="33" t="str">
        <f>IFERROR(__xludf.DUMMYFUNCTION("""COMPUTED_VALUE"""),"")</f>
        <v/>
      </c>
    </row>
    <row r="72">
      <c r="A72" s="34"/>
      <c r="B72" s="35"/>
      <c r="C72" s="35"/>
      <c r="D72" s="35"/>
      <c r="E72" s="36" t="str">
        <f>IFERROR(__xludf.DUMMYFUNCTION("""COMPUTED_VALUE"""),"")</f>
        <v/>
      </c>
      <c r="F72" s="37"/>
      <c r="G72" s="37"/>
      <c r="H72" s="37"/>
      <c r="I72" s="38" t="str">
        <f>IFERROR(__xludf.DUMMYFUNCTION("""COMPUTED_VALUE"""),"")</f>
        <v/>
      </c>
    </row>
    <row r="73">
      <c r="A73" s="29"/>
      <c r="B73" s="30"/>
      <c r="C73" s="30"/>
      <c r="D73" s="30"/>
      <c r="E73" s="31" t="str">
        <f>IFERROR(__xludf.DUMMYFUNCTION("""COMPUTED_VALUE"""),"")</f>
        <v/>
      </c>
      <c r="F73" s="32"/>
      <c r="G73" s="32"/>
      <c r="H73" s="32"/>
      <c r="I73" s="33" t="str">
        <f>IFERROR(__xludf.DUMMYFUNCTION("""COMPUTED_VALUE"""),"")</f>
        <v/>
      </c>
    </row>
    <row r="74">
      <c r="A74" s="34"/>
      <c r="B74" s="35"/>
      <c r="C74" s="35"/>
      <c r="D74" s="35"/>
      <c r="E74" s="36" t="str">
        <f>IFERROR(__xludf.DUMMYFUNCTION("""COMPUTED_VALUE"""),"")</f>
        <v/>
      </c>
      <c r="F74" s="37"/>
      <c r="G74" s="37"/>
      <c r="H74" s="37"/>
      <c r="I74" s="38" t="str">
        <f>IFERROR(__xludf.DUMMYFUNCTION("""COMPUTED_VALUE"""),"")</f>
        <v/>
      </c>
    </row>
    <row r="75">
      <c r="A75" s="29"/>
      <c r="B75" s="30"/>
      <c r="C75" s="30"/>
      <c r="D75" s="30"/>
      <c r="E75" s="31" t="str">
        <f>IFERROR(__xludf.DUMMYFUNCTION("""COMPUTED_VALUE"""),"")</f>
        <v/>
      </c>
      <c r="F75" s="32"/>
      <c r="G75" s="32"/>
      <c r="H75" s="32"/>
      <c r="I75" s="33" t="str">
        <f>IFERROR(__xludf.DUMMYFUNCTION("""COMPUTED_VALUE"""),"")</f>
        <v/>
      </c>
    </row>
    <row r="76">
      <c r="A76" s="34"/>
      <c r="B76" s="35"/>
      <c r="C76" s="35"/>
      <c r="D76" s="35"/>
      <c r="E76" s="36" t="str">
        <f>IFERROR(__xludf.DUMMYFUNCTION("""COMPUTED_VALUE"""),"")</f>
        <v/>
      </c>
      <c r="F76" s="37"/>
      <c r="G76" s="37"/>
      <c r="H76" s="37"/>
      <c r="I76" s="38" t="str">
        <f>IFERROR(__xludf.DUMMYFUNCTION("""COMPUTED_VALUE"""),"")</f>
        <v/>
      </c>
    </row>
    <row r="77">
      <c r="A77" s="29"/>
      <c r="B77" s="30"/>
      <c r="C77" s="30"/>
      <c r="D77" s="30"/>
      <c r="E77" s="31" t="str">
        <f>IFERROR(__xludf.DUMMYFUNCTION("""COMPUTED_VALUE"""),"")</f>
        <v/>
      </c>
      <c r="F77" s="32"/>
      <c r="G77" s="32"/>
      <c r="H77" s="32"/>
      <c r="I77" s="33" t="str">
        <f>IFERROR(__xludf.DUMMYFUNCTION("""COMPUTED_VALUE"""),"")</f>
        <v/>
      </c>
    </row>
    <row r="78">
      <c r="A78" s="34"/>
      <c r="B78" s="35"/>
      <c r="C78" s="35"/>
      <c r="D78" s="35"/>
      <c r="E78" s="36" t="str">
        <f>IFERROR(__xludf.DUMMYFUNCTION("""COMPUTED_VALUE"""),"")</f>
        <v/>
      </c>
      <c r="F78" s="37"/>
      <c r="G78" s="37"/>
      <c r="H78" s="37"/>
      <c r="I78" s="38" t="str">
        <f>IFERROR(__xludf.DUMMYFUNCTION("""COMPUTED_VALUE"""),"")</f>
        <v/>
      </c>
    </row>
    <row r="79">
      <c r="A79" s="29"/>
      <c r="B79" s="30"/>
      <c r="C79" s="30"/>
      <c r="D79" s="30"/>
      <c r="E79" s="31" t="str">
        <f>IFERROR(__xludf.DUMMYFUNCTION("""COMPUTED_VALUE"""),"")</f>
        <v/>
      </c>
      <c r="F79" s="32"/>
      <c r="G79" s="32"/>
      <c r="H79" s="32"/>
      <c r="I79" s="33" t="str">
        <f>IFERROR(__xludf.DUMMYFUNCTION("""COMPUTED_VALUE"""),"")</f>
        <v/>
      </c>
    </row>
    <row r="80">
      <c r="A80" s="34"/>
      <c r="B80" s="35"/>
      <c r="C80" s="35"/>
      <c r="D80" s="35"/>
      <c r="E80" s="36" t="str">
        <f>IFERROR(__xludf.DUMMYFUNCTION("""COMPUTED_VALUE"""),"")</f>
        <v/>
      </c>
      <c r="F80" s="37"/>
      <c r="G80" s="37"/>
      <c r="H80" s="37"/>
      <c r="I80" s="38" t="str">
        <f>IFERROR(__xludf.DUMMYFUNCTION("""COMPUTED_VALUE"""),"")</f>
        <v/>
      </c>
    </row>
    <row r="81">
      <c r="A81" s="29"/>
      <c r="B81" s="30"/>
      <c r="C81" s="30"/>
      <c r="D81" s="30"/>
      <c r="E81" s="31" t="str">
        <f>IFERROR(__xludf.DUMMYFUNCTION("""COMPUTED_VALUE"""),"")</f>
        <v/>
      </c>
      <c r="F81" s="32"/>
      <c r="G81" s="32"/>
      <c r="H81" s="32"/>
      <c r="I81" s="33" t="str">
        <f>IFERROR(__xludf.DUMMYFUNCTION("""COMPUTED_VALUE"""),"")</f>
        <v/>
      </c>
    </row>
    <row r="82">
      <c r="A82" s="34"/>
      <c r="B82" s="35"/>
      <c r="C82" s="35"/>
      <c r="D82" s="35"/>
      <c r="E82" s="36" t="str">
        <f>IFERROR(__xludf.DUMMYFUNCTION("""COMPUTED_VALUE"""),"")</f>
        <v/>
      </c>
      <c r="F82" s="37"/>
      <c r="G82" s="37"/>
      <c r="H82" s="37"/>
      <c r="I82" s="38" t="str">
        <f>IFERROR(__xludf.DUMMYFUNCTION("""COMPUTED_VALUE"""),"")</f>
        <v/>
      </c>
    </row>
    <row r="83">
      <c r="A83" s="29"/>
      <c r="B83" s="30"/>
      <c r="C83" s="30"/>
      <c r="D83" s="30"/>
      <c r="E83" s="31" t="str">
        <f>IFERROR(__xludf.DUMMYFUNCTION("""COMPUTED_VALUE"""),"")</f>
        <v/>
      </c>
      <c r="F83" s="32"/>
      <c r="G83" s="32"/>
      <c r="H83" s="32"/>
      <c r="I83" s="33" t="str">
        <f>IFERROR(__xludf.DUMMYFUNCTION("""COMPUTED_VALUE"""),"")</f>
        <v/>
      </c>
    </row>
    <row r="84">
      <c r="A84" s="34"/>
      <c r="B84" s="35"/>
      <c r="C84" s="35"/>
      <c r="D84" s="35"/>
      <c r="E84" s="36" t="str">
        <f>IFERROR(__xludf.DUMMYFUNCTION("""COMPUTED_VALUE"""),"")</f>
        <v/>
      </c>
      <c r="F84" s="37"/>
      <c r="G84" s="37"/>
      <c r="H84" s="37"/>
      <c r="I84" s="38" t="str">
        <f>IFERROR(__xludf.DUMMYFUNCTION("""COMPUTED_VALUE"""),"")</f>
        <v/>
      </c>
    </row>
    <row r="85">
      <c r="A85" s="29"/>
      <c r="B85" s="30"/>
      <c r="C85" s="30"/>
      <c r="D85" s="30"/>
      <c r="E85" s="31" t="str">
        <f>IFERROR(__xludf.DUMMYFUNCTION("""COMPUTED_VALUE"""),"")</f>
        <v/>
      </c>
      <c r="F85" s="32"/>
      <c r="G85" s="32"/>
      <c r="H85" s="32"/>
      <c r="I85" s="33" t="str">
        <f>IFERROR(__xludf.DUMMYFUNCTION("""COMPUTED_VALUE"""),"")</f>
        <v/>
      </c>
    </row>
    <row r="86">
      <c r="A86" s="34"/>
      <c r="B86" s="35"/>
      <c r="C86" s="35"/>
      <c r="D86" s="35"/>
      <c r="E86" s="36" t="str">
        <f>IFERROR(__xludf.DUMMYFUNCTION("""COMPUTED_VALUE"""),"")</f>
        <v/>
      </c>
      <c r="F86" s="37"/>
      <c r="G86" s="37"/>
      <c r="H86" s="37"/>
      <c r="I86" s="38" t="str">
        <f>IFERROR(__xludf.DUMMYFUNCTION("""COMPUTED_VALUE"""),"")</f>
        <v/>
      </c>
    </row>
    <row r="87">
      <c r="A87" s="29"/>
      <c r="B87" s="30"/>
      <c r="C87" s="30"/>
      <c r="D87" s="30"/>
      <c r="E87" s="31" t="str">
        <f>IFERROR(__xludf.DUMMYFUNCTION("""COMPUTED_VALUE"""),"")</f>
        <v/>
      </c>
      <c r="F87" s="32"/>
      <c r="G87" s="32"/>
      <c r="H87" s="32"/>
      <c r="I87" s="33" t="str">
        <f>IFERROR(__xludf.DUMMYFUNCTION("""COMPUTED_VALUE"""),"")</f>
        <v/>
      </c>
    </row>
    <row r="88">
      <c r="A88" s="34"/>
      <c r="B88" s="35"/>
      <c r="C88" s="35"/>
      <c r="D88" s="35"/>
      <c r="E88" s="36" t="str">
        <f>IFERROR(__xludf.DUMMYFUNCTION("""COMPUTED_VALUE"""),"")</f>
        <v/>
      </c>
      <c r="F88" s="37"/>
      <c r="G88" s="37"/>
      <c r="H88" s="37"/>
      <c r="I88" s="38" t="str">
        <f>IFERROR(__xludf.DUMMYFUNCTION("""COMPUTED_VALUE"""),"")</f>
        <v/>
      </c>
    </row>
    <row r="89">
      <c r="A89" s="29"/>
      <c r="B89" s="30"/>
      <c r="C89" s="30"/>
      <c r="D89" s="30"/>
      <c r="E89" s="31" t="str">
        <f>IFERROR(__xludf.DUMMYFUNCTION("""COMPUTED_VALUE"""),"")</f>
        <v/>
      </c>
      <c r="F89" s="32"/>
      <c r="G89" s="32"/>
      <c r="H89" s="32"/>
      <c r="I89" s="33" t="str">
        <f>IFERROR(__xludf.DUMMYFUNCTION("""COMPUTED_VALUE"""),"")</f>
        <v/>
      </c>
    </row>
    <row r="90">
      <c r="A90" s="34"/>
      <c r="B90" s="35"/>
      <c r="C90" s="35"/>
      <c r="D90" s="35"/>
      <c r="E90" s="36" t="str">
        <f>IFERROR(__xludf.DUMMYFUNCTION("""COMPUTED_VALUE"""),"")</f>
        <v/>
      </c>
      <c r="F90" s="37"/>
      <c r="G90" s="37"/>
      <c r="H90" s="37"/>
      <c r="I90" s="38" t="str">
        <f>IFERROR(__xludf.DUMMYFUNCTION("""COMPUTED_VALUE"""),"")</f>
        <v/>
      </c>
    </row>
    <row r="91">
      <c r="A91" s="29"/>
      <c r="B91" s="30"/>
      <c r="C91" s="30"/>
      <c r="D91" s="30"/>
      <c r="E91" s="31" t="str">
        <f>IFERROR(__xludf.DUMMYFUNCTION("""COMPUTED_VALUE"""),"")</f>
        <v/>
      </c>
      <c r="F91" s="32"/>
      <c r="G91" s="32"/>
      <c r="H91" s="32"/>
      <c r="I91" s="33" t="str">
        <f>IFERROR(__xludf.DUMMYFUNCTION("""COMPUTED_VALUE"""),"")</f>
        <v/>
      </c>
    </row>
    <row r="92">
      <c r="A92" s="34"/>
      <c r="B92" s="35"/>
      <c r="C92" s="35"/>
      <c r="D92" s="35"/>
      <c r="E92" s="36" t="str">
        <f>IFERROR(__xludf.DUMMYFUNCTION("""COMPUTED_VALUE"""),"")</f>
        <v/>
      </c>
      <c r="F92" s="37"/>
      <c r="G92" s="37"/>
      <c r="H92" s="37"/>
      <c r="I92" s="38" t="str">
        <f>IFERROR(__xludf.DUMMYFUNCTION("""COMPUTED_VALUE"""),"")</f>
        <v/>
      </c>
    </row>
    <row r="93">
      <c r="A93" s="29"/>
      <c r="B93" s="30"/>
      <c r="C93" s="30"/>
      <c r="D93" s="30"/>
      <c r="E93" s="31" t="str">
        <f>IFERROR(__xludf.DUMMYFUNCTION("""COMPUTED_VALUE"""),"")</f>
        <v/>
      </c>
      <c r="F93" s="32"/>
      <c r="G93" s="32"/>
      <c r="H93" s="32"/>
      <c r="I93" s="33" t="str">
        <f>IFERROR(__xludf.DUMMYFUNCTION("""COMPUTED_VALUE"""),"")</f>
        <v/>
      </c>
    </row>
    <row r="94">
      <c r="A94" s="34"/>
      <c r="B94" s="35"/>
      <c r="C94" s="35"/>
      <c r="D94" s="35"/>
      <c r="E94" s="36" t="str">
        <f>IFERROR(__xludf.DUMMYFUNCTION("""COMPUTED_VALUE"""),"")</f>
        <v/>
      </c>
      <c r="F94" s="37"/>
      <c r="G94" s="37"/>
      <c r="H94" s="37"/>
      <c r="I94" s="38" t="str">
        <f>IFERROR(__xludf.DUMMYFUNCTION("""COMPUTED_VALUE"""),"")</f>
        <v/>
      </c>
    </row>
    <row r="95">
      <c r="A95" s="29"/>
      <c r="B95" s="30"/>
      <c r="C95" s="30"/>
      <c r="D95" s="30"/>
      <c r="E95" s="31" t="str">
        <f>IFERROR(__xludf.DUMMYFUNCTION("""COMPUTED_VALUE"""),"")</f>
        <v/>
      </c>
      <c r="F95" s="32"/>
      <c r="G95" s="32"/>
      <c r="H95" s="32"/>
      <c r="I95" s="33" t="str">
        <f>IFERROR(__xludf.DUMMYFUNCTION("""COMPUTED_VALUE"""),"")</f>
        <v/>
      </c>
    </row>
    <row r="96">
      <c r="A96" s="34"/>
      <c r="B96" s="35"/>
      <c r="C96" s="35"/>
      <c r="D96" s="35"/>
      <c r="E96" s="36" t="str">
        <f>IFERROR(__xludf.DUMMYFUNCTION("""COMPUTED_VALUE"""),"")</f>
        <v/>
      </c>
      <c r="F96" s="37"/>
      <c r="G96" s="37"/>
      <c r="H96" s="37"/>
      <c r="I96" s="38" t="str">
        <f>IFERROR(__xludf.DUMMYFUNCTION("""COMPUTED_VALUE"""),"")</f>
        <v/>
      </c>
    </row>
    <row r="97">
      <c r="A97" s="29"/>
      <c r="B97" s="30"/>
      <c r="C97" s="30"/>
      <c r="D97" s="30"/>
      <c r="E97" s="31" t="str">
        <f>IFERROR(__xludf.DUMMYFUNCTION("""COMPUTED_VALUE"""),"")</f>
        <v/>
      </c>
      <c r="F97" s="32"/>
      <c r="G97" s="32"/>
      <c r="H97" s="32"/>
      <c r="I97" s="33" t="str">
        <f>IFERROR(__xludf.DUMMYFUNCTION("""COMPUTED_VALUE"""),"")</f>
        <v/>
      </c>
    </row>
    <row r="98">
      <c r="A98" s="34"/>
      <c r="B98" s="35"/>
      <c r="C98" s="35"/>
      <c r="D98" s="35"/>
      <c r="E98" s="36" t="str">
        <f>IFERROR(__xludf.DUMMYFUNCTION("""COMPUTED_VALUE"""),"")</f>
        <v/>
      </c>
      <c r="F98" s="37"/>
      <c r="G98" s="37"/>
      <c r="H98" s="37"/>
      <c r="I98" s="38" t="str">
        <f>IFERROR(__xludf.DUMMYFUNCTION("""COMPUTED_VALUE"""),"")</f>
        <v/>
      </c>
    </row>
    <row r="99">
      <c r="A99" s="29"/>
      <c r="B99" s="30"/>
      <c r="C99" s="30"/>
      <c r="D99" s="30"/>
      <c r="E99" s="31" t="str">
        <f>IFERROR(__xludf.DUMMYFUNCTION("""COMPUTED_VALUE"""),"")</f>
        <v/>
      </c>
      <c r="F99" s="32"/>
      <c r="G99" s="32"/>
      <c r="H99" s="32"/>
      <c r="I99" s="33" t="str">
        <f>IFERROR(__xludf.DUMMYFUNCTION("""COMPUTED_VALUE"""),"")</f>
        <v/>
      </c>
    </row>
    <row r="100">
      <c r="A100" s="34"/>
      <c r="B100" s="35"/>
      <c r="C100" s="35"/>
      <c r="D100" s="35"/>
      <c r="E100" s="36" t="str">
        <f>IFERROR(__xludf.DUMMYFUNCTION("""COMPUTED_VALUE"""),"")</f>
        <v/>
      </c>
      <c r="F100" s="37"/>
      <c r="G100" s="37"/>
      <c r="H100" s="37"/>
      <c r="I100" s="38" t="str">
        <f>IFERROR(__xludf.DUMMYFUNCTION("""COMPUTED_VALUE"""),"")</f>
        <v/>
      </c>
    </row>
    <row r="101">
      <c r="A101" s="29"/>
      <c r="B101" s="30"/>
      <c r="C101" s="30"/>
      <c r="D101" s="30"/>
      <c r="E101" s="31" t="str">
        <f>IFERROR(__xludf.DUMMYFUNCTION("""COMPUTED_VALUE"""),"")</f>
        <v/>
      </c>
      <c r="F101" s="32"/>
      <c r="G101" s="32"/>
      <c r="H101" s="32"/>
      <c r="I101" s="33" t="str">
        <f>IFERROR(__xludf.DUMMYFUNCTION("""COMPUTED_VALUE"""),"")</f>
        <v/>
      </c>
    </row>
    <row r="102">
      <c r="A102" s="34"/>
      <c r="B102" s="35"/>
      <c r="C102" s="35"/>
      <c r="D102" s="35"/>
      <c r="E102" s="36" t="str">
        <f>IFERROR(__xludf.DUMMYFUNCTION("""COMPUTED_VALUE"""),"")</f>
        <v/>
      </c>
      <c r="F102" s="37"/>
      <c r="G102" s="37"/>
      <c r="H102" s="37"/>
      <c r="I102" s="38" t="str">
        <f>IFERROR(__xludf.DUMMYFUNCTION("""COMPUTED_VALUE"""),"")</f>
        <v/>
      </c>
    </row>
    <row r="103">
      <c r="A103" s="29"/>
      <c r="B103" s="30"/>
      <c r="C103" s="30"/>
      <c r="D103" s="30"/>
      <c r="E103" s="31" t="str">
        <f>IFERROR(__xludf.DUMMYFUNCTION("""COMPUTED_VALUE"""),"")</f>
        <v/>
      </c>
      <c r="F103" s="32"/>
      <c r="G103" s="32"/>
      <c r="H103" s="32"/>
      <c r="I103" s="33" t="str">
        <f>IFERROR(__xludf.DUMMYFUNCTION("""COMPUTED_VALUE"""),"")</f>
        <v/>
      </c>
    </row>
    <row r="104">
      <c r="A104" s="34"/>
      <c r="B104" s="35"/>
      <c r="C104" s="35"/>
      <c r="D104" s="35"/>
      <c r="E104" s="36" t="str">
        <f>IFERROR(__xludf.DUMMYFUNCTION("""COMPUTED_VALUE"""),"")</f>
        <v/>
      </c>
      <c r="F104" s="37"/>
      <c r="G104" s="37"/>
      <c r="H104" s="37"/>
      <c r="I104" s="38" t="str">
        <f>IFERROR(__xludf.DUMMYFUNCTION("""COMPUTED_VALUE"""),"")</f>
        <v/>
      </c>
    </row>
    <row r="105">
      <c r="A105" s="29"/>
      <c r="B105" s="30"/>
      <c r="C105" s="30"/>
      <c r="D105" s="30"/>
      <c r="E105" s="31" t="str">
        <f>IFERROR(__xludf.DUMMYFUNCTION("""COMPUTED_VALUE"""),"")</f>
        <v/>
      </c>
      <c r="F105" s="32"/>
      <c r="G105" s="32"/>
      <c r="H105" s="32"/>
      <c r="I105" s="33" t="str">
        <f>IFERROR(__xludf.DUMMYFUNCTION("""COMPUTED_VALUE"""),"")</f>
        <v/>
      </c>
    </row>
    <row r="106">
      <c r="A106" s="34"/>
      <c r="B106" s="35"/>
      <c r="C106" s="35"/>
      <c r="D106" s="35"/>
      <c r="E106" s="36" t="str">
        <f>IFERROR(__xludf.DUMMYFUNCTION("""COMPUTED_VALUE"""),"")</f>
        <v/>
      </c>
      <c r="F106" s="37"/>
      <c r="G106" s="37"/>
      <c r="H106" s="37"/>
      <c r="I106" s="38" t="str">
        <f>IFERROR(__xludf.DUMMYFUNCTION("""COMPUTED_VALUE"""),"")</f>
        <v/>
      </c>
    </row>
    <row r="107">
      <c r="A107" s="29"/>
      <c r="B107" s="30"/>
      <c r="C107" s="30"/>
      <c r="D107" s="30"/>
      <c r="E107" s="31" t="str">
        <f>IFERROR(__xludf.DUMMYFUNCTION("""COMPUTED_VALUE"""),"")</f>
        <v/>
      </c>
      <c r="F107" s="32"/>
      <c r="G107" s="32"/>
      <c r="H107" s="32"/>
      <c r="I107" s="33" t="str">
        <f>IFERROR(__xludf.DUMMYFUNCTION("""COMPUTED_VALUE"""),"")</f>
        <v/>
      </c>
    </row>
    <row r="108">
      <c r="A108" s="34"/>
      <c r="B108" s="35"/>
      <c r="C108" s="35"/>
      <c r="D108" s="35"/>
      <c r="E108" s="36" t="str">
        <f>IFERROR(__xludf.DUMMYFUNCTION("""COMPUTED_VALUE"""),"")</f>
        <v/>
      </c>
      <c r="F108" s="37"/>
      <c r="G108" s="37"/>
      <c r="H108" s="37"/>
      <c r="I108" s="38" t="str">
        <f>IFERROR(__xludf.DUMMYFUNCTION("""COMPUTED_VALUE"""),"")</f>
        <v/>
      </c>
    </row>
    <row r="109">
      <c r="A109" s="29"/>
      <c r="B109" s="30"/>
      <c r="C109" s="30"/>
      <c r="D109" s="30"/>
      <c r="E109" s="31" t="str">
        <f>IFERROR(__xludf.DUMMYFUNCTION("""COMPUTED_VALUE"""),"")</f>
        <v/>
      </c>
      <c r="F109" s="32"/>
      <c r="G109" s="32"/>
      <c r="H109" s="32"/>
      <c r="I109" s="33" t="str">
        <f>IFERROR(__xludf.DUMMYFUNCTION("""COMPUTED_VALUE"""),"")</f>
        <v/>
      </c>
    </row>
    <row r="110">
      <c r="A110" s="34"/>
      <c r="B110" s="35"/>
      <c r="C110" s="35"/>
      <c r="D110" s="35"/>
      <c r="E110" s="36" t="str">
        <f>IFERROR(__xludf.DUMMYFUNCTION("""COMPUTED_VALUE"""),"")</f>
        <v/>
      </c>
      <c r="F110" s="37"/>
      <c r="G110" s="37"/>
      <c r="H110" s="37"/>
      <c r="I110" s="38" t="str">
        <f>IFERROR(__xludf.DUMMYFUNCTION("""COMPUTED_VALUE"""),"")</f>
        <v/>
      </c>
    </row>
    <row r="111">
      <c r="A111" s="29"/>
      <c r="B111" s="30"/>
      <c r="C111" s="30"/>
      <c r="D111" s="30"/>
      <c r="E111" s="31" t="str">
        <f>IFERROR(__xludf.DUMMYFUNCTION("""COMPUTED_VALUE"""),"")</f>
        <v/>
      </c>
      <c r="F111" s="32"/>
      <c r="G111" s="32"/>
      <c r="H111" s="32"/>
      <c r="I111" s="33" t="str">
        <f>IFERROR(__xludf.DUMMYFUNCTION("""COMPUTED_VALUE"""),"")</f>
        <v/>
      </c>
    </row>
    <row r="112">
      <c r="A112" s="34"/>
      <c r="B112" s="35"/>
      <c r="C112" s="35"/>
      <c r="D112" s="35"/>
      <c r="E112" s="36" t="str">
        <f>IFERROR(__xludf.DUMMYFUNCTION("""COMPUTED_VALUE"""),"")</f>
        <v/>
      </c>
      <c r="F112" s="37"/>
      <c r="G112" s="37"/>
      <c r="H112" s="37"/>
      <c r="I112" s="38" t="str">
        <f>IFERROR(__xludf.DUMMYFUNCTION("""COMPUTED_VALUE"""),"")</f>
        <v/>
      </c>
    </row>
    <row r="113">
      <c r="A113" s="29"/>
      <c r="B113" s="30"/>
      <c r="C113" s="30"/>
      <c r="D113" s="30"/>
      <c r="E113" s="31" t="str">
        <f>IFERROR(__xludf.DUMMYFUNCTION("""COMPUTED_VALUE"""),"")</f>
        <v/>
      </c>
      <c r="F113" s="32"/>
      <c r="G113" s="32"/>
      <c r="H113" s="32"/>
      <c r="I113" s="33" t="str">
        <f>IFERROR(__xludf.DUMMYFUNCTION("""COMPUTED_VALUE"""),"")</f>
        <v/>
      </c>
    </row>
    <row r="114">
      <c r="A114" s="34"/>
      <c r="B114" s="35"/>
      <c r="C114" s="35"/>
      <c r="D114" s="35"/>
      <c r="E114" s="36" t="str">
        <f>IFERROR(__xludf.DUMMYFUNCTION("""COMPUTED_VALUE"""),"")</f>
        <v/>
      </c>
      <c r="F114" s="37"/>
      <c r="G114" s="37"/>
      <c r="H114" s="37"/>
      <c r="I114" s="38" t="str">
        <f>IFERROR(__xludf.DUMMYFUNCTION("""COMPUTED_VALUE"""),"")</f>
        <v/>
      </c>
    </row>
    <row r="115">
      <c r="A115" s="29"/>
      <c r="B115" s="30"/>
      <c r="C115" s="30"/>
      <c r="D115" s="30"/>
      <c r="E115" s="31" t="str">
        <f>IFERROR(__xludf.DUMMYFUNCTION("""COMPUTED_VALUE"""),"")</f>
        <v/>
      </c>
      <c r="F115" s="32"/>
      <c r="G115" s="32"/>
      <c r="H115" s="32"/>
      <c r="I115" s="33" t="str">
        <f>IFERROR(__xludf.DUMMYFUNCTION("""COMPUTED_VALUE"""),"")</f>
        <v/>
      </c>
    </row>
    <row r="116">
      <c r="A116" s="34"/>
      <c r="B116" s="35"/>
      <c r="C116" s="35"/>
      <c r="D116" s="35"/>
      <c r="E116" s="36" t="str">
        <f>IFERROR(__xludf.DUMMYFUNCTION("""COMPUTED_VALUE"""),"")</f>
        <v/>
      </c>
      <c r="F116" s="37"/>
      <c r="G116" s="37"/>
      <c r="H116" s="37"/>
      <c r="I116" s="38" t="str">
        <f>IFERROR(__xludf.DUMMYFUNCTION("""COMPUTED_VALUE"""),"")</f>
        <v/>
      </c>
    </row>
    <row r="117">
      <c r="A117" s="29"/>
      <c r="B117" s="30"/>
      <c r="C117" s="30"/>
      <c r="D117" s="30"/>
      <c r="E117" s="31" t="str">
        <f>IFERROR(__xludf.DUMMYFUNCTION("""COMPUTED_VALUE"""),"")</f>
        <v/>
      </c>
      <c r="F117" s="32"/>
      <c r="G117" s="32"/>
      <c r="H117" s="32"/>
      <c r="I117" s="33" t="str">
        <f>IFERROR(__xludf.DUMMYFUNCTION("""COMPUTED_VALUE"""),"")</f>
        <v/>
      </c>
    </row>
    <row r="118">
      <c r="A118" s="34"/>
      <c r="B118" s="35"/>
      <c r="C118" s="35"/>
      <c r="D118" s="35"/>
      <c r="E118" s="36" t="str">
        <f>IFERROR(__xludf.DUMMYFUNCTION("""COMPUTED_VALUE"""),"")</f>
        <v/>
      </c>
      <c r="F118" s="37"/>
      <c r="G118" s="37"/>
      <c r="H118" s="37"/>
      <c r="I118" s="38" t="str">
        <f>IFERROR(__xludf.DUMMYFUNCTION("""COMPUTED_VALUE"""),"")</f>
        <v/>
      </c>
    </row>
    <row r="119">
      <c r="A119" s="29"/>
      <c r="B119" s="30"/>
      <c r="C119" s="30"/>
      <c r="D119" s="30"/>
      <c r="E119" s="31" t="str">
        <f>IFERROR(__xludf.DUMMYFUNCTION("""COMPUTED_VALUE"""),"")</f>
        <v/>
      </c>
      <c r="F119" s="32"/>
      <c r="G119" s="32"/>
      <c r="H119" s="32"/>
      <c r="I119" s="33" t="str">
        <f>IFERROR(__xludf.DUMMYFUNCTION("""COMPUTED_VALUE"""),"")</f>
        <v/>
      </c>
    </row>
    <row r="120">
      <c r="A120" s="34"/>
      <c r="B120" s="35"/>
      <c r="C120" s="35"/>
      <c r="D120" s="35"/>
      <c r="E120" s="36" t="str">
        <f>IFERROR(__xludf.DUMMYFUNCTION("""COMPUTED_VALUE"""),"")</f>
        <v/>
      </c>
      <c r="F120" s="37"/>
      <c r="G120" s="37"/>
      <c r="H120" s="37"/>
      <c r="I120" s="38" t="str">
        <f>IFERROR(__xludf.DUMMYFUNCTION("""COMPUTED_VALUE"""),"")</f>
        <v/>
      </c>
    </row>
    <row r="121">
      <c r="A121" s="29"/>
      <c r="B121" s="30"/>
      <c r="C121" s="30"/>
      <c r="D121" s="30"/>
      <c r="E121" s="31" t="str">
        <f>IFERROR(__xludf.DUMMYFUNCTION("""COMPUTED_VALUE"""),"")</f>
        <v/>
      </c>
      <c r="F121" s="32"/>
      <c r="G121" s="32"/>
      <c r="H121" s="32"/>
      <c r="I121" s="33" t="str">
        <f>IFERROR(__xludf.DUMMYFUNCTION("""COMPUTED_VALUE"""),"")</f>
        <v/>
      </c>
    </row>
    <row r="122">
      <c r="A122" s="34"/>
      <c r="B122" s="35"/>
      <c r="C122" s="35"/>
      <c r="D122" s="35"/>
      <c r="E122" s="36" t="str">
        <f>IFERROR(__xludf.DUMMYFUNCTION("""COMPUTED_VALUE"""),"")</f>
        <v/>
      </c>
      <c r="F122" s="37"/>
      <c r="G122" s="37"/>
      <c r="H122" s="37"/>
      <c r="I122" s="38" t="str">
        <f>IFERROR(__xludf.DUMMYFUNCTION("""COMPUTED_VALUE"""),"")</f>
        <v/>
      </c>
    </row>
    <row r="123">
      <c r="A123" s="29"/>
      <c r="B123" s="30"/>
      <c r="C123" s="30"/>
      <c r="D123" s="30"/>
      <c r="E123" s="31" t="str">
        <f>IFERROR(__xludf.DUMMYFUNCTION("""COMPUTED_VALUE"""),"")</f>
        <v/>
      </c>
      <c r="F123" s="32"/>
      <c r="G123" s="32"/>
      <c r="H123" s="32"/>
      <c r="I123" s="33" t="str">
        <f>IFERROR(__xludf.DUMMYFUNCTION("""COMPUTED_VALUE"""),"")</f>
        <v/>
      </c>
    </row>
    <row r="124">
      <c r="A124" s="34"/>
      <c r="B124" s="35"/>
      <c r="C124" s="35"/>
      <c r="D124" s="35"/>
      <c r="E124" s="36" t="str">
        <f>IFERROR(__xludf.DUMMYFUNCTION("""COMPUTED_VALUE"""),"")</f>
        <v/>
      </c>
      <c r="F124" s="37"/>
      <c r="G124" s="37"/>
      <c r="H124" s="37"/>
      <c r="I124" s="38" t="str">
        <f>IFERROR(__xludf.DUMMYFUNCTION("""COMPUTED_VALUE"""),"")</f>
        <v/>
      </c>
    </row>
    <row r="125">
      <c r="A125" s="29"/>
      <c r="B125" s="30"/>
      <c r="C125" s="30"/>
      <c r="D125" s="30"/>
      <c r="E125" s="31" t="str">
        <f>IFERROR(__xludf.DUMMYFUNCTION("""COMPUTED_VALUE"""),"")</f>
        <v/>
      </c>
      <c r="F125" s="32"/>
      <c r="G125" s="32"/>
      <c r="H125" s="32"/>
      <c r="I125" s="33" t="str">
        <f>IFERROR(__xludf.DUMMYFUNCTION("""COMPUTED_VALUE"""),"")</f>
        <v/>
      </c>
    </row>
    <row r="126">
      <c r="A126" s="34"/>
      <c r="B126" s="35"/>
      <c r="C126" s="35"/>
      <c r="D126" s="35"/>
      <c r="E126" s="36" t="str">
        <f>IFERROR(__xludf.DUMMYFUNCTION("""COMPUTED_VALUE"""),"")</f>
        <v/>
      </c>
      <c r="F126" s="37"/>
      <c r="G126" s="37"/>
      <c r="H126" s="37"/>
      <c r="I126" s="38" t="str">
        <f>IFERROR(__xludf.DUMMYFUNCTION("""COMPUTED_VALUE"""),"")</f>
        <v/>
      </c>
    </row>
    <row r="127">
      <c r="A127" s="29"/>
      <c r="B127" s="30"/>
      <c r="C127" s="30"/>
      <c r="D127" s="30"/>
      <c r="E127" s="31" t="str">
        <f>IFERROR(__xludf.DUMMYFUNCTION("""COMPUTED_VALUE"""),"")</f>
        <v/>
      </c>
      <c r="F127" s="32"/>
      <c r="G127" s="32"/>
      <c r="H127" s="32"/>
      <c r="I127" s="33" t="str">
        <f>IFERROR(__xludf.DUMMYFUNCTION("""COMPUTED_VALUE"""),"")</f>
        <v/>
      </c>
    </row>
    <row r="128">
      <c r="A128" s="34"/>
      <c r="B128" s="35"/>
      <c r="C128" s="35"/>
      <c r="D128" s="35"/>
      <c r="E128" s="36" t="str">
        <f>IFERROR(__xludf.DUMMYFUNCTION("""COMPUTED_VALUE"""),"")</f>
        <v/>
      </c>
      <c r="F128" s="37"/>
      <c r="G128" s="37"/>
      <c r="H128" s="37"/>
      <c r="I128" s="38" t="str">
        <f>IFERROR(__xludf.DUMMYFUNCTION("""COMPUTED_VALUE"""),"")</f>
        <v/>
      </c>
    </row>
    <row r="129">
      <c r="A129" s="29"/>
      <c r="B129" s="30"/>
      <c r="C129" s="30"/>
      <c r="D129" s="30"/>
      <c r="E129" s="31" t="str">
        <f>IFERROR(__xludf.DUMMYFUNCTION("""COMPUTED_VALUE"""),"")</f>
        <v/>
      </c>
      <c r="F129" s="32"/>
      <c r="G129" s="32"/>
      <c r="H129" s="32"/>
      <c r="I129" s="33" t="str">
        <f>IFERROR(__xludf.DUMMYFUNCTION("""COMPUTED_VALUE"""),"")</f>
        <v/>
      </c>
    </row>
    <row r="130">
      <c r="A130" s="34"/>
      <c r="B130" s="35"/>
      <c r="C130" s="35"/>
      <c r="D130" s="35"/>
      <c r="E130" s="36" t="str">
        <f>IFERROR(__xludf.DUMMYFUNCTION("""COMPUTED_VALUE"""),"")</f>
        <v/>
      </c>
      <c r="F130" s="37"/>
      <c r="G130" s="37"/>
      <c r="H130" s="37"/>
      <c r="I130" s="38" t="str">
        <f>IFERROR(__xludf.DUMMYFUNCTION("""COMPUTED_VALUE"""),"")</f>
        <v/>
      </c>
    </row>
    <row r="131">
      <c r="A131" s="29"/>
      <c r="B131" s="30"/>
      <c r="C131" s="30"/>
      <c r="D131" s="30"/>
      <c r="E131" s="31" t="str">
        <f>IFERROR(__xludf.DUMMYFUNCTION("""COMPUTED_VALUE"""),"")</f>
        <v/>
      </c>
      <c r="F131" s="32"/>
      <c r="G131" s="32"/>
      <c r="H131" s="32"/>
      <c r="I131" s="33" t="str">
        <f>IFERROR(__xludf.DUMMYFUNCTION("""COMPUTED_VALUE"""),"")</f>
        <v/>
      </c>
    </row>
    <row r="132">
      <c r="A132" s="34"/>
      <c r="B132" s="35"/>
      <c r="C132" s="35"/>
      <c r="D132" s="35"/>
      <c r="E132" s="36" t="str">
        <f>IFERROR(__xludf.DUMMYFUNCTION("""COMPUTED_VALUE"""),"")</f>
        <v/>
      </c>
      <c r="F132" s="37"/>
      <c r="G132" s="37"/>
      <c r="H132" s="37"/>
      <c r="I132" s="38" t="str">
        <f>IFERROR(__xludf.DUMMYFUNCTION("""COMPUTED_VALUE"""),"")</f>
        <v/>
      </c>
    </row>
    <row r="133">
      <c r="A133" s="29"/>
      <c r="B133" s="30"/>
      <c r="C133" s="30"/>
      <c r="D133" s="30"/>
      <c r="E133" s="31" t="str">
        <f>IFERROR(__xludf.DUMMYFUNCTION("""COMPUTED_VALUE"""),"")</f>
        <v/>
      </c>
      <c r="F133" s="32"/>
      <c r="G133" s="32"/>
      <c r="H133" s="32"/>
      <c r="I133" s="33" t="str">
        <f>IFERROR(__xludf.DUMMYFUNCTION("""COMPUTED_VALUE"""),"")</f>
        <v/>
      </c>
    </row>
    <row r="134">
      <c r="A134" s="34"/>
      <c r="B134" s="35"/>
      <c r="C134" s="35"/>
      <c r="D134" s="35"/>
      <c r="E134" s="36" t="str">
        <f>IFERROR(__xludf.DUMMYFUNCTION("""COMPUTED_VALUE"""),"")</f>
        <v/>
      </c>
      <c r="F134" s="37"/>
      <c r="G134" s="37"/>
      <c r="H134" s="37"/>
      <c r="I134" s="38" t="str">
        <f>IFERROR(__xludf.DUMMYFUNCTION("""COMPUTED_VALUE"""),"")</f>
        <v/>
      </c>
    </row>
    <row r="135">
      <c r="A135" s="29"/>
      <c r="B135" s="30"/>
      <c r="C135" s="30"/>
      <c r="D135" s="30"/>
      <c r="E135" s="31" t="str">
        <f>IFERROR(__xludf.DUMMYFUNCTION("""COMPUTED_VALUE"""),"")</f>
        <v/>
      </c>
      <c r="F135" s="32"/>
      <c r="G135" s="32"/>
      <c r="H135" s="32"/>
      <c r="I135" s="33" t="str">
        <f>IFERROR(__xludf.DUMMYFUNCTION("""COMPUTED_VALUE"""),"")</f>
        <v/>
      </c>
    </row>
    <row r="136">
      <c r="A136" s="34"/>
      <c r="B136" s="35"/>
      <c r="C136" s="35"/>
      <c r="D136" s="35"/>
      <c r="E136" s="36" t="str">
        <f>IFERROR(__xludf.DUMMYFUNCTION("""COMPUTED_VALUE"""),"")</f>
        <v/>
      </c>
      <c r="F136" s="37"/>
      <c r="G136" s="37"/>
      <c r="H136" s="37"/>
      <c r="I136" s="38" t="str">
        <f>IFERROR(__xludf.DUMMYFUNCTION("""COMPUTED_VALUE"""),"")</f>
        <v/>
      </c>
    </row>
    <row r="137">
      <c r="A137" s="29"/>
      <c r="B137" s="30"/>
      <c r="C137" s="30"/>
      <c r="D137" s="30"/>
      <c r="E137" s="31" t="str">
        <f>IFERROR(__xludf.DUMMYFUNCTION("""COMPUTED_VALUE"""),"")</f>
        <v/>
      </c>
      <c r="F137" s="32"/>
      <c r="G137" s="32"/>
      <c r="H137" s="32"/>
      <c r="I137" s="33" t="str">
        <f>IFERROR(__xludf.DUMMYFUNCTION("""COMPUTED_VALUE"""),"")</f>
        <v/>
      </c>
    </row>
    <row r="138">
      <c r="A138" s="34"/>
      <c r="B138" s="35"/>
      <c r="C138" s="35"/>
      <c r="D138" s="35"/>
      <c r="E138" s="36" t="str">
        <f>IFERROR(__xludf.DUMMYFUNCTION("""COMPUTED_VALUE"""),"")</f>
        <v/>
      </c>
      <c r="F138" s="37"/>
      <c r="G138" s="37"/>
      <c r="H138" s="37"/>
      <c r="I138" s="38" t="str">
        <f>IFERROR(__xludf.DUMMYFUNCTION("""COMPUTED_VALUE"""),"")</f>
        <v/>
      </c>
    </row>
    <row r="139">
      <c r="A139" s="29"/>
      <c r="B139" s="30"/>
      <c r="C139" s="30"/>
      <c r="D139" s="30"/>
      <c r="E139" s="31" t="str">
        <f>IFERROR(__xludf.DUMMYFUNCTION("""COMPUTED_VALUE"""),"")</f>
        <v/>
      </c>
      <c r="F139" s="32"/>
      <c r="G139" s="32"/>
      <c r="H139" s="32"/>
      <c r="I139" s="33" t="str">
        <f>IFERROR(__xludf.DUMMYFUNCTION("""COMPUTED_VALUE"""),"")</f>
        <v/>
      </c>
    </row>
    <row r="140">
      <c r="A140" s="34"/>
      <c r="B140" s="35"/>
      <c r="C140" s="35"/>
      <c r="D140" s="35"/>
      <c r="E140" s="36" t="str">
        <f>IFERROR(__xludf.DUMMYFUNCTION("""COMPUTED_VALUE"""),"")</f>
        <v/>
      </c>
      <c r="F140" s="37"/>
      <c r="G140" s="37"/>
      <c r="H140" s="37"/>
      <c r="I140" s="38" t="str">
        <f>IFERROR(__xludf.DUMMYFUNCTION("""COMPUTED_VALUE"""),"")</f>
        <v/>
      </c>
    </row>
    <row r="141">
      <c r="A141" s="29"/>
      <c r="B141" s="30"/>
      <c r="C141" s="30"/>
      <c r="D141" s="30"/>
      <c r="E141" s="31" t="str">
        <f>IFERROR(__xludf.DUMMYFUNCTION("""COMPUTED_VALUE"""),"")</f>
        <v/>
      </c>
      <c r="F141" s="32"/>
      <c r="G141" s="32"/>
      <c r="H141" s="32"/>
      <c r="I141" s="33" t="str">
        <f>IFERROR(__xludf.DUMMYFUNCTION("""COMPUTED_VALUE"""),"")</f>
        <v/>
      </c>
    </row>
    <row r="142">
      <c r="A142" s="34"/>
      <c r="B142" s="35"/>
      <c r="C142" s="35"/>
      <c r="D142" s="35"/>
      <c r="E142" s="36" t="str">
        <f>IFERROR(__xludf.DUMMYFUNCTION("""COMPUTED_VALUE"""),"")</f>
        <v/>
      </c>
      <c r="F142" s="37"/>
      <c r="G142" s="37"/>
      <c r="H142" s="37"/>
      <c r="I142" s="38" t="str">
        <f>IFERROR(__xludf.DUMMYFUNCTION("""COMPUTED_VALUE"""),"")</f>
        <v/>
      </c>
    </row>
    <row r="143">
      <c r="A143" s="29"/>
      <c r="B143" s="30"/>
      <c r="C143" s="30"/>
      <c r="D143" s="30"/>
      <c r="E143" s="31" t="str">
        <f>IFERROR(__xludf.DUMMYFUNCTION("""COMPUTED_VALUE"""),"")</f>
        <v/>
      </c>
      <c r="F143" s="32"/>
      <c r="G143" s="32"/>
      <c r="H143" s="32"/>
      <c r="I143" s="33" t="str">
        <f>IFERROR(__xludf.DUMMYFUNCTION("""COMPUTED_VALUE"""),"")</f>
        <v/>
      </c>
    </row>
    <row r="144">
      <c r="A144" s="34"/>
      <c r="B144" s="35"/>
      <c r="C144" s="35"/>
      <c r="D144" s="35"/>
      <c r="E144" s="36" t="str">
        <f>IFERROR(__xludf.DUMMYFUNCTION("""COMPUTED_VALUE"""),"")</f>
        <v/>
      </c>
      <c r="F144" s="37"/>
      <c r="G144" s="37"/>
      <c r="H144" s="37"/>
      <c r="I144" s="38" t="str">
        <f>IFERROR(__xludf.DUMMYFUNCTION("""COMPUTED_VALUE"""),"")</f>
        <v/>
      </c>
    </row>
    <row r="145">
      <c r="A145" s="29"/>
      <c r="B145" s="30"/>
      <c r="C145" s="30"/>
      <c r="D145" s="30"/>
      <c r="E145" s="31" t="str">
        <f>IFERROR(__xludf.DUMMYFUNCTION("""COMPUTED_VALUE"""),"")</f>
        <v/>
      </c>
      <c r="F145" s="32"/>
      <c r="G145" s="32"/>
      <c r="H145" s="32"/>
      <c r="I145" s="33" t="str">
        <f>IFERROR(__xludf.DUMMYFUNCTION("""COMPUTED_VALUE"""),"")</f>
        <v/>
      </c>
    </row>
    <row r="146">
      <c r="A146" s="34"/>
      <c r="B146" s="35"/>
      <c r="C146" s="35"/>
      <c r="D146" s="35"/>
      <c r="E146" s="36" t="str">
        <f>IFERROR(__xludf.DUMMYFUNCTION("""COMPUTED_VALUE"""),"")</f>
        <v/>
      </c>
      <c r="F146" s="37"/>
      <c r="G146" s="37"/>
      <c r="H146" s="37"/>
      <c r="I146" s="38" t="str">
        <f>IFERROR(__xludf.DUMMYFUNCTION("""COMPUTED_VALUE"""),"")</f>
        <v/>
      </c>
    </row>
    <row r="147">
      <c r="A147" s="29"/>
      <c r="B147" s="30"/>
      <c r="C147" s="30"/>
      <c r="D147" s="30"/>
      <c r="E147" s="31" t="str">
        <f>IFERROR(__xludf.DUMMYFUNCTION("""COMPUTED_VALUE"""),"")</f>
        <v/>
      </c>
      <c r="F147" s="32"/>
      <c r="G147" s="32"/>
      <c r="H147" s="32"/>
      <c r="I147" s="33" t="str">
        <f>IFERROR(__xludf.DUMMYFUNCTION("""COMPUTED_VALUE"""),"")</f>
        <v/>
      </c>
    </row>
    <row r="148">
      <c r="A148" s="34"/>
      <c r="B148" s="35"/>
      <c r="C148" s="35"/>
      <c r="D148" s="35"/>
      <c r="E148" s="36" t="str">
        <f>IFERROR(__xludf.DUMMYFUNCTION("""COMPUTED_VALUE"""),"")</f>
        <v/>
      </c>
      <c r="F148" s="37"/>
      <c r="G148" s="37"/>
      <c r="H148" s="37"/>
      <c r="I148" s="38" t="str">
        <f>IFERROR(__xludf.DUMMYFUNCTION("""COMPUTED_VALUE"""),"")</f>
        <v/>
      </c>
    </row>
    <row r="149">
      <c r="A149" s="29"/>
      <c r="B149" s="30"/>
      <c r="C149" s="30"/>
      <c r="D149" s="30"/>
      <c r="E149" s="31" t="str">
        <f>IFERROR(__xludf.DUMMYFUNCTION("""COMPUTED_VALUE"""),"")</f>
        <v/>
      </c>
      <c r="F149" s="32"/>
      <c r="G149" s="32"/>
      <c r="H149" s="32"/>
      <c r="I149" s="33" t="str">
        <f>IFERROR(__xludf.DUMMYFUNCTION("""COMPUTED_VALUE"""),"")</f>
        <v/>
      </c>
    </row>
    <row r="150">
      <c r="A150" s="34"/>
      <c r="B150" s="35"/>
      <c r="C150" s="35"/>
      <c r="D150" s="35"/>
      <c r="E150" s="36" t="str">
        <f>IFERROR(__xludf.DUMMYFUNCTION("""COMPUTED_VALUE"""),"")</f>
        <v/>
      </c>
      <c r="F150" s="37"/>
      <c r="G150" s="37"/>
      <c r="H150" s="37"/>
      <c r="I150" s="38" t="str">
        <f>IFERROR(__xludf.DUMMYFUNCTION("""COMPUTED_VALUE"""),"")</f>
        <v/>
      </c>
    </row>
    <row r="151">
      <c r="A151" s="29"/>
      <c r="B151" s="30"/>
      <c r="C151" s="30"/>
      <c r="D151" s="30"/>
      <c r="E151" s="31" t="str">
        <f>IFERROR(__xludf.DUMMYFUNCTION("""COMPUTED_VALUE"""),"")</f>
        <v/>
      </c>
      <c r="F151" s="32"/>
      <c r="G151" s="32"/>
      <c r="H151" s="32"/>
      <c r="I151" s="33" t="str">
        <f>IFERROR(__xludf.DUMMYFUNCTION("""COMPUTED_VALUE"""),"")</f>
        <v/>
      </c>
    </row>
    <row r="152">
      <c r="A152" s="34"/>
      <c r="B152" s="35"/>
      <c r="C152" s="35"/>
      <c r="D152" s="35"/>
      <c r="E152" s="36" t="str">
        <f>IFERROR(__xludf.DUMMYFUNCTION("""COMPUTED_VALUE"""),"")</f>
        <v/>
      </c>
      <c r="F152" s="37"/>
      <c r="G152" s="37"/>
      <c r="H152" s="37"/>
      <c r="I152" s="38" t="str">
        <f>IFERROR(__xludf.DUMMYFUNCTION("""COMPUTED_VALUE"""),"")</f>
        <v/>
      </c>
    </row>
    <row r="153">
      <c r="A153" s="29"/>
      <c r="B153" s="30"/>
      <c r="C153" s="30"/>
      <c r="D153" s="30"/>
      <c r="E153" s="31" t="str">
        <f>IFERROR(__xludf.DUMMYFUNCTION("""COMPUTED_VALUE"""),"")</f>
        <v/>
      </c>
      <c r="F153" s="32"/>
      <c r="G153" s="32"/>
      <c r="H153" s="32"/>
      <c r="I153" s="33" t="str">
        <f>IFERROR(__xludf.DUMMYFUNCTION("""COMPUTED_VALUE"""),"")</f>
        <v/>
      </c>
    </row>
    <row r="154">
      <c r="A154" s="34"/>
      <c r="B154" s="35"/>
      <c r="C154" s="35"/>
      <c r="D154" s="35"/>
      <c r="E154" s="36" t="str">
        <f>IFERROR(__xludf.DUMMYFUNCTION("""COMPUTED_VALUE"""),"")</f>
        <v/>
      </c>
      <c r="F154" s="37"/>
      <c r="G154" s="37"/>
      <c r="H154" s="37"/>
      <c r="I154" s="38" t="str">
        <f>IFERROR(__xludf.DUMMYFUNCTION("""COMPUTED_VALUE"""),"")</f>
        <v/>
      </c>
    </row>
    <row r="155">
      <c r="A155" s="29"/>
      <c r="B155" s="30"/>
      <c r="C155" s="30"/>
      <c r="D155" s="30"/>
      <c r="E155" s="31" t="str">
        <f>IFERROR(__xludf.DUMMYFUNCTION("""COMPUTED_VALUE"""),"")</f>
        <v/>
      </c>
      <c r="F155" s="32"/>
      <c r="G155" s="32"/>
      <c r="H155" s="32"/>
      <c r="I155" s="33" t="str">
        <f>IFERROR(__xludf.DUMMYFUNCTION("""COMPUTED_VALUE"""),"")</f>
        <v/>
      </c>
    </row>
    <row r="156">
      <c r="A156" s="34"/>
      <c r="B156" s="35"/>
      <c r="C156" s="35"/>
      <c r="D156" s="35"/>
      <c r="E156" s="36" t="str">
        <f>IFERROR(__xludf.DUMMYFUNCTION("""COMPUTED_VALUE"""),"")</f>
        <v/>
      </c>
      <c r="F156" s="37"/>
      <c r="G156" s="37"/>
      <c r="H156" s="37"/>
      <c r="I156" s="38" t="str">
        <f>IFERROR(__xludf.DUMMYFUNCTION("""COMPUTED_VALUE"""),"")</f>
        <v/>
      </c>
    </row>
    <row r="157">
      <c r="A157" s="29"/>
      <c r="B157" s="30"/>
      <c r="C157" s="30"/>
      <c r="D157" s="30"/>
      <c r="E157" s="31" t="str">
        <f>IFERROR(__xludf.DUMMYFUNCTION("""COMPUTED_VALUE"""),"")</f>
        <v/>
      </c>
      <c r="F157" s="32"/>
      <c r="G157" s="32"/>
      <c r="H157" s="32"/>
      <c r="I157" s="33" t="str">
        <f>IFERROR(__xludf.DUMMYFUNCTION("""COMPUTED_VALUE"""),"")</f>
        <v/>
      </c>
    </row>
    <row r="158">
      <c r="A158" s="34"/>
      <c r="B158" s="35"/>
      <c r="C158" s="35"/>
      <c r="D158" s="35"/>
      <c r="E158" s="36" t="str">
        <f>IFERROR(__xludf.DUMMYFUNCTION("""COMPUTED_VALUE"""),"")</f>
        <v/>
      </c>
      <c r="F158" s="37"/>
      <c r="G158" s="37"/>
      <c r="H158" s="37"/>
      <c r="I158" s="38" t="str">
        <f>IFERROR(__xludf.DUMMYFUNCTION("""COMPUTED_VALUE"""),"")</f>
        <v/>
      </c>
    </row>
    <row r="159">
      <c r="A159" s="29"/>
      <c r="B159" s="30"/>
      <c r="C159" s="30"/>
      <c r="D159" s="30"/>
      <c r="E159" s="31" t="str">
        <f>IFERROR(__xludf.DUMMYFUNCTION("""COMPUTED_VALUE"""),"")</f>
        <v/>
      </c>
      <c r="F159" s="32"/>
      <c r="G159" s="32"/>
      <c r="H159" s="32"/>
      <c r="I159" s="33" t="str">
        <f>IFERROR(__xludf.DUMMYFUNCTION("""COMPUTED_VALUE"""),"")</f>
        <v/>
      </c>
    </row>
    <row r="160">
      <c r="A160" s="34"/>
      <c r="B160" s="35"/>
      <c r="C160" s="35"/>
      <c r="D160" s="35"/>
      <c r="E160" s="36" t="str">
        <f>IFERROR(__xludf.DUMMYFUNCTION("""COMPUTED_VALUE"""),"")</f>
        <v/>
      </c>
      <c r="F160" s="37"/>
      <c r="G160" s="37"/>
      <c r="H160" s="37"/>
      <c r="I160" s="38" t="str">
        <f>IFERROR(__xludf.DUMMYFUNCTION("""COMPUTED_VALUE"""),"")</f>
        <v/>
      </c>
    </row>
    <row r="161">
      <c r="A161" s="29"/>
      <c r="B161" s="30"/>
      <c r="C161" s="30"/>
      <c r="D161" s="30"/>
      <c r="E161" s="31" t="str">
        <f>IFERROR(__xludf.DUMMYFUNCTION("""COMPUTED_VALUE"""),"")</f>
        <v/>
      </c>
      <c r="F161" s="32"/>
      <c r="G161" s="32"/>
      <c r="H161" s="32"/>
      <c r="I161" s="33" t="str">
        <f>IFERROR(__xludf.DUMMYFUNCTION("""COMPUTED_VALUE"""),"")</f>
        <v/>
      </c>
    </row>
    <row r="162">
      <c r="A162" s="34"/>
      <c r="B162" s="35"/>
      <c r="C162" s="35"/>
      <c r="D162" s="35"/>
      <c r="E162" s="36" t="str">
        <f>IFERROR(__xludf.DUMMYFUNCTION("""COMPUTED_VALUE"""),"")</f>
        <v/>
      </c>
      <c r="F162" s="37"/>
      <c r="G162" s="37"/>
      <c r="H162" s="37"/>
      <c r="I162" s="38" t="str">
        <f>IFERROR(__xludf.DUMMYFUNCTION("""COMPUTED_VALUE"""),"")</f>
        <v/>
      </c>
    </row>
    <row r="163">
      <c r="A163" s="29"/>
      <c r="B163" s="30"/>
      <c r="C163" s="30"/>
      <c r="D163" s="30"/>
      <c r="E163" s="31" t="str">
        <f>IFERROR(__xludf.DUMMYFUNCTION("""COMPUTED_VALUE"""),"")</f>
        <v/>
      </c>
      <c r="F163" s="32"/>
      <c r="G163" s="32"/>
      <c r="H163" s="32"/>
      <c r="I163" s="33" t="str">
        <f>IFERROR(__xludf.DUMMYFUNCTION("""COMPUTED_VALUE"""),"")</f>
        <v/>
      </c>
    </row>
    <row r="164">
      <c r="A164" s="34"/>
      <c r="B164" s="35"/>
      <c r="C164" s="35"/>
      <c r="D164" s="35"/>
      <c r="E164" s="36" t="str">
        <f>IFERROR(__xludf.DUMMYFUNCTION("""COMPUTED_VALUE"""),"")</f>
        <v/>
      </c>
      <c r="F164" s="37"/>
      <c r="G164" s="37"/>
      <c r="H164" s="37"/>
      <c r="I164" s="38" t="str">
        <f>IFERROR(__xludf.DUMMYFUNCTION("""COMPUTED_VALUE"""),"")</f>
        <v/>
      </c>
    </row>
    <row r="165">
      <c r="A165" s="29"/>
      <c r="B165" s="30"/>
      <c r="C165" s="30"/>
      <c r="D165" s="30"/>
      <c r="E165" s="31" t="str">
        <f>IFERROR(__xludf.DUMMYFUNCTION("""COMPUTED_VALUE"""),"")</f>
        <v/>
      </c>
      <c r="F165" s="32"/>
      <c r="G165" s="32"/>
      <c r="H165" s="32"/>
      <c r="I165" s="33" t="str">
        <f>IFERROR(__xludf.DUMMYFUNCTION("""COMPUTED_VALUE"""),"")</f>
        <v/>
      </c>
    </row>
    <row r="166">
      <c r="A166" s="34"/>
      <c r="B166" s="35"/>
      <c r="C166" s="35"/>
      <c r="D166" s="35"/>
      <c r="E166" s="36" t="str">
        <f>IFERROR(__xludf.DUMMYFUNCTION("""COMPUTED_VALUE"""),"")</f>
        <v/>
      </c>
      <c r="F166" s="37"/>
      <c r="G166" s="37"/>
      <c r="H166" s="37"/>
      <c r="I166" s="38" t="str">
        <f>IFERROR(__xludf.DUMMYFUNCTION("""COMPUTED_VALUE"""),"")</f>
        <v/>
      </c>
    </row>
    <row r="167">
      <c r="A167" s="29"/>
      <c r="B167" s="30"/>
      <c r="C167" s="30"/>
      <c r="D167" s="30"/>
      <c r="E167" s="31" t="str">
        <f>IFERROR(__xludf.DUMMYFUNCTION("""COMPUTED_VALUE"""),"")</f>
        <v/>
      </c>
      <c r="F167" s="32"/>
      <c r="G167" s="32"/>
      <c r="H167" s="32"/>
      <c r="I167" s="33" t="str">
        <f>IFERROR(__xludf.DUMMYFUNCTION("""COMPUTED_VALUE"""),"")</f>
        <v/>
      </c>
    </row>
    <row r="168">
      <c r="A168" s="34"/>
      <c r="B168" s="35"/>
      <c r="C168" s="35"/>
      <c r="D168" s="35"/>
      <c r="E168" s="36" t="str">
        <f>IFERROR(__xludf.DUMMYFUNCTION("""COMPUTED_VALUE"""),"")</f>
        <v/>
      </c>
      <c r="F168" s="37"/>
      <c r="G168" s="37"/>
      <c r="H168" s="37"/>
      <c r="I168" s="38" t="str">
        <f>IFERROR(__xludf.DUMMYFUNCTION("""COMPUTED_VALUE"""),"")</f>
        <v/>
      </c>
    </row>
    <row r="169">
      <c r="A169" s="29"/>
      <c r="B169" s="30"/>
      <c r="C169" s="30"/>
      <c r="D169" s="30"/>
      <c r="E169" s="31" t="str">
        <f>IFERROR(__xludf.DUMMYFUNCTION("""COMPUTED_VALUE"""),"")</f>
        <v/>
      </c>
      <c r="F169" s="32"/>
      <c r="G169" s="32"/>
      <c r="H169" s="32"/>
      <c r="I169" s="33" t="str">
        <f>IFERROR(__xludf.DUMMYFUNCTION("""COMPUTED_VALUE"""),"")</f>
        <v/>
      </c>
    </row>
    <row r="170">
      <c r="A170" s="34"/>
      <c r="B170" s="35"/>
      <c r="C170" s="35"/>
      <c r="D170" s="35"/>
      <c r="E170" s="36" t="str">
        <f>IFERROR(__xludf.DUMMYFUNCTION("""COMPUTED_VALUE"""),"")</f>
        <v/>
      </c>
      <c r="F170" s="37"/>
      <c r="G170" s="37"/>
      <c r="H170" s="37"/>
      <c r="I170" s="38" t="str">
        <f>IFERROR(__xludf.DUMMYFUNCTION("""COMPUTED_VALUE"""),"")</f>
        <v/>
      </c>
    </row>
    <row r="171">
      <c r="A171" s="29"/>
      <c r="B171" s="30"/>
      <c r="C171" s="30"/>
      <c r="D171" s="30"/>
      <c r="E171" s="31" t="str">
        <f>IFERROR(__xludf.DUMMYFUNCTION("""COMPUTED_VALUE"""),"")</f>
        <v/>
      </c>
      <c r="F171" s="32"/>
      <c r="G171" s="32"/>
      <c r="H171" s="32"/>
      <c r="I171" s="33" t="str">
        <f>IFERROR(__xludf.DUMMYFUNCTION("""COMPUTED_VALUE"""),"")</f>
        <v/>
      </c>
    </row>
    <row r="172">
      <c r="A172" s="34"/>
      <c r="B172" s="35"/>
      <c r="C172" s="35"/>
      <c r="D172" s="35"/>
      <c r="E172" s="36" t="str">
        <f>IFERROR(__xludf.DUMMYFUNCTION("""COMPUTED_VALUE"""),"")</f>
        <v/>
      </c>
      <c r="F172" s="37"/>
      <c r="G172" s="37"/>
      <c r="H172" s="37"/>
      <c r="I172" s="38" t="str">
        <f>IFERROR(__xludf.DUMMYFUNCTION("""COMPUTED_VALUE"""),"")</f>
        <v/>
      </c>
    </row>
    <row r="173">
      <c r="A173" s="29"/>
      <c r="B173" s="30"/>
      <c r="C173" s="30"/>
      <c r="D173" s="30"/>
      <c r="E173" s="31" t="str">
        <f>IFERROR(__xludf.DUMMYFUNCTION("""COMPUTED_VALUE"""),"")</f>
        <v/>
      </c>
      <c r="F173" s="32"/>
      <c r="G173" s="32"/>
      <c r="H173" s="32"/>
      <c r="I173" s="33" t="str">
        <f>IFERROR(__xludf.DUMMYFUNCTION("""COMPUTED_VALUE"""),"")</f>
        <v/>
      </c>
    </row>
    <row r="174">
      <c r="A174" s="34"/>
      <c r="B174" s="35"/>
      <c r="C174" s="35"/>
      <c r="D174" s="35"/>
      <c r="E174" s="36" t="str">
        <f>IFERROR(__xludf.DUMMYFUNCTION("""COMPUTED_VALUE"""),"")</f>
        <v/>
      </c>
      <c r="F174" s="37"/>
      <c r="G174" s="37"/>
      <c r="H174" s="37"/>
      <c r="I174" s="38" t="str">
        <f>IFERROR(__xludf.DUMMYFUNCTION("""COMPUTED_VALUE"""),"")</f>
        <v/>
      </c>
    </row>
    <row r="175">
      <c r="A175" s="29"/>
      <c r="B175" s="30"/>
      <c r="C175" s="30"/>
      <c r="D175" s="30"/>
      <c r="E175" s="31" t="str">
        <f>IFERROR(__xludf.DUMMYFUNCTION("""COMPUTED_VALUE"""),"")</f>
        <v/>
      </c>
      <c r="F175" s="32"/>
      <c r="G175" s="32"/>
      <c r="H175" s="32"/>
      <c r="I175" s="33" t="str">
        <f>IFERROR(__xludf.DUMMYFUNCTION("""COMPUTED_VALUE"""),"")</f>
        <v/>
      </c>
    </row>
    <row r="176">
      <c r="A176" s="34"/>
      <c r="B176" s="35"/>
      <c r="C176" s="35"/>
      <c r="D176" s="35"/>
      <c r="E176" s="36"/>
      <c r="F176" s="37"/>
      <c r="G176" s="37"/>
      <c r="H176" s="37"/>
      <c r="I176" s="38"/>
    </row>
    <row r="177">
      <c r="A177" s="29"/>
      <c r="B177" s="30"/>
      <c r="C177" s="30"/>
      <c r="D177" s="30"/>
      <c r="E177" s="31"/>
      <c r="F177" s="32"/>
      <c r="G177" s="32"/>
      <c r="H177" s="32"/>
      <c r="I177" s="33"/>
    </row>
    <row r="178">
      <c r="A178" s="34"/>
      <c r="B178" s="35"/>
      <c r="C178" s="35"/>
      <c r="D178" s="35"/>
      <c r="E178" s="36"/>
      <c r="F178" s="37"/>
      <c r="G178" s="37"/>
      <c r="H178" s="37"/>
      <c r="I178" s="38"/>
    </row>
    <row r="179">
      <c r="A179" s="29"/>
      <c r="B179" s="30"/>
      <c r="C179" s="30"/>
      <c r="D179" s="30"/>
      <c r="E179" s="31"/>
      <c r="F179" s="32"/>
      <c r="G179" s="32"/>
      <c r="H179" s="32"/>
      <c r="I179" s="33"/>
    </row>
    <row r="180">
      <c r="A180" s="34"/>
      <c r="B180" s="35"/>
      <c r="C180" s="35"/>
      <c r="D180" s="35"/>
      <c r="E180" s="36"/>
      <c r="F180" s="37"/>
      <c r="G180" s="37"/>
      <c r="H180" s="37"/>
      <c r="I180" s="38"/>
    </row>
    <row r="181">
      <c r="A181" s="29"/>
      <c r="B181" s="30"/>
      <c r="C181" s="30"/>
      <c r="D181" s="30"/>
      <c r="E181" s="31"/>
      <c r="F181" s="32"/>
      <c r="G181" s="32"/>
      <c r="H181" s="32"/>
      <c r="I181" s="33"/>
    </row>
    <row r="182">
      <c r="A182" s="34"/>
      <c r="B182" s="35"/>
      <c r="C182" s="35"/>
      <c r="D182" s="35"/>
      <c r="E182" s="36"/>
      <c r="F182" s="37"/>
      <c r="G182" s="37"/>
      <c r="H182" s="37"/>
      <c r="I182" s="38"/>
    </row>
    <row r="183">
      <c r="A183" s="29"/>
      <c r="B183" s="30"/>
      <c r="C183" s="30"/>
      <c r="D183" s="30"/>
      <c r="E183" s="31"/>
      <c r="F183" s="32"/>
      <c r="G183" s="32"/>
      <c r="H183" s="32"/>
      <c r="I183" s="33"/>
    </row>
    <row r="184">
      <c r="A184" s="34"/>
      <c r="B184" s="35"/>
      <c r="C184" s="35"/>
      <c r="D184" s="35"/>
      <c r="E184" s="36"/>
      <c r="F184" s="37"/>
      <c r="G184" s="37"/>
      <c r="H184" s="37"/>
      <c r="I184" s="38"/>
    </row>
    <row r="185">
      <c r="A185" s="29"/>
      <c r="B185" s="30"/>
      <c r="C185" s="30"/>
      <c r="D185" s="30"/>
      <c r="E185" s="31"/>
      <c r="F185" s="32"/>
      <c r="G185" s="32"/>
      <c r="H185" s="32"/>
      <c r="I185" s="33"/>
    </row>
    <row r="186">
      <c r="A186" s="34"/>
      <c r="B186" s="35"/>
      <c r="C186" s="35"/>
      <c r="D186" s="35"/>
      <c r="E186" s="36"/>
      <c r="F186" s="37"/>
      <c r="G186" s="37"/>
      <c r="H186" s="37"/>
      <c r="I186" s="38"/>
    </row>
    <row r="187">
      <c r="A187" s="29"/>
      <c r="B187" s="30"/>
      <c r="C187" s="30"/>
      <c r="D187" s="30"/>
      <c r="E187" s="31"/>
      <c r="F187" s="32"/>
      <c r="G187" s="32"/>
      <c r="H187" s="32"/>
      <c r="I187" s="33"/>
    </row>
    <row r="188">
      <c r="A188" s="34"/>
      <c r="B188" s="35"/>
      <c r="C188" s="35"/>
      <c r="D188" s="35"/>
      <c r="E188" s="36"/>
      <c r="F188" s="37"/>
      <c r="G188" s="37"/>
      <c r="H188" s="37"/>
      <c r="I188" s="38"/>
    </row>
    <row r="189">
      <c r="A189" s="29"/>
      <c r="B189" s="30"/>
      <c r="C189" s="30"/>
      <c r="D189" s="30"/>
      <c r="E189" s="31"/>
      <c r="F189" s="32"/>
      <c r="G189" s="32"/>
      <c r="H189" s="32"/>
      <c r="I189" s="33"/>
    </row>
    <row r="190">
      <c r="A190" s="34"/>
      <c r="B190" s="35"/>
      <c r="C190" s="35"/>
      <c r="D190" s="35"/>
      <c r="E190" s="36"/>
      <c r="F190" s="37"/>
      <c r="G190" s="37"/>
      <c r="H190" s="37"/>
      <c r="I190" s="38"/>
    </row>
    <row r="191">
      <c r="A191" s="29"/>
      <c r="B191" s="30"/>
      <c r="C191" s="30"/>
      <c r="D191" s="30"/>
      <c r="E191" s="31"/>
      <c r="F191" s="32"/>
      <c r="G191" s="32"/>
      <c r="H191" s="32"/>
      <c r="I191" s="33"/>
    </row>
    <row r="192">
      <c r="A192" s="34"/>
      <c r="B192" s="35"/>
      <c r="C192" s="35"/>
      <c r="D192" s="35"/>
      <c r="E192" s="36"/>
      <c r="F192" s="37"/>
      <c r="G192" s="37"/>
      <c r="H192" s="37"/>
      <c r="I192" s="38"/>
    </row>
    <row r="193">
      <c r="A193" s="29"/>
      <c r="B193" s="30"/>
      <c r="C193" s="30"/>
      <c r="D193" s="30"/>
      <c r="E193" s="31"/>
      <c r="F193" s="32"/>
      <c r="G193" s="32"/>
      <c r="H193" s="32"/>
      <c r="I193" s="33"/>
    </row>
    <row r="194">
      <c r="A194" s="34"/>
      <c r="B194" s="35"/>
      <c r="C194" s="35"/>
      <c r="D194" s="35"/>
      <c r="E194" s="36"/>
      <c r="F194" s="37"/>
      <c r="G194" s="37"/>
      <c r="H194" s="37"/>
      <c r="I194" s="38"/>
    </row>
    <row r="195">
      <c r="A195" s="29"/>
      <c r="B195" s="30"/>
      <c r="C195" s="30"/>
      <c r="D195" s="30"/>
      <c r="E195" s="31"/>
      <c r="F195" s="32"/>
      <c r="G195" s="32"/>
      <c r="H195" s="32"/>
      <c r="I195" s="33"/>
    </row>
    <row r="196">
      <c r="A196" s="34"/>
      <c r="B196" s="35"/>
      <c r="C196" s="35"/>
      <c r="D196" s="35"/>
      <c r="E196" s="36"/>
      <c r="F196" s="37"/>
      <c r="G196" s="37"/>
      <c r="H196" s="37"/>
      <c r="I196" s="38"/>
    </row>
    <row r="197">
      <c r="A197" s="29"/>
      <c r="B197" s="30"/>
      <c r="C197" s="30"/>
      <c r="D197" s="30"/>
      <c r="E197" s="31"/>
      <c r="F197" s="32"/>
      <c r="G197" s="32"/>
      <c r="H197" s="32"/>
      <c r="I197" s="33"/>
    </row>
    <row r="198">
      <c r="A198" s="34"/>
      <c r="B198" s="35"/>
      <c r="C198" s="35"/>
      <c r="D198" s="35"/>
      <c r="E198" s="36"/>
      <c r="F198" s="37"/>
      <c r="G198" s="37"/>
      <c r="H198" s="37"/>
      <c r="I198" s="38"/>
    </row>
    <row r="199">
      <c r="A199" s="29"/>
      <c r="B199" s="30"/>
      <c r="C199" s="30"/>
      <c r="D199" s="30"/>
      <c r="E199" s="31"/>
      <c r="F199" s="32"/>
      <c r="G199" s="32"/>
      <c r="H199" s="32"/>
      <c r="I199" s="33"/>
    </row>
    <row r="200">
      <c r="A200" s="34"/>
      <c r="B200" s="35"/>
      <c r="C200" s="35"/>
      <c r="D200" s="35"/>
      <c r="E200" s="36"/>
      <c r="F200" s="37"/>
      <c r="G200" s="37"/>
      <c r="H200" s="37"/>
      <c r="I200" s="38"/>
    </row>
    <row r="201">
      <c r="A201" s="29"/>
      <c r="B201" s="30"/>
      <c r="C201" s="30"/>
      <c r="D201" s="30"/>
      <c r="E201" s="31"/>
      <c r="F201" s="32"/>
      <c r="G201" s="32"/>
      <c r="H201" s="32"/>
      <c r="I201" s="33"/>
    </row>
    <row r="202">
      <c r="A202" s="34"/>
      <c r="B202" s="35"/>
      <c r="C202" s="35"/>
      <c r="D202" s="35"/>
      <c r="E202" s="36"/>
      <c r="F202" s="37"/>
      <c r="G202" s="37"/>
      <c r="H202" s="37"/>
      <c r="I202" s="38"/>
    </row>
    <row r="203">
      <c r="A203" s="29"/>
      <c r="B203" s="30"/>
      <c r="C203" s="30"/>
      <c r="D203" s="30"/>
      <c r="E203" s="31"/>
      <c r="F203" s="32"/>
      <c r="G203" s="32"/>
      <c r="H203" s="32"/>
      <c r="I203" s="33"/>
    </row>
    <row r="204">
      <c r="A204" s="34"/>
      <c r="B204" s="35"/>
      <c r="C204" s="35"/>
      <c r="D204" s="35"/>
      <c r="E204" s="36"/>
      <c r="F204" s="37"/>
      <c r="G204" s="37"/>
      <c r="H204" s="37"/>
      <c r="I204" s="38"/>
    </row>
    <row r="205">
      <c r="A205" s="29"/>
      <c r="B205" s="30"/>
      <c r="C205" s="30"/>
      <c r="D205" s="30"/>
      <c r="E205" s="31"/>
      <c r="F205" s="32"/>
      <c r="G205" s="32"/>
      <c r="H205" s="32"/>
      <c r="I205" s="33"/>
    </row>
    <row r="206">
      <c r="A206" s="34"/>
      <c r="B206" s="35"/>
      <c r="C206" s="35"/>
      <c r="D206" s="35"/>
      <c r="E206" s="36"/>
      <c r="F206" s="37"/>
      <c r="G206" s="37"/>
      <c r="H206" s="37"/>
      <c r="I206" s="38"/>
    </row>
    <row r="207">
      <c r="A207" s="29"/>
      <c r="B207" s="30"/>
      <c r="C207" s="30"/>
      <c r="D207" s="30"/>
      <c r="E207" s="31"/>
      <c r="F207" s="32"/>
      <c r="G207" s="32"/>
      <c r="H207" s="32"/>
      <c r="I207" s="33"/>
    </row>
    <row r="208">
      <c r="A208" s="34"/>
      <c r="B208" s="35"/>
      <c r="C208" s="35"/>
      <c r="D208" s="35"/>
      <c r="E208" s="36"/>
      <c r="F208" s="37"/>
      <c r="G208" s="37"/>
      <c r="H208" s="37"/>
      <c r="I208" s="38"/>
    </row>
    <row r="209">
      <c r="A209" s="29"/>
      <c r="B209" s="30"/>
      <c r="C209" s="30"/>
      <c r="D209" s="30"/>
      <c r="E209" s="31"/>
      <c r="F209" s="32"/>
      <c r="G209" s="32"/>
      <c r="H209" s="32"/>
      <c r="I209" s="33"/>
    </row>
    <row r="210">
      <c r="A210" s="34"/>
      <c r="B210" s="35"/>
      <c r="C210" s="35"/>
      <c r="D210" s="35"/>
      <c r="E210" s="36"/>
      <c r="F210" s="37"/>
      <c r="G210" s="37"/>
      <c r="H210" s="37"/>
      <c r="I210" s="38"/>
    </row>
    <row r="211">
      <c r="A211" s="29"/>
      <c r="B211" s="30"/>
      <c r="C211" s="30"/>
      <c r="D211" s="30"/>
      <c r="E211" s="31"/>
      <c r="F211" s="32"/>
      <c r="G211" s="32"/>
      <c r="H211" s="32"/>
      <c r="I211" s="33"/>
    </row>
    <row r="212">
      <c r="A212" s="34"/>
      <c r="B212" s="35"/>
      <c r="C212" s="35"/>
      <c r="D212" s="35"/>
      <c r="E212" s="36"/>
      <c r="F212" s="37"/>
      <c r="G212" s="37"/>
      <c r="H212" s="37"/>
      <c r="I212" s="38"/>
    </row>
    <row r="213">
      <c r="A213" s="29"/>
      <c r="B213" s="30"/>
      <c r="C213" s="30"/>
      <c r="D213" s="30"/>
      <c r="E213" s="31"/>
      <c r="F213" s="32"/>
      <c r="G213" s="32"/>
      <c r="H213" s="32"/>
      <c r="I213" s="33"/>
    </row>
    <row r="214">
      <c r="A214" s="34"/>
      <c r="B214" s="35"/>
      <c r="C214" s="35"/>
      <c r="D214" s="35"/>
      <c r="E214" s="36"/>
      <c r="F214" s="37"/>
      <c r="G214" s="37"/>
      <c r="H214" s="37"/>
      <c r="I214" s="38"/>
    </row>
    <row r="215">
      <c r="A215" s="29"/>
      <c r="B215" s="30"/>
      <c r="C215" s="30"/>
      <c r="D215" s="30"/>
      <c r="E215" s="31"/>
      <c r="F215" s="32"/>
      <c r="G215" s="32"/>
      <c r="H215" s="32"/>
      <c r="I215" s="33"/>
    </row>
    <row r="216">
      <c r="A216" s="34"/>
      <c r="B216" s="35"/>
      <c r="C216" s="35"/>
      <c r="D216" s="35"/>
      <c r="E216" s="36"/>
      <c r="F216" s="37"/>
      <c r="G216" s="37"/>
      <c r="H216" s="37"/>
      <c r="I216" s="38"/>
    </row>
    <row r="217">
      <c r="A217" s="29"/>
      <c r="B217" s="30"/>
      <c r="C217" s="30"/>
      <c r="D217" s="30"/>
      <c r="E217" s="31"/>
      <c r="F217" s="32"/>
      <c r="G217" s="32"/>
      <c r="H217" s="32"/>
      <c r="I217" s="33"/>
    </row>
    <row r="218">
      <c r="A218" s="34"/>
      <c r="B218" s="35"/>
      <c r="C218" s="35"/>
      <c r="D218" s="35"/>
      <c r="E218" s="36"/>
      <c r="F218" s="37"/>
      <c r="G218" s="37"/>
      <c r="H218" s="37"/>
      <c r="I218" s="38"/>
    </row>
    <row r="219">
      <c r="A219" s="29"/>
      <c r="B219" s="30"/>
      <c r="C219" s="30"/>
      <c r="D219" s="30"/>
      <c r="E219" s="31"/>
      <c r="F219" s="32"/>
      <c r="G219" s="32"/>
      <c r="H219" s="32"/>
      <c r="I219" s="33"/>
    </row>
    <row r="220">
      <c r="A220" s="34"/>
      <c r="B220" s="35"/>
      <c r="C220" s="35"/>
      <c r="D220" s="35"/>
      <c r="E220" s="36"/>
      <c r="F220" s="37"/>
      <c r="G220" s="37"/>
      <c r="H220" s="37"/>
      <c r="I220" s="38"/>
    </row>
    <row r="221">
      <c r="A221" s="29"/>
      <c r="B221" s="30"/>
      <c r="C221" s="30"/>
      <c r="D221" s="30"/>
      <c r="E221" s="31"/>
      <c r="F221" s="32"/>
      <c r="G221" s="32"/>
      <c r="H221" s="32"/>
      <c r="I221" s="33"/>
    </row>
    <row r="222">
      <c r="A222" s="34"/>
      <c r="B222" s="35"/>
      <c r="C222" s="35"/>
      <c r="D222" s="35"/>
      <c r="E222" s="36"/>
      <c r="F222" s="37"/>
      <c r="G222" s="37"/>
      <c r="H222" s="37"/>
      <c r="I222" s="38"/>
    </row>
    <row r="223">
      <c r="A223" s="29"/>
      <c r="B223" s="30"/>
      <c r="C223" s="30"/>
      <c r="D223" s="30"/>
      <c r="E223" s="31"/>
      <c r="F223" s="32"/>
      <c r="G223" s="32"/>
      <c r="H223" s="32"/>
      <c r="I223" s="33"/>
    </row>
    <row r="224">
      <c r="A224" s="34"/>
      <c r="B224" s="35"/>
      <c r="C224" s="35"/>
      <c r="D224" s="35"/>
      <c r="E224" s="36"/>
      <c r="F224" s="37"/>
      <c r="G224" s="37"/>
      <c r="H224" s="37"/>
      <c r="I224" s="38"/>
    </row>
    <row r="225">
      <c r="A225" s="29"/>
      <c r="B225" s="30"/>
      <c r="C225" s="30"/>
      <c r="D225" s="30"/>
      <c r="E225" s="31"/>
      <c r="F225" s="32"/>
      <c r="G225" s="32"/>
      <c r="H225" s="32"/>
      <c r="I225" s="33"/>
    </row>
    <row r="226">
      <c r="A226" s="34"/>
      <c r="B226" s="35"/>
      <c r="C226" s="35"/>
      <c r="D226" s="35"/>
      <c r="E226" s="36"/>
      <c r="F226" s="37"/>
      <c r="G226" s="37"/>
      <c r="H226" s="37"/>
      <c r="I226" s="38"/>
    </row>
    <row r="227">
      <c r="A227" s="29"/>
      <c r="B227" s="30"/>
      <c r="C227" s="30"/>
      <c r="D227" s="30"/>
      <c r="E227" s="31"/>
      <c r="F227" s="32"/>
      <c r="G227" s="32"/>
      <c r="H227" s="32"/>
      <c r="I227" s="33"/>
    </row>
    <row r="228">
      <c r="A228" s="34"/>
      <c r="B228" s="35"/>
      <c r="C228" s="35"/>
      <c r="D228" s="35"/>
      <c r="E228" s="36"/>
      <c r="F228" s="37"/>
      <c r="G228" s="37"/>
      <c r="H228" s="37"/>
      <c r="I228" s="38"/>
    </row>
    <row r="229">
      <c r="A229" s="29"/>
      <c r="B229" s="30"/>
      <c r="C229" s="30"/>
      <c r="D229" s="30"/>
      <c r="E229" s="31"/>
      <c r="F229" s="32"/>
      <c r="G229" s="32"/>
      <c r="H229" s="32"/>
      <c r="I229" s="33"/>
    </row>
    <row r="230">
      <c r="A230" s="34"/>
      <c r="B230" s="35"/>
      <c r="C230" s="35"/>
      <c r="D230" s="35"/>
      <c r="E230" s="36"/>
      <c r="F230" s="37"/>
      <c r="G230" s="37"/>
      <c r="H230" s="37"/>
      <c r="I230" s="38"/>
    </row>
    <row r="231">
      <c r="A231" s="29"/>
      <c r="B231" s="30"/>
      <c r="C231" s="30"/>
      <c r="D231" s="30"/>
      <c r="E231" s="31"/>
      <c r="F231" s="32"/>
      <c r="G231" s="32"/>
      <c r="H231" s="32"/>
      <c r="I231" s="33"/>
    </row>
    <row r="232">
      <c r="A232" s="34"/>
      <c r="B232" s="35"/>
      <c r="C232" s="35"/>
      <c r="D232" s="35"/>
      <c r="E232" s="36"/>
      <c r="F232" s="37"/>
      <c r="G232" s="37"/>
      <c r="H232" s="37"/>
      <c r="I232" s="38"/>
    </row>
    <row r="233">
      <c r="A233" s="29"/>
      <c r="B233" s="30"/>
      <c r="C233" s="30"/>
      <c r="D233" s="30"/>
      <c r="E233" s="31"/>
      <c r="F233" s="32"/>
      <c r="G233" s="32"/>
      <c r="H233" s="32"/>
      <c r="I233" s="33"/>
    </row>
    <row r="234">
      <c r="A234" s="34"/>
      <c r="B234" s="35"/>
      <c r="C234" s="35"/>
      <c r="D234" s="35"/>
      <c r="E234" s="36"/>
      <c r="F234" s="37"/>
      <c r="G234" s="37"/>
      <c r="H234" s="37"/>
      <c r="I234" s="38"/>
    </row>
    <row r="235">
      <c r="A235" s="29"/>
      <c r="B235" s="30"/>
      <c r="C235" s="30"/>
      <c r="D235" s="30"/>
      <c r="E235" s="31"/>
      <c r="F235" s="32"/>
      <c r="G235" s="32"/>
      <c r="H235" s="32"/>
      <c r="I235" s="33"/>
    </row>
    <row r="236">
      <c r="A236" s="34"/>
      <c r="B236" s="35"/>
      <c r="C236" s="35"/>
      <c r="D236" s="35"/>
      <c r="E236" s="36"/>
      <c r="F236" s="37"/>
      <c r="G236" s="37"/>
      <c r="H236" s="37"/>
      <c r="I236" s="38"/>
    </row>
    <row r="237">
      <c r="A237" s="29"/>
      <c r="B237" s="30"/>
      <c r="C237" s="30"/>
      <c r="D237" s="30"/>
      <c r="E237" s="31"/>
      <c r="F237" s="32"/>
      <c r="G237" s="32"/>
      <c r="H237" s="32"/>
      <c r="I237" s="33"/>
    </row>
    <row r="238">
      <c r="A238" s="34"/>
      <c r="B238" s="35"/>
      <c r="C238" s="35"/>
      <c r="D238" s="35"/>
      <c r="E238" s="36"/>
      <c r="F238" s="37"/>
      <c r="G238" s="37"/>
      <c r="H238" s="37"/>
      <c r="I238" s="38"/>
    </row>
    <row r="239">
      <c r="A239" s="29"/>
      <c r="B239" s="30"/>
      <c r="C239" s="30"/>
      <c r="D239" s="30"/>
      <c r="E239" s="31"/>
      <c r="F239" s="32"/>
      <c r="G239" s="32"/>
      <c r="H239" s="32"/>
      <c r="I239" s="33"/>
    </row>
    <row r="240">
      <c r="A240" s="34"/>
      <c r="B240" s="35"/>
      <c r="C240" s="35"/>
      <c r="D240" s="35"/>
      <c r="E240" s="36"/>
      <c r="F240" s="37"/>
      <c r="G240" s="37"/>
      <c r="H240" s="37"/>
      <c r="I240" s="38"/>
    </row>
    <row r="241">
      <c r="A241" s="29"/>
      <c r="B241" s="30"/>
      <c r="C241" s="30"/>
      <c r="D241" s="30"/>
      <c r="E241" s="31"/>
      <c r="F241" s="32"/>
      <c r="G241" s="32"/>
      <c r="H241" s="32"/>
      <c r="I241" s="33"/>
    </row>
    <row r="242">
      <c r="A242" s="34"/>
      <c r="B242" s="35"/>
      <c r="C242" s="35"/>
      <c r="D242" s="35"/>
      <c r="E242" s="36"/>
      <c r="F242" s="37"/>
      <c r="G242" s="37"/>
      <c r="H242" s="37"/>
      <c r="I242" s="38"/>
    </row>
    <row r="243">
      <c r="A243" s="29"/>
      <c r="B243" s="30"/>
      <c r="C243" s="30"/>
      <c r="D243" s="30"/>
      <c r="E243" s="31"/>
      <c r="F243" s="32"/>
      <c r="G243" s="32"/>
      <c r="H243" s="32"/>
      <c r="I243" s="33"/>
    </row>
    <row r="244">
      <c r="A244" s="34"/>
      <c r="B244" s="35"/>
      <c r="C244" s="35"/>
      <c r="D244" s="35"/>
      <c r="E244" s="36"/>
      <c r="F244" s="37"/>
      <c r="G244" s="37"/>
      <c r="H244" s="37"/>
      <c r="I244" s="38"/>
    </row>
    <row r="245">
      <c r="A245" s="29"/>
      <c r="B245" s="30"/>
      <c r="C245" s="30"/>
      <c r="D245" s="30"/>
      <c r="E245" s="31"/>
      <c r="F245" s="32"/>
      <c r="G245" s="32"/>
      <c r="H245" s="32"/>
      <c r="I245" s="33"/>
    </row>
    <row r="246">
      <c r="A246" s="34"/>
      <c r="B246" s="35"/>
      <c r="C246" s="35"/>
      <c r="D246" s="35"/>
      <c r="E246" s="36"/>
      <c r="F246" s="37"/>
      <c r="G246" s="37"/>
      <c r="H246" s="37"/>
      <c r="I246" s="38"/>
    </row>
    <row r="247">
      <c r="A247" s="29"/>
      <c r="B247" s="30"/>
      <c r="C247" s="30"/>
      <c r="D247" s="30"/>
      <c r="E247" s="31"/>
      <c r="F247" s="32"/>
      <c r="G247" s="32"/>
      <c r="H247" s="32"/>
      <c r="I247" s="33"/>
    </row>
    <row r="248">
      <c r="A248" s="34"/>
      <c r="B248" s="35"/>
      <c r="C248" s="35"/>
      <c r="D248" s="35"/>
      <c r="E248" s="36"/>
      <c r="F248" s="37"/>
      <c r="G248" s="37"/>
      <c r="H248" s="37"/>
      <c r="I248" s="38"/>
    </row>
    <row r="249">
      <c r="A249" s="29"/>
      <c r="B249" s="30"/>
      <c r="C249" s="30"/>
      <c r="D249" s="30"/>
      <c r="E249" s="31"/>
      <c r="F249" s="32"/>
      <c r="G249" s="32"/>
      <c r="H249" s="32"/>
      <c r="I249" s="33"/>
    </row>
    <row r="250">
      <c r="A250" s="34"/>
      <c r="B250" s="35"/>
      <c r="C250" s="35"/>
      <c r="D250" s="35"/>
      <c r="E250" s="36"/>
      <c r="F250" s="37"/>
      <c r="G250" s="37"/>
      <c r="H250" s="37"/>
      <c r="I250" s="38"/>
    </row>
    <row r="251">
      <c r="A251" s="29"/>
      <c r="B251" s="30"/>
      <c r="C251" s="30"/>
      <c r="D251" s="30"/>
      <c r="E251" s="31"/>
      <c r="F251" s="32"/>
      <c r="G251" s="32"/>
      <c r="H251" s="32"/>
      <c r="I251" s="33"/>
    </row>
    <row r="252">
      <c r="A252" s="34"/>
      <c r="B252" s="35"/>
      <c r="C252" s="35"/>
      <c r="D252" s="35"/>
      <c r="E252" s="36"/>
      <c r="F252" s="37"/>
      <c r="G252" s="37"/>
      <c r="H252" s="37"/>
      <c r="I252" s="38"/>
    </row>
    <row r="253">
      <c r="A253" s="29"/>
      <c r="B253" s="30"/>
      <c r="C253" s="30"/>
      <c r="D253" s="30"/>
      <c r="E253" s="31"/>
      <c r="F253" s="32"/>
      <c r="G253" s="32"/>
      <c r="H253" s="32"/>
      <c r="I253" s="33"/>
    </row>
    <row r="254">
      <c r="A254" s="34"/>
      <c r="B254" s="35"/>
      <c r="C254" s="35"/>
      <c r="D254" s="35"/>
      <c r="E254" s="36"/>
      <c r="F254" s="37"/>
      <c r="G254" s="37"/>
      <c r="H254" s="37"/>
      <c r="I254" s="38"/>
    </row>
    <row r="255">
      <c r="A255" s="29"/>
      <c r="B255" s="30"/>
      <c r="C255" s="30"/>
      <c r="D255" s="30"/>
      <c r="E255" s="31"/>
      <c r="F255" s="32"/>
      <c r="G255" s="32"/>
      <c r="H255" s="32"/>
      <c r="I255" s="33"/>
    </row>
    <row r="256">
      <c r="A256" s="34"/>
      <c r="B256" s="35"/>
      <c r="C256" s="35"/>
      <c r="D256" s="35"/>
      <c r="E256" s="36"/>
      <c r="F256" s="37"/>
      <c r="G256" s="37"/>
      <c r="H256" s="37"/>
      <c r="I256" s="38"/>
    </row>
    <row r="257">
      <c r="A257" s="29"/>
      <c r="B257" s="30"/>
      <c r="C257" s="30"/>
      <c r="D257" s="30"/>
      <c r="E257" s="31"/>
      <c r="F257" s="32"/>
      <c r="G257" s="32"/>
      <c r="H257" s="32"/>
      <c r="I257" s="33"/>
    </row>
    <row r="258">
      <c r="A258" s="34"/>
      <c r="B258" s="35"/>
      <c r="C258" s="35"/>
      <c r="D258" s="35"/>
      <c r="E258" s="36"/>
      <c r="F258" s="37"/>
      <c r="G258" s="37"/>
      <c r="H258" s="37"/>
      <c r="I258" s="38"/>
    </row>
    <row r="259">
      <c r="A259" s="29"/>
      <c r="B259" s="30"/>
      <c r="C259" s="30"/>
      <c r="D259" s="30"/>
      <c r="E259" s="31"/>
      <c r="F259" s="32"/>
      <c r="G259" s="32"/>
      <c r="H259" s="32"/>
      <c r="I259" s="33"/>
    </row>
    <row r="260">
      <c r="A260" s="34"/>
      <c r="B260" s="35"/>
      <c r="C260" s="35"/>
      <c r="D260" s="35"/>
      <c r="E260" s="36"/>
      <c r="F260" s="37"/>
      <c r="G260" s="37"/>
      <c r="H260" s="37"/>
      <c r="I260" s="38"/>
    </row>
    <row r="261">
      <c r="A261" s="29"/>
      <c r="B261" s="30"/>
      <c r="C261" s="30"/>
      <c r="D261" s="30"/>
      <c r="E261" s="31"/>
      <c r="F261" s="32"/>
      <c r="G261" s="32"/>
      <c r="H261" s="32"/>
      <c r="I261" s="33"/>
    </row>
    <row r="262">
      <c r="A262" s="34"/>
      <c r="B262" s="35"/>
      <c r="C262" s="35"/>
      <c r="D262" s="35"/>
      <c r="E262" s="36"/>
      <c r="F262" s="37"/>
      <c r="G262" s="37"/>
      <c r="H262" s="37"/>
      <c r="I262" s="38"/>
    </row>
    <row r="263">
      <c r="A263" s="29"/>
      <c r="B263" s="30"/>
      <c r="C263" s="30"/>
      <c r="D263" s="30"/>
      <c r="E263" s="31"/>
      <c r="F263" s="32"/>
      <c r="G263" s="32"/>
      <c r="H263" s="32"/>
      <c r="I263" s="33"/>
    </row>
    <row r="264">
      <c r="A264" s="34"/>
      <c r="B264" s="35"/>
      <c r="C264" s="35"/>
      <c r="D264" s="35"/>
      <c r="E264" s="36"/>
      <c r="F264" s="37"/>
      <c r="G264" s="37"/>
      <c r="H264" s="37"/>
      <c r="I264" s="38"/>
    </row>
    <row r="265">
      <c r="A265" s="29"/>
      <c r="B265" s="30"/>
      <c r="C265" s="30"/>
      <c r="D265" s="30"/>
      <c r="E265" s="31"/>
      <c r="F265" s="32"/>
      <c r="G265" s="32"/>
      <c r="H265" s="32"/>
      <c r="I265" s="33"/>
    </row>
    <row r="266">
      <c r="A266" s="34"/>
      <c r="B266" s="35"/>
      <c r="C266" s="35"/>
      <c r="D266" s="35"/>
      <c r="E266" s="36"/>
      <c r="F266" s="37"/>
      <c r="G266" s="37"/>
      <c r="H266" s="37"/>
      <c r="I266" s="38"/>
    </row>
    <row r="267">
      <c r="A267" s="29"/>
      <c r="B267" s="30"/>
      <c r="C267" s="30"/>
      <c r="D267" s="30"/>
      <c r="E267" s="31"/>
      <c r="F267" s="32"/>
      <c r="G267" s="32"/>
      <c r="H267" s="32"/>
      <c r="I267" s="33"/>
    </row>
    <row r="268">
      <c r="A268" s="34"/>
      <c r="B268" s="35"/>
      <c r="C268" s="35"/>
      <c r="D268" s="35"/>
      <c r="E268" s="36"/>
      <c r="F268" s="37"/>
      <c r="G268" s="37"/>
      <c r="H268" s="37"/>
      <c r="I268" s="38"/>
    </row>
    <row r="269">
      <c r="A269" s="29"/>
      <c r="B269" s="30"/>
      <c r="C269" s="30"/>
      <c r="D269" s="30"/>
      <c r="E269" s="31"/>
      <c r="F269" s="32"/>
      <c r="G269" s="32"/>
      <c r="H269" s="32"/>
      <c r="I269" s="33"/>
    </row>
    <row r="270">
      <c r="A270" s="34"/>
      <c r="B270" s="35"/>
      <c r="C270" s="35"/>
      <c r="D270" s="35"/>
      <c r="E270" s="36"/>
      <c r="F270" s="37"/>
      <c r="G270" s="37"/>
      <c r="H270" s="37"/>
      <c r="I270" s="38"/>
    </row>
    <row r="271">
      <c r="A271" s="29"/>
      <c r="B271" s="30"/>
      <c r="C271" s="30"/>
      <c r="D271" s="30"/>
      <c r="E271" s="31"/>
      <c r="F271" s="32"/>
      <c r="G271" s="32"/>
      <c r="H271" s="32"/>
      <c r="I271" s="33"/>
    </row>
    <row r="272">
      <c r="A272" s="34"/>
      <c r="B272" s="35"/>
      <c r="C272" s="35"/>
      <c r="D272" s="35"/>
      <c r="E272" s="36"/>
      <c r="F272" s="37"/>
      <c r="G272" s="37"/>
      <c r="H272" s="37"/>
      <c r="I272" s="38"/>
    </row>
    <row r="273">
      <c r="A273" s="29"/>
      <c r="B273" s="30"/>
      <c r="C273" s="30"/>
      <c r="D273" s="30"/>
      <c r="E273" s="31"/>
      <c r="F273" s="32"/>
      <c r="G273" s="32"/>
      <c r="H273" s="32"/>
      <c r="I273" s="33"/>
    </row>
    <row r="274">
      <c r="A274" s="34"/>
      <c r="B274" s="35"/>
      <c r="C274" s="35"/>
      <c r="D274" s="35"/>
      <c r="E274" s="36"/>
      <c r="F274" s="37"/>
      <c r="G274" s="37"/>
      <c r="H274" s="37"/>
      <c r="I274" s="38"/>
    </row>
    <row r="275">
      <c r="A275" s="29"/>
      <c r="B275" s="30"/>
      <c r="C275" s="30"/>
      <c r="D275" s="30"/>
      <c r="E275" s="31"/>
      <c r="F275" s="32"/>
      <c r="G275" s="32"/>
      <c r="H275" s="32"/>
      <c r="I275" s="33"/>
    </row>
    <row r="276">
      <c r="A276" s="34"/>
      <c r="B276" s="35"/>
      <c r="C276" s="35"/>
      <c r="D276" s="35"/>
      <c r="E276" s="36"/>
      <c r="F276" s="37"/>
      <c r="G276" s="37"/>
      <c r="H276" s="37"/>
      <c r="I276" s="38"/>
    </row>
    <row r="277">
      <c r="A277" s="29"/>
      <c r="B277" s="30"/>
      <c r="C277" s="30"/>
      <c r="D277" s="30"/>
      <c r="E277" s="31"/>
      <c r="F277" s="32"/>
      <c r="G277" s="32"/>
      <c r="H277" s="32"/>
      <c r="I277" s="33"/>
    </row>
    <row r="278">
      <c r="A278" s="34"/>
      <c r="B278" s="35"/>
      <c r="C278" s="35"/>
      <c r="D278" s="35"/>
      <c r="E278" s="36"/>
      <c r="F278" s="37"/>
      <c r="G278" s="37"/>
      <c r="H278" s="37"/>
      <c r="I278" s="38"/>
    </row>
    <row r="279">
      <c r="A279" s="29"/>
      <c r="B279" s="30"/>
      <c r="C279" s="30"/>
      <c r="D279" s="30"/>
      <c r="E279" s="31"/>
      <c r="F279" s="32"/>
      <c r="G279" s="32"/>
      <c r="H279" s="32"/>
      <c r="I279" s="33"/>
    </row>
    <row r="280">
      <c r="A280" s="34"/>
      <c r="B280" s="35"/>
      <c r="C280" s="35"/>
      <c r="D280" s="35"/>
      <c r="E280" s="36"/>
      <c r="F280" s="37"/>
      <c r="G280" s="37"/>
      <c r="H280" s="37"/>
      <c r="I280" s="38"/>
    </row>
    <row r="281">
      <c r="A281" s="29"/>
      <c r="B281" s="30"/>
      <c r="C281" s="30"/>
      <c r="D281" s="30"/>
      <c r="E281" s="31"/>
      <c r="F281" s="32"/>
      <c r="G281" s="32"/>
      <c r="H281" s="32"/>
      <c r="I281" s="33"/>
    </row>
    <row r="282">
      <c r="A282" s="34"/>
      <c r="B282" s="35"/>
      <c r="C282" s="35"/>
      <c r="D282" s="35"/>
      <c r="E282" s="36"/>
      <c r="F282" s="37"/>
      <c r="G282" s="37"/>
      <c r="H282" s="37"/>
      <c r="I282" s="38"/>
    </row>
    <row r="283">
      <c r="A283" s="29"/>
      <c r="B283" s="30"/>
      <c r="C283" s="30"/>
      <c r="D283" s="30"/>
      <c r="E283" s="31"/>
      <c r="F283" s="32"/>
      <c r="G283" s="32"/>
      <c r="H283" s="32"/>
      <c r="I283" s="33"/>
    </row>
    <row r="284">
      <c r="A284" s="34"/>
      <c r="B284" s="35"/>
      <c r="C284" s="35"/>
      <c r="D284" s="35"/>
      <c r="E284" s="36"/>
      <c r="F284" s="37"/>
      <c r="G284" s="37"/>
      <c r="H284" s="37"/>
      <c r="I284" s="38"/>
    </row>
    <row r="285">
      <c r="A285" s="29"/>
      <c r="B285" s="30"/>
      <c r="C285" s="30"/>
      <c r="D285" s="30"/>
      <c r="E285" s="31"/>
      <c r="F285" s="32"/>
      <c r="G285" s="32"/>
      <c r="H285" s="32"/>
      <c r="I285" s="33"/>
    </row>
    <row r="286">
      <c r="A286" s="34"/>
      <c r="B286" s="35"/>
      <c r="C286" s="35"/>
      <c r="D286" s="35"/>
      <c r="E286" s="36"/>
      <c r="F286" s="37"/>
      <c r="G286" s="37"/>
      <c r="H286" s="37"/>
      <c r="I286" s="38"/>
    </row>
    <row r="287">
      <c r="A287" s="29"/>
      <c r="B287" s="30"/>
      <c r="C287" s="30"/>
      <c r="D287" s="30"/>
      <c r="E287" s="31"/>
      <c r="F287" s="32"/>
      <c r="G287" s="32"/>
      <c r="H287" s="32"/>
      <c r="I287" s="33"/>
    </row>
    <row r="288">
      <c r="A288" s="34"/>
      <c r="B288" s="35"/>
      <c r="C288" s="35"/>
      <c r="D288" s="35"/>
      <c r="E288" s="36"/>
      <c r="F288" s="37"/>
      <c r="G288" s="37"/>
      <c r="H288" s="37"/>
      <c r="I288" s="38"/>
    </row>
    <row r="289">
      <c r="A289" s="29"/>
      <c r="B289" s="30"/>
      <c r="C289" s="30"/>
      <c r="D289" s="30"/>
      <c r="E289" s="31"/>
      <c r="F289" s="32"/>
      <c r="G289" s="32"/>
      <c r="H289" s="32"/>
      <c r="I289" s="33"/>
    </row>
    <row r="290">
      <c r="A290" s="34"/>
      <c r="B290" s="35"/>
      <c r="C290" s="35"/>
      <c r="D290" s="35"/>
      <c r="E290" s="36"/>
      <c r="F290" s="37"/>
      <c r="G290" s="37"/>
      <c r="H290" s="37"/>
      <c r="I290" s="38"/>
    </row>
    <row r="291">
      <c r="A291" s="29"/>
      <c r="B291" s="30"/>
      <c r="C291" s="30"/>
      <c r="D291" s="30"/>
      <c r="E291" s="31"/>
      <c r="F291" s="32"/>
      <c r="G291" s="32"/>
      <c r="H291" s="32"/>
      <c r="I291" s="33"/>
    </row>
    <row r="292">
      <c r="A292" s="34"/>
      <c r="B292" s="35"/>
      <c r="C292" s="35"/>
      <c r="D292" s="35"/>
      <c r="E292" s="36"/>
      <c r="F292" s="37"/>
      <c r="G292" s="37"/>
      <c r="H292" s="37"/>
      <c r="I292" s="38"/>
    </row>
    <row r="293">
      <c r="A293" s="29"/>
      <c r="B293" s="30"/>
      <c r="C293" s="30"/>
      <c r="D293" s="30"/>
      <c r="E293" s="31"/>
      <c r="F293" s="32"/>
      <c r="G293" s="32"/>
      <c r="H293" s="32"/>
      <c r="I293" s="33"/>
    </row>
    <row r="294">
      <c r="A294" s="34"/>
      <c r="B294" s="35"/>
      <c r="C294" s="35"/>
      <c r="D294" s="35"/>
      <c r="E294" s="36"/>
      <c r="F294" s="37"/>
      <c r="G294" s="37"/>
      <c r="H294" s="37"/>
      <c r="I294" s="38"/>
    </row>
    <row r="295">
      <c r="A295" s="29"/>
      <c r="B295" s="30"/>
      <c r="C295" s="30"/>
      <c r="D295" s="30"/>
      <c r="E295" s="31"/>
      <c r="F295" s="32"/>
      <c r="G295" s="32"/>
      <c r="H295" s="32"/>
      <c r="I295" s="33"/>
    </row>
    <row r="296">
      <c r="A296" s="34"/>
      <c r="B296" s="35"/>
      <c r="C296" s="35"/>
      <c r="D296" s="35"/>
      <c r="E296" s="36"/>
      <c r="F296" s="37"/>
      <c r="G296" s="37"/>
      <c r="H296" s="37"/>
      <c r="I296" s="38"/>
    </row>
    <row r="297">
      <c r="A297" s="29"/>
      <c r="B297" s="30"/>
      <c r="C297" s="30"/>
      <c r="D297" s="30"/>
      <c r="E297" s="31"/>
      <c r="F297" s="32"/>
      <c r="G297" s="32"/>
      <c r="H297" s="32"/>
      <c r="I297" s="33"/>
    </row>
    <row r="298">
      <c r="A298" s="34"/>
      <c r="B298" s="35"/>
      <c r="C298" s="35"/>
      <c r="D298" s="35"/>
      <c r="E298" s="36"/>
      <c r="F298" s="37"/>
      <c r="G298" s="37"/>
      <c r="H298" s="37"/>
      <c r="I298" s="38"/>
    </row>
    <row r="299">
      <c r="A299" s="29"/>
      <c r="B299" s="30"/>
      <c r="C299" s="30"/>
      <c r="D299" s="30"/>
      <c r="E299" s="31"/>
      <c r="F299" s="32"/>
      <c r="G299" s="32"/>
      <c r="H299" s="32"/>
      <c r="I299" s="33"/>
    </row>
    <row r="300">
      <c r="A300" s="34"/>
      <c r="B300" s="35"/>
      <c r="C300" s="35"/>
      <c r="D300" s="35"/>
      <c r="E300" s="36"/>
      <c r="F300" s="37"/>
      <c r="G300" s="37"/>
      <c r="H300" s="37"/>
      <c r="I300" s="38"/>
    </row>
    <row r="301">
      <c r="A301" s="29"/>
      <c r="B301" s="30"/>
      <c r="C301" s="30"/>
      <c r="D301" s="30"/>
      <c r="E301" s="31"/>
      <c r="F301" s="32"/>
      <c r="G301" s="32"/>
      <c r="H301" s="32"/>
      <c r="I301" s="33"/>
    </row>
    <row r="302">
      <c r="A302" s="34"/>
      <c r="B302" s="35"/>
      <c r="C302" s="35"/>
      <c r="D302" s="35"/>
      <c r="E302" s="36"/>
      <c r="F302" s="37"/>
      <c r="G302" s="37"/>
      <c r="H302" s="37"/>
      <c r="I302" s="38"/>
    </row>
    <row r="303">
      <c r="A303" s="29"/>
      <c r="B303" s="30"/>
      <c r="C303" s="30"/>
      <c r="D303" s="30"/>
      <c r="E303" s="31"/>
      <c r="F303" s="32"/>
      <c r="G303" s="32"/>
      <c r="H303" s="32"/>
      <c r="I303" s="33"/>
    </row>
    <row r="304">
      <c r="A304" s="34"/>
      <c r="B304" s="35"/>
      <c r="C304" s="35"/>
      <c r="D304" s="35"/>
      <c r="E304" s="36"/>
      <c r="F304" s="37"/>
      <c r="G304" s="37"/>
      <c r="H304" s="37"/>
      <c r="I304" s="38"/>
    </row>
    <row r="305">
      <c r="A305" s="29"/>
      <c r="B305" s="30"/>
      <c r="C305" s="30"/>
      <c r="D305" s="30"/>
      <c r="E305" s="31"/>
      <c r="F305" s="32"/>
      <c r="G305" s="32"/>
      <c r="H305" s="32"/>
      <c r="I305" s="33"/>
    </row>
    <row r="306">
      <c r="A306" s="34"/>
      <c r="B306" s="35"/>
      <c r="C306" s="35"/>
      <c r="D306" s="35"/>
      <c r="E306" s="36"/>
      <c r="F306" s="37"/>
      <c r="G306" s="37"/>
      <c r="H306" s="37"/>
      <c r="I306" s="38"/>
    </row>
    <row r="307">
      <c r="A307" s="29"/>
      <c r="B307" s="30"/>
      <c r="C307" s="30"/>
      <c r="D307" s="30"/>
      <c r="E307" s="31"/>
      <c r="F307" s="32"/>
      <c r="G307" s="32"/>
      <c r="H307" s="32"/>
      <c r="I307" s="33"/>
    </row>
    <row r="308">
      <c r="A308" s="34"/>
      <c r="B308" s="35"/>
      <c r="C308" s="35"/>
      <c r="D308" s="35"/>
      <c r="E308" s="36"/>
      <c r="F308" s="37"/>
      <c r="G308" s="37"/>
      <c r="H308" s="37"/>
      <c r="I308" s="38"/>
    </row>
    <row r="309">
      <c r="A309" s="29"/>
      <c r="B309" s="30"/>
      <c r="C309" s="30"/>
      <c r="D309" s="30"/>
      <c r="E309" s="31"/>
      <c r="F309" s="32"/>
      <c r="G309" s="32"/>
      <c r="H309" s="32"/>
      <c r="I309" s="33"/>
    </row>
    <row r="310">
      <c r="A310" s="34"/>
      <c r="B310" s="35"/>
      <c r="C310" s="35"/>
      <c r="D310" s="35"/>
      <c r="E310" s="36"/>
      <c r="F310" s="37"/>
      <c r="G310" s="37"/>
      <c r="H310" s="37"/>
      <c r="I310" s="38"/>
    </row>
    <row r="311">
      <c r="A311" s="29"/>
      <c r="B311" s="30"/>
      <c r="C311" s="30"/>
      <c r="D311" s="30"/>
      <c r="E311" s="31"/>
      <c r="F311" s="32"/>
      <c r="G311" s="32"/>
      <c r="H311" s="32"/>
      <c r="I311" s="33"/>
    </row>
    <row r="312">
      <c r="A312" s="34"/>
      <c r="B312" s="35"/>
      <c r="C312" s="35"/>
      <c r="D312" s="35"/>
      <c r="E312" s="36"/>
      <c r="F312" s="37"/>
      <c r="G312" s="37"/>
      <c r="H312" s="37"/>
      <c r="I312" s="38"/>
    </row>
    <row r="313">
      <c r="A313" s="29"/>
      <c r="B313" s="30"/>
      <c r="C313" s="30"/>
      <c r="D313" s="30"/>
      <c r="E313" s="31"/>
      <c r="F313" s="32"/>
      <c r="G313" s="32"/>
      <c r="H313" s="32"/>
      <c r="I313" s="33"/>
    </row>
    <row r="314">
      <c r="A314" s="34"/>
      <c r="B314" s="35"/>
      <c r="C314" s="35"/>
      <c r="D314" s="35"/>
      <c r="E314" s="36"/>
      <c r="F314" s="37"/>
      <c r="G314" s="37"/>
      <c r="H314" s="37"/>
      <c r="I314" s="38"/>
    </row>
    <row r="315">
      <c r="A315" s="29"/>
      <c r="B315" s="30"/>
      <c r="C315" s="30"/>
      <c r="D315" s="30"/>
      <c r="E315" s="31"/>
      <c r="F315" s="32"/>
      <c r="G315" s="32"/>
      <c r="H315" s="32"/>
      <c r="I315" s="33"/>
    </row>
    <row r="316">
      <c r="A316" s="34"/>
      <c r="B316" s="35"/>
      <c r="C316" s="35"/>
      <c r="D316" s="35"/>
      <c r="E316" s="36"/>
      <c r="F316" s="37"/>
      <c r="G316" s="37"/>
      <c r="H316" s="37"/>
      <c r="I316" s="38"/>
    </row>
    <row r="317">
      <c r="A317" s="29"/>
      <c r="B317" s="30"/>
      <c r="C317" s="30"/>
      <c r="D317" s="30"/>
      <c r="E317" s="31"/>
      <c r="F317" s="32"/>
      <c r="G317" s="32"/>
      <c r="H317" s="32"/>
      <c r="I317" s="33"/>
    </row>
    <row r="318">
      <c r="A318" s="34"/>
      <c r="B318" s="35"/>
      <c r="C318" s="35"/>
      <c r="D318" s="35"/>
      <c r="E318" s="36"/>
      <c r="F318" s="37"/>
      <c r="G318" s="37"/>
      <c r="H318" s="37"/>
      <c r="I318" s="38"/>
    </row>
    <row r="319">
      <c r="A319" s="29"/>
      <c r="B319" s="30"/>
      <c r="C319" s="30"/>
      <c r="D319" s="30"/>
      <c r="E319" s="31"/>
      <c r="F319" s="32"/>
      <c r="G319" s="32"/>
      <c r="H319" s="32"/>
      <c r="I319" s="33"/>
    </row>
    <row r="320">
      <c r="A320" s="34"/>
      <c r="B320" s="35"/>
      <c r="C320" s="35"/>
      <c r="D320" s="35"/>
      <c r="E320" s="36"/>
      <c r="F320" s="37"/>
      <c r="G320" s="37"/>
      <c r="H320" s="37"/>
      <c r="I320" s="38"/>
    </row>
    <row r="321">
      <c r="A321" s="29"/>
      <c r="B321" s="30"/>
      <c r="C321" s="30"/>
      <c r="D321" s="30"/>
      <c r="E321" s="31"/>
      <c r="F321" s="32"/>
      <c r="G321" s="32"/>
      <c r="H321" s="32"/>
      <c r="I321" s="33"/>
    </row>
    <row r="322">
      <c r="A322" s="34"/>
      <c r="B322" s="35"/>
      <c r="C322" s="35"/>
      <c r="D322" s="35"/>
      <c r="E322" s="36"/>
      <c r="F322" s="37"/>
      <c r="G322" s="37"/>
      <c r="H322" s="37"/>
      <c r="I322" s="38"/>
    </row>
    <row r="323">
      <c r="A323" s="29"/>
      <c r="B323" s="30"/>
      <c r="C323" s="30"/>
      <c r="D323" s="30"/>
      <c r="E323" s="31"/>
      <c r="F323" s="32"/>
      <c r="G323" s="32"/>
      <c r="H323" s="32"/>
      <c r="I323" s="33"/>
    </row>
    <row r="324">
      <c r="A324" s="34"/>
      <c r="B324" s="35"/>
      <c r="C324" s="35"/>
      <c r="D324" s="35"/>
      <c r="E324" s="36"/>
      <c r="F324" s="37"/>
      <c r="G324" s="37"/>
      <c r="H324" s="37"/>
      <c r="I324" s="38"/>
    </row>
    <row r="325">
      <c r="A325" s="29"/>
      <c r="B325" s="30"/>
      <c r="C325" s="30"/>
      <c r="D325" s="30"/>
      <c r="E325" s="31"/>
      <c r="F325" s="32"/>
      <c r="G325" s="32"/>
      <c r="H325" s="32"/>
      <c r="I325" s="33"/>
    </row>
    <row r="326">
      <c r="A326" s="34"/>
      <c r="B326" s="35"/>
      <c r="C326" s="35"/>
      <c r="D326" s="35"/>
      <c r="E326" s="36"/>
      <c r="F326" s="37"/>
      <c r="G326" s="37"/>
      <c r="H326" s="37"/>
      <c r="I326" s="38"/>
    </row>
    <row r="327">
      <c r="A327" s="29"/>
      <c r="B327" s="30"/>
      <c r="C327" s="30"/>
      <c r="D327" s="30"/>
      <c r="E327" s="31"/>
      <c r="F327" s="32"/>
      <c r="G327" s="32"/>
      <c r="H327" s="32"/>
      <c r="I327" s="33"/>
    </row>
    <row r="328">
      <c r="A328" s="34"/>
      <c r="B328" s="35"/>
      <c r="C328" s="35"/>
      <c r="D328" s="35"/>
      <c r="E328" s="36"/>
      <c r="F328" s="37"/>
      <c r="G328" s="37"/>
      <c r="H328" s="37"/>
      <c r="I328" s="38"/>
    </row>
    <row r="329">
      <c r="A329" s="29"/>
      <c r="B329" s="30"/>
      <c r="C329" s="30"/>
      <c r="D329" s="30"/>
      <c r="E329" s="31"/>
      <c r="F329" s="32"/>
      <c r="G329" s="32"/>
      <c r="H329" s="32"/>
      <c r="I329" s="33"/>
    </row>
    <row r="330">
      <c r="A330" s="34"/>
      <c r="B330" s="35"/>
      <c r="C330" s="35"/>
      <c r="D330" s="35"/>
      <c r="E330" s="36"/>
      <c r="F330" s="37"/>
      <c r="G330" s="37"/>
      <c r="H330" s="37"/>
      <c r="I330" s="38"/>
    </row>
    <row r="331">
      <c r="A331" s="29"/>
      <c r="B331" s="30"/>
      <c r="C331" s="30"/>
      <c r="D331" s="30"/>
      <c r="E331" s="31"/>
      <c r="F331" s="32"/>
      <c r="G331" s="32"/>
      <c r="H331" s="32"/>
      <c r="I331" s="33"/>
    </row>
    <row r="332">
      <c r="A332" s="34"/>
      <c r="B332" s="35"/>
      <c r="C332" s="35"/>
      <c r="D332" s="35"/>
      <c r="E332" s="36"/>
      <c r="F332" s="37"/>
      <c r="G332" s="37"/>
      <c r="H332" s="37"/>
      <c r="I332" s="38"/>
    </row>
    <row r="333">
      <c r="A333" s="29"/>
      <c r="B333" s="30"/>
      <c r="C333" s="30"/>
      <c r="D333" s="30"/>
      <c r="E333" s="31"/>
      <c r="F333" s="32"/>
      <c r="G333" s="32"/>
      <c r="H333" s="32"/>
      <c r="I333" s="33"/>
    </row>
    <row r="334">
      <c r="A334" s="34"/>
      <c r="B334" s="35"/>
      <c r="C334" s="35"/>
      <c r="D334" s="35"/>
      <c r="E334" s="36"/>
      <c r="F334" s="37"/>
      <c r="G334" s="37"/>
      <c r="H334" s="37"/>
      <c r="I334" s="38"/>
    </row>
    <row r="335">
      <c r="A335" s="29"/>
      <c r="B335" s="30"/>
      <c r="C335" s="30"/>
      <c r="D335" s="30"/>
      <c r="E335" s="31"/>
      <c r="F335" s="32"/>
      <c r="G335" s="32"/>
      <c r="H335" s="32"/>
      <c r="I335" s="33"/>
    </row>
    <row r="336">
      <c r="A336" s="34"/>
      <c r="B336" s="35"/>
      <c r="C336" s="35"/>
      <c r="D336" s="35"/>
      <c r="E336" s="36"/>
      <c r="F336" s="37"/>
      <c r="G336" s="37"/>
      <c r="H336" s="37"/>
      <c r="I336" s="38"/>
    </row>
    <row r="337">
      <c r="A337" s="29"/>
      <c r="B337" s="30"/>
      <c r="C337" s="30"/>
      <c r="D337" s="30"/>
      <c r="E337" s="31"/>
      <c r="F337" s="32"/>
      <c r="G337" s="32"/>
      <c r="H337" s="32"/>
      <c r="I337" s="33"/>
    </row>
    <row r="338">
      <c r="A338" s="34"/>
      <c r="B338" s="35"/>
      <c r="C338" s="35"/>
      <c r="D338" s="35"/>
      <c r="E338" s="36"/>
      <c r="F338" s="37"/>
      <c r="G338" s="37"/>
      <c r="H338" s="37"/>
      <c r="I338" s="38"/>
    </row>
    <row r="339">
      <c r="A339" s="29"/>
      <c r="B339" s="30"/>
      <c r="C339" s="30"/>
      <c r="D339" s="30"/>
      <c r="E339" s="31"/>
      <c r="F339" s="32"/>
      <c r="G339" s="32"/>
      <c r="H339" s="32"/>
      <c r="I339" s="33"/>
    </row>
    <row r="340">
      <c r="A340" s="34"/>
      <c r="B340" s="35"/>
      <c r="C340" s="35"/>
      <c r="D340" s="35"/>
      <c r="E340" s="36"/>
      <c r="F340" s="37"/>
      <c r="G340" s="37"/>
      <c r="H340" s="37"/>
      <c r="I340" s="38"/>
    </row>
    <row r="341">
      <c r="A341" s="29"/>
      <c r="B341" s="30"/>
      <c r="C341" s="30"/>
      <c r="D341" s="30"/>
      <c r="E341" s="31"/>
      <c r="F341" s="32"/>
      <c r="G341" s="32"/>
      <c r="H341" s="32"/>
      <c r="I341" s="33"/>
    </row>
    <row r="342">
      <c r="A342" s="34"/>
      <c r="B342" s="35"/>
      <c r="C342" s="35"/>
      <c r="D342" s="35"/>
      <c r="E342" s="36"/>
      <c r="F342" s="37"/>
      <c r="G342" s="37"/>
      <c r="H342" s="37"/>
      <c r="I342" s="38"/>
    </row>
    <row r="343">
      <c r="A343" s="29"/>
      <c r="B343" s="30"/>
      <c r="C343" s="30"/>
      <c r="D343" s="30"/>
      <c r="E343" s="31"/>
      <c r="F343" s="32"/>
      <c r="G343" s="32"/>
      <c r="H343" s="32"/>
      <c r="I343" s="33"/>
    </row>
    <row r="344">
      <c r="A344" s="34"/>
      <c r="B344" s="35"/>
      <c r="C344" s="35"/>
      <c r="D344" s="35"/>
      <c r="E344" s="36"/>
      <c r="F344" s="37"/>
      <c r="G344" s="37"/>
      <c r="H344" s="37"/>
      <c r="I344" s="38"/>
    </row>
    <row r="345">
      <c r="A345" s="29"/>
      <c r="B345" s="30"/>
      <c r="C345" s="30"/>
      <c r="D345" s="30"/>
      <c r="E345" s="31"/>
      <c r="F345" s="32"/>
      <c r="G345" s="32"/>
      <c r="H345" s="32"/>
      <c r="I345" s="33"/>
    </row>
    <row r="346">
      <c r="A346" s="34"/>
      <c r="B346" s="35"/>
      <c r="C346" s="35"/>
      <c r="D346" s="35"/>
      <c r="E346" s="36"/>
      <c r="F346" s="37"/>
      <c r="G346" s="37"/>
      <c r="H346" s="37"/>
      <c r="I346" s="38"/>
    </row>
    <row r="347">
      <c r="A347" s="29"/>
      <c r="B347" s="30"/>
      <c r="C347" s="30"/>
      <c r="D347" s="30"/>
      <c r="E347" s="31"/>
      <c r="F347" s="32"/>
      <c r="G347" s="32"/>
      <c r="H347" s="32"/>
      <c r="I347" s="33"/>
    </row>
    <row r="348">
      <c r="A348" s="34"/>
      <c r="B348" s="35"/>
      <c r="C348" s="35"/>
      <c r="D348" s="35"/>
      <c r="E348" s="36"/>
      <c r="F348" s="37"/>
      <c r="G348" s="37"/>
      <c r="H348" s="37"/>
      <c r="I348" s="38"/>
    </row>
    <row r="349">
      <c r="A349" s="29"/>
      <c r="B349" s="30"/>
      <c r="C349" s="30"/>
      <c r="D349" s="30"/>
      <c r="E349" s="31"/>
      <c r="F349" s="32"/>
      <c r="G349" s="32"/>
      <c r="H349" s="32"/>
      <c r="I349" s="33"/>
    </row>
    <row r="350">
      <c r="A350" s="34"/>
      <c r="B350" s="35"/>
      <c r="C350" s="35"/>
      <c r="D350" s="35"/>
      <c r="E350" s="36"/>
      <c r="F350" s="37"/>
      <c r="G350" s="37"/>
      <c r="H350" s="37"/>
      <c r="I350" s="38"/>
    </row>
    <row r="351">
      <c r="A351" s="29"/>
      <c r="B351" s="30"/>
      <c r="C351" s="30"/>
      <c r="D351" s="30"/>
      <c r="E351" s="31"/>
      <c r="F351" s="32"/>
      <c r="G351" s="32"/>
      <c r="H351" s="32"/>
      <c r="I351" s="33"/>
    </row>
    <row r="352">
      <c r="A352" s="34"/>
      <c r="B352" s="35"/>
      <c r="C352" s="35"/>
      <c r="D352" s="35"/>
      <c r="E352" s="36"/>
      <c r="F352" s="37"/>
      <c r="G352" s="37"/>
      <c r="H352" s="37"/>
      <c r="I352" s="38"/>
    </row>
    <row r="353">
      <c r="A353" s="29"/>
      <c r="B353" s="30"/>
      <c r="C353" s="30"/>
      <c r="D353" s="30"/>
      <c r="E353" s="31"/>
      <c r="F353" s="32"/>
      <c r="G353" s="32"/>
      <c r="H353" s="32"/>
      <c r="I353" s="33"/>
    </row>
    <row r="354">
      <c r="A354" s="34"/>
      <c r="B354" s="35"/>
      <c r="C354" s="35"/>
      <c r="D354" s="35"/>
      <c r="E354" s="36"/>
      <c r="F354" s="37"/>
      <c r="G354" s="37"/>
      <c r="H354" s="37"/>
      <c r="I354" s="38"/>
    </row>
    <row r="355">
      <c r="A355" s="29"/>
      <c r="B355" s="30"/>
      <c r="C355" s="30"/>
      <c r="D355" s="30"/>
      <c r="E355" s="31"/>
      <c r="F355" s="32"/>
      <c r="G355" s="32"/>
      <c r="H355" s="32"/>
      <c r="I355" s="33"/>
    </row>
    <row r="356">
      <c r="A356" s="34"/>
      <c r="B356" s="35"/>
      <c r="C356" s="35"/>
      <c r="D356" s="35"/>
      <c r="E356" s="36"/>
      <c r="F356" s="37"/>
      <c r="G356" s="37"/>
      <c r="H356" s="37"/>
      <c r="I356" s="38"/>
    </row>
    <row r="357">
      <c r="A357" s="29"/>
      <c r="B357" s="30"/>
      <c r="C357" s="30"/>
      <c r="D357" s="30"/>
      <c r="E357" s="31"/>
      <c r="F357" s="32"/>
      <c r="G357" s="32"/>
      <c r="H357" s="32"/>
      <c r="I357" s="33"/>
    </row>
    <row r="358">
      <c r="A358" s="34"/>
      <c r="B358" s="35"/>
      <c r="C358" s="35"/>
      <c r="D358" s="35"/>
      <c r="E358" s="36"/>
      <c r="F358" s="37"/>
      <c r="G358" s="37"/>
      <c r="H358" s="37"/>
      <c r="I358" s="38"/>
    </row>
    <row r="359">
      <c r="A359" s="29"/>
      <c r="B359" s="30"/>
      <c r="C359" s="30"/>
      <c r="D359" s="30"/>
      <c r="E359" s="31"/>
      <c r="F359" s="32"/>
      <c r="G359" s="32"/>
      <c r="H359" s="32"/>
      <c r="I359" s="33"/>
    </row>
    <row r="360">
      <c r="A360" s="34"/>
      <c r="B360" s="35"/>
      <c r="C360" s="35"/>
      <c r="D360" s="35"/>
      <c r="E360" s="36"/>
      <c r="F360" s="37"/>
      <c r="G360" s="37"/>
      <c r="H360" s="37"/>
      <c r="I360" s="38"/>
    </row>
    <row r="361">
      <c r="A361" s="29"/>
      <c r="B361" s="30"/>
      <c r="C361" s="30"/>
      <c r="D361" s="30"/>
      <c r="E361" s="31"/>
      <c r="F361" s="32"/>
      <c r="G361" s="32"/>
      <c r="H361" s="32"/>
      <c r="I361" s="33"/>
    </row>
    <row r="362">
      <c r="A362" s="34"/>
      <c r="B362" s="35"/>
      <c r="C362" s="35"/>
      <c r="D362" s="35"/>
      <c r="E362" s="36"/>
      <c r="F362" s="37"/>
      <c r="G362" s="37"/>
      <c r="H362" s="37"/>
      <c r="I362" s="38"/>
    </row>
    <row r="363">
      <c r="A363" s="29"/>
      <c r="B363" s="30"/>
      <c r="C363" s="30"/>
      <c r="D363" s="30"/>
      <c r="E363" s="31"/>
      <c r="F363" s="32"/>
      <c r="G363" s="32"/>
      <c r="H363" s="32"/>
      <c r="I363" s="33"/>
    </row>
    <row r="364">
      <c r="A364" s="34"/>
      <c r="B364" s="35"/>
      <c r="C364" s="35"/>
      <c r="D364" s="35"/>
      <c r="E364" s="36"/>
      <c r="F364" s="37"/>
      <c r="G364" s="37"/>
      <c r="H364" s="37"/>
      <c r="I364" s="38"/>
    </row>
    <row r="365">
      <c r="A365" s="29"/>
      <c r="B365" s="30"/>
      <c r="C365" s="30"/>
      <c r="D365" s="30"/>
      <c r="E365" s="31"/>
      <c r="F365" s="32"/>
      <c r="G365" s="32"/>
      <c r="H365" s="32"/>
      <c r="I365" s="33"/>
    </row>
    <row r="366">
      <c r="A366" s="34"/>
      <c r="B366" s="35"/>
      <c r="C366" s="35"/>
      <c r="D366" s="35"/>
      <c r="E366" s="36"/>
      <c r="F366" s="37"/>
      <c r="G366" s="37"/>
      <c r="H366" s="37"/>
      <c r="I366" s="38"/>
    </row>
    <row r="367">
      <c r="A367" s="29"/>
      <c r="B367" s="30"/>
      <c r="C367" s="30"/>
      <c r="D367" s="30"/>
      <c r="E367" s="31"/>
      <c r="F367" s="32"/>
      <c r="G367" s="32"/>
      <c r="H367" s="32"/>
      <c r="I367" s="33"/>
    </row>
    <row r="368">
      <c r="A368" s="34"/>
      <c r="B368" s="35"/>
      <c r="C368" s="35"/>
      <c r="D368" s="35"/>
      <c r="E368" s="36"/>
      <c r="F368" s="37"/>
      <c r="G368" s="37"/>
      <c r="H368" s="37"/>
      <c r="I368" s="38"/>
    </row>
    <row r="369">
      <c r="A369" s="29"/>
      <c r="B369" s="30"/>
      <c r="C369" s="30"/>
      <c r="D369" s="30"/>
      <c r="E369" s="31"/>
      <c r="F369" s="32"/>
      <c r="G369" s="32"/>
      <c r="H369" s="32"/>
      <c r="I369" s="33"/>
    </row>
    <row r="370">
      <c r="A370" s="34"/>
      <c r="B370" s="35"/>
      <c r="C370" s="35"/>
      <c r="D370" s="35"/>
      <c r="E370" s="36"/>
      <c r="F370" s="37"/>
      <c r="G370" s="37"/>
      <c r="H370" s="37"/>
      <c r="I370" s="38"/>
    </row>
    <row r="371">
      <c r="A371" s="29"/>
      <c r="B371" s="30"/>
      <c r="C371" s="30"/>
      <c r="D371" s="30"/>
      <c r="E371" s="31"/>
      <c r="F371" s="32"/>
      <c r="G371" s="32"/>
      <c r="H371" s="32"/>
      <c r="I371" s="33"/>
    </row>
    <row r="372">
      <c r="A372" s="34"/>
      <c r="B372" s="35"/>
      <c r="C372" s="35"/>
      <c r="D372" s="35"/>
      <c r="E372" s="36"/>
      <c r="F372" s="37"/>
      <c r="G372" s="37"/>
      <c r="H372" s="37"/>
      <c r="I372" s="38"/>
    </row>
    <row r="373">
      <c r="A373" s="29"/>
      <c r="B373" s="30"/>
      <c r="C373" s="30"/>
      <c r="D373" s="30"/>
      <c r="E373" s="31"/>
      <c r="F373" s="32"/>
      <c r="G373" s="32"/>
      <c r="H373" s="32"/>
      <c r="I373" s="33"/>
    </row>
    <row r="374">
      <c r="A374" s="34"/>
      <c r="B374" s="35"/>
      <c r="C374" s="35"/>
      <c r="D374" s="35"/>
      <c r="E374" s="36"/>
      <c r="F374" s="37"/>
      <c r="G374" s="37"/>
      <c r="H374" s="37"/>
      <c r="I374" s="38"/>
    </row>
    <row r="375">
      <c r="A375" s="29"/>
      <c r="B375" s="30"/>
      <c r="C375" s="30"/>
      <c r="D375" s="30"/>
      <c r="E375" s="31"/>
      <c r="F375" s="32"/>
      <c r="G375" s="32"/>
      <c r="H375" s="32"/>
      <c r="I375" s="33"/>
    </row>
    <row r="376">
      <c r="A376" s="34"/>
      <c r="B376" s="35"/>
      <c r="C376" s="35"/>
      <c r="D376" s="35"/>
      <c r="E376" s="36"/>
      <c r="F376" s="37"/>
      <c r="G376" s="37"/>
      <c r="H376" s="37"/>
      <c r="I376" s="38"/>
    </row>
    <row r="377">
      <c r="A377" s="29"/>
      <c r="B377" s="30"/>
      <c r="C377" s="30"/>
      <c r="D377" s="30"/>
      <c r="E377" s="31"/>
      <c r="F377" s="32"/>
      <c r="G377" s="32"/>
      <c r="H377" s="32"/>
      <c r="I377" s="33"/>
    </row>
    <row r="378">
      <c r="A378" s="34"/>
      <c r="B378" s="35"/>
      <c r="C378" s="35"/>
      <c r="D378" s="35"/>
      <c r="E378" s="36"/>
      <c r="F378" s="37"/>
      <c r="G378" s="37"/>
      <c r="H378" s="37"/>
      <c r="I378" s="38"/>
    </row>
    <row r="379">
      <c r="A379" s="29"/>
      <c r="B379" s="30"/>
      <c r="C379" s="30"/>
      <c r="D379" s="30"/>
      <c r="E379" s="31"/>
      <c r="F379" s="32"/>
      <c r="G379" s="32"/>
      <c r="H379" s="32"/>
      <c r="I379" s="33"/>
    </row>
    <row r="380">
      <c r="A380" s="34"/>
      <c r="B380" s="35"/>
      <c r="C380" s="35"/>
      <c r="D380" s="35"/>
      <c r="E380" s="36"/>
      <c r="F380" s="37"/>
      <c r="G380" s="37"/>
      <c r="H380" s="37"/>
      <c r="I380" s="38"/>
    </row>
    <row r="381">
      <c r="A381" s="29"/>
      <c r="B381" s="30"/>
      <c r="C381" s="30"/>
      <c r="D381" s="30"/>
      <c r="E381" s="31"/>
      <c r="F381" s="32"/>
      <c r="G381" s="32"/>
      <c r="H381" s="32"/>
      <c r="I381" s="33"/>
    </row>
    <row r="382">
      <c r="A382" s="34"/>
      <c r="B382" s="35"/>
      <c r="C382" s="35"/>
      <c r="D382" s="35"/>
      <c r="E382" s="36"/>
      <c r="F382" s="37"/>
      <c r="G382" s="37"/>
      <c r="H382" s="37"/>
      <c r="I382" s="38"/>
    </row>
    <row r="383">
      <c r="A383" s="29"/>
      <c r="B383" s="30"/>
      <c r="C383" s="30"/>
      <c r="D383" s="30"/>
      <c r="E383" s="31"/>
      <c r="F383" s="32"/>
      <c r="G383" s="32"/>
      <c r="H383" s="32"/>
      <c r="I383" s="33"/>
    </row>
    <row r="384">
      <c r="A384" s="34"/>
      <c r="B384" s="35"/>
      <c r="C384" s="35"/>
      <c r="D384" s="35"/>
      <c r="E384" s="36"/>
      <c r="F384" s="37"/>
      <c r="G384" s="37"/>
      <c r="H384" s="37"/>
      <c r="I384" s="38"/>
    </row>
    <row r="385">
      <c r="A385" s="29"/>
      <c r="B385" s="30"/>
      <c r="C385" s="30"/>
      <c r="D385" s="30"/>
      <c r="E385" s="31"/>
      <c r="F385" s="32"/>
      <c r="G385" s="32"/>
      <c r="H385" s="32"/>
      <c r="I385" s="33"/>
    </row>
    <row r="386">
      <c r="A386" s="34"/>
      <c r="B386" s="35"/>
      <c r="C386" s="35"/>
      <c r="D386" s="35"/>
      <c r="E386" s="36"/>
      <c r="F386" s="37"/>
      <c r="G386" s="37"/>
      <c r="H386" s="37"/>
      <c r="I386" s="38"/>
    </row>
    <row r="387">
      <c r="A387" s="29"/>
      <c r="B387" s="30"/>
      <c r="C387" s="30"/>
      <c r="D387" s="30"/>
      <c r="E387" s="31"/>
      <c r="F387" s="32"/>
      <c r="G387" s="32"/>
      <c r="H387" s="32"/>
      <c r="I387" s="33"/>
    </row>
    <row r="388">
      <c r="A388" s="34"/>
      <c r="B388" s="35"/>
      <c r="C388" s="35"/>
      <c r="D388" s="35"/>
      <c r="E388" s="36"/>
      <c r="F388" s="37"/>
      <c r="G388" s="37"/>
      <c r="H388" s="37"/>
      <c r="I388" s="38"/>
    </row>
    <row r="389">
      <c r="A389" s="29"/>
      <c r="B389" s="30"/>
      <c r="C389" s="30"/>
      <c r="D389" s="30"/>
      <c r="E389" s="31"/>
      <c r="F389" s="32"/>
      <c r="G389" s="32"/>
      <c r="H389" s="32"/>
      <c r="I389" s="33"/>
    </row>
    <row r="390">
      <c r="A390" s="34"/>
      <c r="B390" s="35"/>
      <c r="C390" s="35"/>
      <c r="D390" s="35"/>
      <c r="E390" s="36"/>
      <c r="F390" s="37"/>
      <c r="G390" s="37"/>
      <c r="H390" s="37"/>
      <c r="I390" s="38"/>
    </row>
    <row r="391">
      <c r="A391" s="29"/>
      <c r="B391" s="30"/>
      <c r="C391" s="30"/>
      <c r="D391" s="30"/>
      <c r="E391" s="31"/>
      <c r="F391" s="32"/>
      <c r="G391" s="32"/>
      <c r="H391" s="32"/>
      <c r="I391" s="33"/>
    </row>
    <row r="392">
      <c r="A392" s="34"/>
      <c r="B392" s="35"/>
      <c r="C392" s="35"/>
      <c r="D392" s="35"/>
      <c r="E392" s="36"/>
      <c r="F392" s="37"/>
      <c r="G392" s="37"/>
      <c r="H392" s="37"/>
      <c r="I392" s="38"/>
    </row>
    <row r="393">
      <c r="A393" s="29"/>
      <c r="B393" s="30"/>
      <c r="C393" s="30"/>
      <c r="D393" s="30"/>
      <c r="E393" s="31"/>
      <c r="F393" s="32"/>
      <c r="G393" s="32"/>
      <c r="H393" s="32"/>
      <c r="I393" s="33"/>
    </row>
    <row r="394">
      <c r="A394" s="34"/>
      <c r="B394" s="35"/>
      <c r="C394" s="35"/>
      <c r="D394" s="35"/>
      <c r="E394" s="36"/>
      <c r="F394" s="37"/>
      <c r="G394" s="37"/>
      <c r="H394" s="37"/>
      <c r="I394" s="38"/>
    </row>
    <row r="395">
      <c r="A395" s="29"/>
      <c r="B395" s="30"/>
      <c r="C395" s="30"/>
      <c r="D395" s="30"/>
      <c r="E395" s="31"/>
      <c r="F395" s="32"/>
      <c r="G395" s="32"/>
      <c r="H395" s="32"/>
      <c r="I395" s="33"/>
    </row>
    <row r="396">
      <c r="A396" s="34"/>
      <c r="B396" s="35"/>
      <c r="C396" s="35"/>
      <c r="D396" s="35"/>
      <c r="E396" s="36"/>
      <c r="F396" s="37"/>
      <c r="G396" s="37"/>
      <c r="H396" s="37"/>
      <c r="I396" s="38"/>
    </row>
    <row r="397">
      <c r="A397" s="29"/>
      <c r="B397" s="30"/>
      <c r="C397" s="30"/>
      <c r="D397" s="30"/>
      <c r="E397" s="31"/>
      <c r="F397" s="32"/>
      <c r="G397" s="32"/>
      <c r="H397" s="32"/>
      <c r="I397" s="33"/>
    </row>
    <row r="398">
      <c r="A398" s="34"/>
      <c r="B398" s="35"/>
      <c r="C398" s="35"/>
      <c r="D398" s="35"/>
      <c r="E398" s="36"/>
      <c r="F398" s="37"/>
      <c r="G398" s="37"/>
      <c r="H398" s="37"/>
      <c r="I398" s="38"/>
    </row>
    <row r="399">
      <c r="A399" s="29"/>
      <c r="B399" s="30"/>
      <c r="C399" s="30"/>
      <c r="D399" s="30"/>
      <c r="E399" s="31"/>
      <c r="F399" s="32"/>
      <c r="G399" s="32"/>
      <c r="H399" s="32"/>
      <c r="I399" s="33"/>
    </row>
    <row r="400">
      <c r="A400" s="34"/>
      <c r="B400" s="35"/>
      <c r="C400" s="35"/>
      <c r="D400" s="35"/>
      <c r="E400" s="36"/>
      <c r="F400" s="37"/>
      <c r="G400" s="37"/>
      <c r="H400" s="37"/>
      <c r="I400" s="38"/>
    </row>
    <row r="401">
      <c r="A401" s="29"/>
      <c r="B401" s="30"/>
      <c r="C401" s="30"/>
      <c r="D401" s="30"/>
      <c r="E401" s="31"/>
      <c r="F401" s="32"/>
      <c r="G401" s="32"/>
      <c r="H401" s="32"/>
      <c r="I401" s="33"/>
    </row>
    <row r="402">
      <c r="A402" s="34"/>
      <c r="B402" s="35"/>
      <c r="C402" s="35"/>
      <c r="D402" s="35"/>
      <c r="E402" s="36"/>
      <c r="F402" s="37"/>
      <c r="G402" s="37"/>
      <c r="H402" s="37"/>
      <c r="I402" s="38"/>
    </row>
    <row r="403">
      <c r="A403" s="29"/>
      <c r="B403" s="30"/>
      <c r="C403" s="30"/>
      <c r="D403" s="30"/>
      <c r="E403" s="31"/>
      <c r="F403" s="32"/>
      <c r="G403" s="32"/>
      <c r="H403" s="32"/>
      <c r="I403" s="33"/>
    </row>
    <row r="404">
      <c r="A404" s="34"/>
      <c r="B404" s="35"/>
      <c r="C404" s="35"/>
      <c r="D404" s="35"/>
      <c r="E404" s="36"/>
      <c r="F404" s="37"/>
      <c r="G404" s="37"/>
      <c r="H404" s="37"/>
      <c r="I404" s="38"/>
    </row>
    <row r="405">
      <c r="A405" s="29"/>
      <c r="B405" s="30"/>
      <c r="C405" s="30"/>
      <c r="D405" s="30"/>
      <c r="E405" s="31"/>
      <c r="F405" s="32"/>
      <c r="G405" s="32"/>
      <c r="H405" s="32"/>
      <c r="I405" s="33"/>
    </row>
    <row r="406">
      <c r="A406" s="34"/>
      <c r="B406" s="35"/>
      <c r="C406" s="35"/>
      <c r="D406" s="35"/>
      <c r="E406" s="36"/>
      <c r="F406" s="37"/>
      <c r="G406" s="37"/>
      <c r="H406" s="37"/>
      <c r="I406" s="38"/>
    </row>
    <row r="407">
      <c r="A407" s="29"/>
      <c r="B407" s="30"/>
      <c r="C407" s="30"/>
      <c r="D407" s="30"/>
      <c r="E407" s="31"/>
      <c r="F407" s="32"/>
      <c r="G407" s="32"/>
      <c r="H407" s="32"/>
      <c r="I407" s="33"/>
    </row>
    <row r="408">
      <c r="A408" s="34"/>
      <c r="B408" s="35"/>
      <c r="C408" s="35"/>
      <c r="D408" s="35"/>
      <c r="E408" s="36"/>
      <c r="F408" s="37"/>
      <c r="G408" s="37"/>
      <c r="H408" s="37"/>
      <c r="I408" s="38"/>
    </row>
    <row r="409">
      <c r="A409" s="29"/>
      <c r="B409" s="30"/>
      <c r="C409" s="30"/>
      <c r="D409" s="30"/>
      <c r="E409" s="31"/>
      <c r="F409" s="32"/>
      <c r="G409" s="32"/>
      <c r="H409" s="32"/>
      <c r="I409" s="33"/>
    </row>
    <row r="410">
      <c r="A410" s="34"/>
      <c r="B410" s="35"/>
      <c r="C410" s="35"/>
      <c r="D410" s="35"/>
      <c r="E410" s="36"/>
      <c r="F410" s="37"/>
      <c r="G410" s="37"/>
      <c r="H410" s="37"/>
      <c r="I410" s="38"/>
    </row>
    <row r="411">
      <c r="A411" s="29"/>
      <c r="B411" s="30"/>
      <c r="C411" s="30"/>
      <c r="D411" s="30"/>
      <c r="E411" s="31"/>
      <c r="F411" s="32"/>
      <c r="G411" s="32"/>
      <c r="H411" s="32"/>
      <c r="I411" s="33"/>
    </row>
    <row r="412">
      <c r="A412" s="34"/>
      <c r="B412" s="35"/>
      <c r="C412" s="35"/>
      <c r="D412" s="35"/>
      <c r="E412" s="36"/>
      <c r="F412" s="37"/>
      <c r="G412" s="37"/>
      <c r="H412" s="37"/>
      <c r="I412" s="38"/>
    </row>
    <row r="413">
      <c r="A413" s="29"/>
      <c r="B413" s="30"/>
      <c r="C413" s="30"/>
      <c r="D413" s="30"/>
      <c r="E413" s="31"/>
      <c r="F413" s="32"/>
      <c r="G413" s="32"/>
      <c r="H413" s="32"/>
      <c r="I413" s="33"/>
    </row>
    <row r="414">
      <c r="A414" s="34"/>
      <c r="B414" s="35"/>
      <c r="C414" s="35"/>
      <c r="D414" s="35"/>
      <c r="E414" s="36"/>
      <c r="F414" s="37"/>
      <c r="G414" s="37"/>
      <c r="H414" s="37"/>
      <c r="I414" s="38"/>
    </row>
    <row r="415">
      <c r="A415" s="29"/>
      <c r="B415" s="30"/>
      <c r="C415" s="30"/>
      <c r="D415" s="30"/>
      <c r="E415" s="31"/>
      <c r="F415" s="32"/>
      <c r="G415" s="32"/>
      <c r="H415" s="32"/>
      <c r="I415" s="33"/>
    </row>
    <row r="416">
      <c r="A416" s="34"/>
      <c r="B416" s="35"/>
      <c r="C416" s="35"/>
      <c r="D416" s="35"/>
      <c r="E416" s="36"/>
      <c r="F416" s="37"/>
      <c r="G416" s="37"/>
      <c r="H416" s="37"/>
      <c r="I416" s="38"/>
    </row>
    <row r="417">
      <c r="A417" s="29"/>
      <c r="B417" s="30"/>
      <c r="C417" s="30"/>
      <c r="D417" s="30"/>
      <c r="E417" s="31"/>
      <c r="F417" s="32"/>
      <c r="G417" s="32"/>
      <c r="H417" s="32"/>
      <c r="I417" s="33"/>
    </row>
    <row r="418">
      <c r="A418" s="34"/>
      <c r="B418" s="35"/>
      <c r="C418" s="35"/>
      <c r="D418" s="35"/>
      <c r="E418" s="36"/>
      <c r="F418" s="37"/>
      <c r="G418" s="37"/>
      <c r="H418" s="37"/>
      <c r="I418" s="38"/>
    </row>
    <row r="419">
      <c r="A419" s="29"/>
      <c r="B419" s="30"/>
      <c r="C419" s="30"/>
      <c r="D419" s="30"/>
      <c r="E419" s="31"/>
      <c r="F419" s="32"/>
      <c r="G419" s="32"/>
      <c r="H419" s="32"/>
      <c r="I419" s="33"/>
    </row>
    <row r="420">
      <c r="A420" s="34"/>
      <c r="B420" s="35"/>
      <c r="C420" s="35"/>
      <c r="D420" s="35"/>
      <c r="E420" s="36"/>
      <c r="F420" s="37"/>
      <c r="G420" s="37"/>
      <c r="H420" s="37"/>
      <c r="I420" s="38"/>
    </row>
    <row r="421">
      <c r="A421" s="29"/>
      <c r="B421" s="30"/>
      <c r="C421" s="30"/>
      <c r="D421" s="30"/>
      <c r="E421" s="31"/>
      <c r="F421" s="32"/>
      <c r="G421" s="32"/>
      <c r="H421" s="32"/>
      <c r="I421" s="33"/>
    </row>
    <row r="422">
      <c r="A422" s="34"/>
      <c r="B422" s="35"/>
      <c r="C422" s="35"/>
      <c r="D422" s="35"/>
      <c r="E422" s="36"/>
      <c r="F422" s="37"/>
      <c r="G422" s="37"/>
      <c r="H422" s="37"/>
      <c r="I422" s="38"/>
    </row>
    <row r="423">
      <c r="A423" s="29"/>
      <c r="B423" s="30"/>
      <c r="C423" s="30"/>
      <c r="D423" s="30"/>
      <c r="E423" s="31"/>
      <c r="F423" s="32"/>
      <c r="G423" s="32"/>
      <c r="H423" s="32"/>
      <c r="I423" s="33"/>
    </row>
    <row r="424">
      <c r="A424" s="34"/>
      <c r="B424" s="35"/>
      <c r="C424" s="35"/>
      <c r="D424" s="35"/>
      <c r="E424" s="36"/>
      <c r="F424" s="37"/>
      <c r="G424" s="37"/>
      <c r="H424" s="37"/>
      <c r="I424" s="38"/>
    </row>
    <row r="425">
      <c r="A425" s="29"/>
      <c r="B425" s="30"/>
      <c r="C425" s="30"/>
      <c r="D425" s="30"/>
      <c r="E425" s="31"/>
      <c r="F425" s="32"/>
      <c r="G425" s="32"/>
      <c r="H425" s="32"/>
      <c r="I425" s="33"/>
    </row>
    <row r="426">
      <c r="A426" s="34"/>
      <c r="B426" s="35"/>
      <c r="C426" s="35"/>
      <c r="D426" s="35"/>
      <c r="E426" s="36"/>
      <c r="F426" s="37"/>
      <c r="G426" s="37"/>
      <c r="H426" s="37"/>
      <c r="I426" s="38"/>
    </row>
    <row r="427">
      <c r="A427" s="29"/>
      <c r="B427" s="30"/>
      <c r="C427" s="30"/>
      <c r="D427" s="30"/>
      <c r="E427" s="31"/>
      <c r="F427" s="32"/>
      <c r="G427" s="32"/>
      <c r="H427" s="32"/>
      <c r="I427" s="33"/>
    </row>
    <row r="428">
      <c r="A428" s="34"/>
      <c r="B428" s="35"/>
      <c r="C428" s="35"/>
      <c r="D428" s="35"/>
      <c r="E428" s="36"/>
      <c r="F428" s="37"/>
      <c r="G428" s="37"/>
      <c r="H428" s="37"/>
      <c r="I428" s="38"/>
    </row>
    <row r="429">
      <c r="A429" s="29"/>
      <c r="B429" s="30"/>
      <c r="C429" s="30"/>
      <c r="D429" s="30"/>
      <c r="E429" s="31"/>
      <c r="F429" s="32"/>
      <c r="G429" s="32"/>
      <c r="H429" s="32"/>
      <c r="I429" s="33"/>
    </row>
    <row r="430">
      <c r="A430" s="34"/>
      <c r="B430" s="35"/>
      <c r="C430" s="35"/>
      <c r="D430" s="35"/>
      <c r="E430" s="36"/>
      <c r="F430" s="37"/>
      <c r="G430" s="37"/>
      <c r="H430" s="37"/>
      <c r="I430" s="38"/>
    </row>
    <row r="431">
      <c r="A431" s="29"/>
      <c r="B431" s="30"/>
      <c r="C431" s="30"/>
      <c r="D431" s="30"/>
      <c r="E431" s="31"/>
      <c r="F431" s="32"/>
      <c r="G431" s="32"/>
      <c r="H431" s="32"/>
      <c r="I431" s="33"/>
    </row>
    <row r="432">
      <c r="A432" s="34"/>
      <c r="B432" s="35"/>
      <c r="C432" s="35"/>
      <c r="D432" s="35"/>
      <c r="E432" s="36"/>
      <c r="F432" s="37"/>
      <c r="G432" s="37"/>
      <c r="H432" s="37"/>
      <c r="I432" s="38"/>
    </row>
    <row r="433">
      <c r="A433" s="29"/>
      <c r="B433" s="30"/>
      <c r="C433" s="30"/>
      <c r="D433" s="30"/>
      <c r="E433" s="31"/>
      <c r="F433" s="32"/>
      <c r="G433" s="32"/>
      <c r="H433" s="32"/>
      <c r="I433" s="33"/>
    </row>
    <row r="434">
      <c r="A434" s="34"/>
      <c r="B434" s="35"/>
      <c r="C434" s="35"/>
      <c r="D434" s="35"/>
      <c r="E434" s="36"/>
      <c r="F434" s="37"/>
      <c r="G434" s="37"/>
      <c r="H434" s="37"/>
      <c r="I434" s="38"/>
    </row>
    <row r="435">
      <c r="A435" s="29"/>
      <c r="B435" s="30"/>
      <c r="C435" s="30"/>
      <c r="D435" s="30"/>
      <c r="E435" s="31"/>
      <c r="F435" s="32"/>
      <c r="G435" s="32"/>
      <c r="H435" s="32"/>
      <c r="I435" s="33"/>
    </row>
    <row r="436">
      <c r="A436" s="34"/>
      <c r="B436" s="35"/>
      <c r="C436" s="35"/>
      <c r="D436" s="35"/>
      <c r="E436" s="36"/>
      <c r="F436" s="37"/>
      <c r="G436" s="37"/>
      <c r="H436" s="37"/>
      <c r="I436" s="38"/>
    </row>
    <row r="437">
      <c r="A437" s="29"/>
      <c r="B437" s="30"/>
      <c r="C437" s="30"/>
      <c r="D437" s="30"/>
      <c r="E437" s="31"/>
      <c r="F437" s="32"/>
      <c r="G437" s="32"/>
      <c r="H437" s="32"/>
      <c r="I437" s="33"/>
    </row>
    <row r="438">
      <c r="A438" s="34"/>
      <c r="B438" s="35"/>
      <c r="C438" s="35"/>
      <c r="D438" s="35"/>
      <c r="E438" s="36"/>
      <c r="F438" s="37"/>
      <c r="G438" s="37"/>
      <c r="H438" s="37"/>
      <c r="I438" s="38"/>
    </row>
    <row r="439">
      <c r="A439" s="29"/>
      <c r="B439" s="30"/>
      <c r="C439" s="30"/>
      <c r="D439" s="30"/>
      <c r="E439" s="31"/>
      <c r="F439" s="32"/>
      <c r="G439" s="32"/>
      <c r="H439" s="32"/>
      <c r="I439" s="33"/>
    </row>
    <row r="440">
      <c r="A440" s="34"/>
      <c r="B440" s="35"/>
      <c r="C440" s="35"/>
      <c r="D440" s="35"/>
      <c r="E440" s="36"/>
      <c r="F440" s="37"/>
      <c r="G440" s="37"/>
      <c r="H440" s="37"/>
      <c r="I440" s="38"/>
    </row>
    <row r="441">
      <c r="A441" s="29"/>
      <c r="B441" s="30"/>
      <c r="C441" s="30"/>
      <c r="D441" s="30"/>
      <c r="E441" s="31"/>
      <c r="F441" s="32"/>
      <c r="G441" s="32"/>
      <c r="H441" s="32"/>
      <c r="I441" s="33"/>
    </row>
    <row r="442">
      <c r="A442" s="34"/>
      <c r="B442" s="35"/>
      <c r="C442" s="35"/>
      <c r="D442" s="35"/>
      <c r="E442" s="36"/>
      <c r="F442" s="37"/>
      <c r="G442" s="37"/>
      <c r="H442" s="37"/>
      <c r="I442" s="38"/>
    </row>
    <row r="443">
      <c r="A443" s="29"/>
      <c r="B443" s="30"/>
      <c r="C443" s="30"/>
      <c r="D443" s="30"/>
      <c r="E443" s="31"/>
      <c r="F443" s="32"/>
      <c r="G443" s="32"/>
      <c r="H443" s="32"/>
      <c r="I443" s="33"/>
    </row>
    <row r="444">
      <c r="A444" s="34"/>
      <c r="B444" s="35"/>
      <c r="C444" s="35"/>
      <c r="D444" s="35"/>
      <c r="E444" s="36"/>
      <c r="F444" s="37"/>
      <c r="G444" s="37"/>
      <c r="H444" s="37"/>
      <c r="I444" s="38"/>
    </row>
    <row r="445">
      <c r="A445" s="29"/>
      <c r="B445" s="30"/>
      <c r="C445" s="30"/>
      <c r="D445" s="30"/>
      <c r="E445" s="31"/>
      <c r="F445" s="32"/>
      <c r="G445" s="32"/>
      <c r="H445" s="32"/>
      <c r="I445" s="33"/>
    </row>
    <row r="446">
      <c r="A446" s="34"/>
      <c r="B446" s="35"/>
      <c r="C446" s="35"/>
      <c r="D446" s="35"/>
      <c r="E446" s="36"/>
      <c r="F446" s="37"/>
      <c r="G446" s="37"/>
      <c r="H446" s="37"/>
      <c r="I446" s="38"/>
    </row>
    <row r="447">
      <c r="A447" s="29"/>
      <c r="B447" s="30"/>
      <c r="C447" s="30"/>
      <c r="D447" s="30"/>
      <c r="E447" s="31"/>
      <c r="F447" s="32"/>
      <c r="G447" s="32"/>
      <c r="H447" s="32"/>
      <c r="I447" s="33"/>
    </row>
    <row r="448">
      <c r="A448" s="34"/>
      <c r="B448" s="35"/>
      <c r="C448" s="35"/>
      <c r="D448" s="35"/>
      <c r="E448" s="36"/>
      <c r="F448" s="37"/>
      <c r="G448" s="37"/>
      <c r="H448" s="37"/>
      <c r="I448" s="38"/>
    </row>
    <row r="449">
      <c r="A449" s="29"/>
      <c r="B449" s="30"/>
      <c r="C449" s="30"/>
      <c r="D449" s="30"/>
      <c r="E449" s="31"/>
      <c r="F449" s="32"/>
      <c r="G449" s="32"/>
      <c r="H449" s="32"/>
      <c r="I449" s="33"/>
    </row>
    <row r="450">
      <c r="A450" s="34"/>
      <c r="B450" s="35"/>
      <c r="C450" s="35"/>
      <c r="D450" s="35"/>
      <c r="E450" s="36"/>
      <c r="F450" s="37"/>
      <c r="G450" s="37"/>
      <c r="H450" s="37"/>
      <c r="I450" s="38"/>
    </row>
    <row r="451">
      <c r="A451" s="29"/>
      <c r="B451" s="30"/>
      <c r="C451" s="30"/>
      <c r="D451" s="30"/>
      <c r="E451" s="31"/>
      <c r="F451" s="32"/>
      <c r="G451" s="32"/>
      <c r="H451" s="32"/>
      <c r="I451" s="33"/>
    </row>
    <row r="452">
      <c r="A452" s="34"/>
      <c r="B452" s="35"/>
      <c r="C452" s="35"/>
      <c r="D452" s="35"/>
      <c r="E452" s="36"/>
      <c r="F452" s="37"/>
      <c r="G452" s="37"/>
      <c r="H452" s="37"/>
      <c r="I452" s="38"/>
    </row>
    <row r="453">
      <c r="A453" s="29"/>
      <c r="B453" s="30"/>
      <c r="C453" s="30"/>
      <c r="D453" s="30"/>
      <c r="E453" s="31"/>
      <c r="F453" s="32"/>
      <c r="G453" s="32"/>
      <c r="H453" s="32"/>
      <c r="I453" s="33"/>
    </row>
    <row r="454">
      <c r="A454" s="34"/>
      <c r="B454" s="35"/>
      <c r="C454" s="35"/>
      <c r="D454" s="35"/>
      <c r="E454" s="36"/>
      <c r="F454" s="37"/>
      <c r="G454" s="37"/>
      <c r="H454" s="37"/>
      <c r="I454" s="38"/>
    </row>
    <row r="455">
      <c r="A455" s="29"/>
      <c r="B455" s="30"/>
      <c r="C455" s="30"/>
      <c r="D455" s="30"/>
      <c r="E455" s="31"/>
      <c r="F455" s="32"/>
      <c r="G455" s="32"/>
      <c r="H455" s="32"/>
      <c r="I455" s="33"/>
    </row>
    <row r="456">
      <c r="A456" s="34"/>
      <c r="B456" s="35"/>
      <c r="C456" s="35"/>
      <c r="D456" s="35"/>
      <c r="E456" s="36"/>
      <c r="F456" s="37"/>
      <c r="G456" s="37"/>
      <c r="H456" s="37"/>
      <c r="I456" s="38"/>
    </row>
    <row r="457">
      <c r="A457" s="29"/>
      <c r="B457" s="30"/>
      <c r="C457" s="30"/>
      <c r="D457" s="30"/>
      <c r="E457" s="31"/>
      <c r="F457" s="32"/>
      <c r="G457" s="32"/>
      <c r="H457" s="32"/>
      <c r="I457" s="33"/>
    </row>
    <row r="458">
      <c r="A458" s="34"/>
      <c r="B458" s="35"/>
      <c r="C458" s="35"/>
      <c r="D458" s="35"/>
      <c r="E458" s="36"/>
      <c r="F458" s="37"/>
      <c r="G458" s="37"/>
      <c r="H458" s="37"/>
      <c r="I458" s="38"/>
    </row>
    <row r="459">
      <c r="A459" s="29"/>
      <c r="B459" s="30"/>
      <c r="C459" s="30"/>
      <c r="D459" s="30"/>
      <c r="E459" s="31"/>
      <c r="F459" s="32"/>
      <c r="G459" s="32"/>
      <c r="H459" s="32"/>
      <c r="I459" s="33"/>
    </row>
    <row r="460">
      <c r="A460" s="34"/>
      <c r="B460" s="35"/>
      <c r="C460" s="35"/>
      <c r="D460" s="35"/>
      <c r="E460" s="36"/>
      <c r="F460" s="37"/>
      <c r="G460" s="37"/>
      <c r="H460" s="37"/>
      <c r="I460" s="38"/>
    </row>
    <row r="461">
      <c r="A461" s="29"/>
      <c r="B461" s="30"/>
      <c r="C461" s="30"/>
      <c r="D461" s="30"/>
      <c r="E461" s="31"/>
      <c r="F461" s="32"/>
      <c r="G461" s="32"/>
      <c r="H461" s="32"/>
      <c r="I461" s="33"/>
    </row>
    <row r="462">
      <c r="A462" s="34"/>
      <c r="B462" s="35"/>
      <c r="C462" s="35"/>
      <c r="D462" s="35"/>
      <c r="E462" s="36"/>
      <c r="F462" s="37"/>
      <c r="G462" s="37"/>
      <c r="H462" s="37"/>
      <c r="I462" s="38"/>
    </row>
    <row r="463">
      <c r="A463" s="29"/>
      <c r="B463" s="30"/>
      <c r="C463" s="30"/>
      <c r="D463" s="30"/>
      <c r="E463" s="31"/>
      <c r="F463" s="32"/>
      <c r="G463" s="32"/>
      <c r="H463" s="32"/>
      <c r="I463" s="33"/>
    </row>
    <row r="464">
      <c r="A464" s="34"/>
      <c r="B464" s="35"/>
      <c r="C464" s="35"/>
      <c r="D464" s="35"/>
      <c r="E464" s="36"/>
      <c r="F464" s="37"/>
      <c r="G464" s="37"/>
      <c r="H464" s="37"/>
      <c r="I464" s="38"/>
    </row>
    <row r="465">
      <c r="A465" s="29"/>
      <c r="B465" s="30"/>
      <c r="C465" s="30"/>
      <c r="D465" s="30"/>
      <c r="E465" s="31"/>
      <c r="F465" s="32"/>
      <c r="G465" s="32"/>
      <c r="H465" s="32"/>
      <c r="I465" s="33"/>
    </row>
    <row r="466">
      <c r="A466" s="34"/>
      <c r="B466" s="35"/>
      <c r="C466" s="35"/>
      <c r="D466" s="35"/>
      <c r="E466" s="36"/>
      <c r="F466" s="37"/>
      <c r="G466" s="37"/>
      <c r="H466" s="37"/>
      <c r="I466" s="38"/>
    </row>
    <row r="467">
      <c r="A467" s="29"/>
      <c r="B467" s="30"/>
      <c r="C467" s="30"/>
      <c r="D467" s="30"/>
      <c r="E467" s="31"/>
      <c r="F467" s="32"/>
      <c r="G467" s="32"/>
      <c r="H467" s="32"/>
      <c r="I467" s="33"/>
    </row>
    <row r="468">
      <c r="A468" s="34"/>
      <c r="B468" s="35"/>
      <c r="C468" s="35"/>
      <c r="D468" s="35"/>
      <c r="E468" s="36"/>
      <c r="F468" s="37"/>
      <c r="G468" s="37"/>
      <c r="H468" s="37"/>
      <c r="I468" s="38"/>
    </row>
    <row r="469">
      <c r="A469" s="29"/>
      <c r="B469" s="30"/>
      <c r="C469" s="30"/>
      <c r="D469" s="30"/>
      <c r="E469" s="31"/>
      <c r="F469" s="32"/>
      <c r="G469" s="32"/>
      <c r="H469" s="32"/>
      <c r="I469" s="33"/>
    </row>
    <row r="470">
      <c r="A470" s="34"/>
      <c r="B470" s="35"/>
      <c r="C470" s="35"/>
      <c r="D470" s="35"/>
      <c r="E470" s="36"/>
      <c r="F470" s="37"/>
      <c r="G470" s="37"/>
      <c r="H470" s="37"/>
      <c r="I470" s="38"/>
    </row>
    <row r="471">
      <c r="A471" s="29"/>
      <c r="B471" s="30"/>
      <c r="C471" s="30"/>
      <c r="D471" s="30"/>
      <c r="E471" s="31"/>
      <c r="F471" s="32"/>
      <c r="G471" s="32"/>
      <c r="H471" s="32"/>
      <c r="I471" s="33"/>
    </row>
    <row r="472">
      <c r="A472" s="34"/>
      <c r="B472" s="35"/>
      <c r="C472" s="35"/>
      <c r="D472" s="35"/>
      <c r="E472" s="36"/>
      <c r="F472" s="37"/>
      <c r="G472" s="37"/>
      <c r="H472" s="37"/>
      <c r="I472" s="38"/>
    </row>
    <row r="473">
      <c r="A473" s="29"/>
      <c r="B473" s="30"/>
      <c r="C473" s="30"/>
      <c r="D473" s="30"/>
      <c r="E473" s="31"/>
      <c r="F473" s="32"/>
      <c r="G473" s="32"/>
      <c r="H473" s="32"/>
      <c r="I473" s="33"/>
    </row>
    <row r="474">
      <c r="A474" s="34"/>
      <c r="B474" s="35"/>
      <c r="C474" s="35"/>
      <c r="D474" s="35"/>
      <c r="E474" s="36"/>
      <c r="F474" s="37"/>
      <c r="G474" s="37"/>
      <c r="H474" s="37"/>
      <c r="I474" s="38"/>
    </row>
    <row r="475">
      <c r="A475" s="29"/>
      <c r="B475" s="30"/>
      <c r="C475" s="30"/>
      <c r="D475" s="30"/>
      <c r="E475" s="31"/>
      <c r="F475" s="32"/>
      <c r="G475" s="32"/>
      <c r="H475" s="32"/>
      <c r="I475" s="33"/>
    </row>
    <row r="476">
      <c r="A476" s="34"/>
      <c r="B476" s="35"/>
      <c r="C476" s="35"/>
      <c r="D476" s="35"/>
      <c r="E476" s="36"/>
      <c r="F476" s="37"/>
      <c r="G476" s="37"/>
      <c r="H476" s="37"/>
      <c r="I476" s="38"/>
    </row>
    <row r="477">
      <c r="A477" s="29"/>
      <c r="B477" s="30"/>
      <c r="C477" s="30"/>
      <c r="D477" s="30"/>
      <c r="E477" s="31"/>
      <c r="F477" s="32"/>
      <c r="G477" s="32"/>
      <c r="H477" s="32"/>
      <c r="I477" s="33"/>
    </row>
    <row r="478">
      <c r="A478" s="34"/>
      <c r="B478" s="35"/>
      <c r="C478" s="35"/>
      <c r="D478" s="35"/>
      <c r="E478" s="36"/>
      <c r="F478" s="37"/>
      <c r="G478" s="37"/>
      <c r="H478" s="37"/>
      <c r="I478" s="38"/>
    </row>
    <row r="479">
      <c r="A479" s="29"/>
      <c r="B479" s="30"/>
      <c r="C479" s="30"/>
      <c r="D479" s="30"/>
      <c r="E479" s="31"/>
      <c r="F479" s="32"/>
      <c r="G479" s="32"/>
      <c r="H479" s="32"/>
      <c r="I479" s="33"/>
    </row>
    <row r="480">
      <c r="A480" s="34"/>
      <c r="B480" s="35"/>
      <c r="C480" s="35"/>
      <c r="D480" s="35"/>
      <c r="E480" s="36"/>
      <c r="F480" s="37"/>
      <c r="G480" s="37"/>
      <c r="H480" s="37"/>
      <c r="I480" s="38"/>
    </row>
    <row r="481">
      <c r="A481" s="29"/>
      <c r="B481" s="30"/>
      <c r="C481" s="30"/>
      <c r="D481" s="30"/>
      <c r="E481" s="31"/>
      <c r="F481" s="32"/>
      <c r="G481" s="32"/>
      <c r="H481" s="32"/>
      <c r="I481" s="33"/>
    </row>
    <row r="482">
      <c r="A482" s="34"/>
      <c r="B482" s="35"/>
      <c r="C482" s="35"/>
      <c r="D482" s="35"/>
      <c r="E482" s="36"/>
      <c r="F482" s="37"/>
      <c r="G482" s="37"/>
      <c r="H482" s="37"/>
      <c r="I482" s="38"/>
    </row>
    <row r="483">
      <c r="A483" s="29"/>
      <c r="B483" s="30"/>
      <c r="C483" s="30"/>
      <c r="D483" s="30"/>
      <c r="E483" s="31"/>
      <c r="F483" s="32"/>
      <c r="G483" s="32"/>
      <c r="H483" s="32"/>
      <c r="I483" s="33"/>
    </row>
    <row r="484">
      <c r="A484" s="34"/>
      <c r="B484" s="35"/>
      <c r="C484" s="35"/>
      <c r="D484" s="35"/>
      <c r="E484" s="36"/>
      <c r="F484" s="37"/>
      <c r="G484" s="37"/>
      <c r="H484" s="37"/>
      <c r="I484" s="38"/>
    </row>
    <row r="485">
      <c r="A485" s="29"/>
      <c r="B485" s="30"/>
      <c r="C485" s="30"/>
      <c r="D485" s="30"/>
      <c r="E485" s="31"/>
      <c r="F485" s="32"/>
      <c r="G485" s="32"/>
      <c r="H485" s="32"/>
      <c r="I485" s="33"/>
    </row>
    <row r="486">
      <c r="A486" s="34"/>
      <c r="B486" s="35"/>
      <c r="C486" s="35"/>
      <c r="D486" s="35"/>
      <c r="E486" s="36"/>
      <c r="F486" s="37"/>
      <c r="G486" s="37"/>
      <c r="H486" s="37"/>
      <c r="I486" s="38"/>
    </row>
    <row r="487">
      <c r="A487" s="29"/>
      <c r="B487" s="30"/>
      <c r="C487" s="30"/>
      <c r="D487" s="30"/>
      <c r="E487" s="31"/>
      <c r="F487" s="32"/>
      <c r="G487" s="32"/>
      <c r="H487" s="32"/>
      <c r="I487" s="33"/>
    </row>
    <row r="488">
      <c r="A488" s="34"/>
      <c r="B488" s="35"/>
      <c r="C488" s="35"/>
      <c r="D488" s="35"/>
      <c r="E488" s="36"/>
      <c r="F488" s="37"/>
      <c r="G488" s="37"/>
      <c r="H488" s="37"/>
      <c r="I488" s="38"/>
    </row>
    <row r="489">
      <c r="A489" s="29"/>
      <c r="B489" s="30"/>
      <c r="C489" s="30"/>
      <c r="D489" s="30"/>
      <c r="E489" s="31"/>
      <c r="F489" s="32"/>
      <c r="G489" s="32"/>
      <c r="H489" s="32"/>
      <c r="I489" s="33"/>
    </row>
    <row r="490">
      <c r="A490" s="34"/>
      <c r="B490" s="35"/>
      <c r="C490" s="35"/>
      <c r="D490" s="35"/>
      <c r="E490" s="36"/>
      <c r="F490" s="37"/>
      <c r="G490" s="37"/>
      <c r="H490" s="37"/>
      <c r="I490" s="38"/>
    </row>
    <row r="491">
      <c r="A491" s="29"/>
      <c r="B491" s="30"/>
      <c r="C491" s="30"/>
      <c r="D491" s="30"/>
      <c r="E491" s="31"/>
      <c r="F491" s="32"/>
      <c r="G491" s="32"/>
      <c r="H491" s="32"/>
      <c r="I491" s="33"/>
    </row>
    <row r="492">
      <c r="A492" s="34"/>
      <c r="B492" s="35"/>
      <c r="C492" s="35"/>
      <c r="D492" s="35"/>
      <c r="E492" s="36"/>
      <c r="F492" s="37"/>
      <c r="G492" s="37"/>
      <c r="H492" s="37"/>
      <c r="I492" s="38"/>
    </row>
    <row r="493">
      <c r="A493" s="29"/>
      <c r="B493" s="30"/>
      <c r="C493" s="30"/>
      <c r="D493" s="30"/>
      <c r="E493" s="31"/>
      <c r="F493" s="32"/>
      <c r="G493" s="32"/>
      <c r="H493" s="32"/>
      <c r="I493" s="33"/>
    </row>
    <row r="494">
      <c r="A494" s="34"/>
      <c r="B494" s="35"/>
      <c r="C494" s="35"/>
      <c r="D494" s="35"/>
      <c r="E494" s="36"/>
      <c r="F494" s="37"/>
      <c r="G494" s="37"/>
      <c r="H494" s="37"/>
      <c r="I494" s="38"/>
    </row>
    <row r="495">
      <c r="A495" s="29"/>
      <c r="B495" s="30"/>
      <c r="C495" s="30"/>
      <c r="D495" s="30"/>
      <c r="E495" s="31"/>
      <c r="F495" s="32"/>
      <c r="G495" s="32"/>
      <c r="H495" s="32"/>
      <c r="I495" s="33"/>
    </row>
    <row r="496">
      <c r="A496" s="34"/>
      <c r="B496" s="35"/>
      <c r="C496" s="35"/>
      <c r="D496" s="35"/>
      <c r="E496" s="36"/>
      <c r="F496" s="37"/>
      <c r="G496" s="37"/>
      <c r="H496" s="37"/>
      <c r="I496" s="38"/>
    </row>
    <row r="497">
      <c r="A497" s="29"/>
      <c r="B497" s="30"/>
      <c r="C497" s="30"/>
      <c r="D497" s="30"/>
      <c r="E497" s="31"/>
      <c r="F497" s="32"/>
      <c r="G497" s="32"/>
      <c r="H497" s="32"/>
      <c r="I497" s="33"/>
    </row>
    <row r="498">
      <c r="A498" s="34"/>
      <c r="B498" s="35"/>
      <c r="C498" s="35"/>
      <c r="D498" s="35"/>
      <c r="E498" s="36"/>
      <c r="F498" s="37"/>
      <c r="G498" s="37"/>
      <c r="H498" s="37"/>
      <c r="I498" s="38"/>
    </row>
    <row r="499">
      <c r="A499" s="29"/>
      <c r="B499" s="30"/>
      <c r="C499" s="30"/>
      <c r="D499" s="30"/>
      <c r="E499" s="31"/>
      <c r="F499" s="32"/>
      <c r="G499" s="32"/>
      <c r="H499" s="32"/>
      <c r="I499" s="33"/>
    </row>
    <row r="500">
      <c r="A500" s="34"/>
      <c r="B500" s="35"/>
      <c r="C500" s="35"/>
      <c r="D500" s="35"/>
      <c r="E500" s="36"/>
      <c r="F500" s="37"/>
      <c r="G500" s="37"/>
      <c r="H500" s="37"/>
      <c r="I500" s="38"/>
    </row>
    <row r="501">
      <c r="A501" s="29"/>
      <c r="B501" s="30"/>
      <c r="C501" s="30"/>
      <c r="D501" s="30"/>
      <c r="E501" s="31"/>
      <c r="F501" s="32"/>
      <c r="G501" s="32"/>
      <c r="H501" s="32"/>
      <c r="I501" s="33"/>
    </row>
    <row r="502">
      <c r="A502" s="34"/>
      <c r="B502" s="35"/>
      <c r="C502" s="35"/>
      <c r="D502" s="35"/>
      <c r="E502" s="36"/>
      <c r="F502" s="37"/>
      <c r="G502" s="37"/>
      <c r="H502" s="37"/>
      <c r="I502" s="38"/>
    </row>
    <row r="503">
      <c r="A503" s="29"/>
      <c r="B503" s="30"/>
      <c r="C503" s="30"/>
      <c r="D503" s="30"/>
      <c r="E503" s="31"/>
      <c r="F503" s="32"/>
      <c r="G503" s="32"/>
      <c r="H503" s="32"/>
      <c r="I503" s="33"/>
    </row>
    <row r="504">
      <c r="A504" s="34"/>
      <c r="B504" s="35"/>
      <c r="C504" s="35"/>
      <c r="D504" s="35"/>
      <c r="E504" s="36"/>
      <c r="F504" s="37"/>
      <c r="G504" s="37"/>
      <c r="H504" s="37"/>
      <c r="I504" s="38"/>
    </row>
    <row r="505">
      <c r="A505" s="29"/>
      <c r="B505" s="30"/>
      <c r="C505" s="30"/>
      <c r="D505" s="30"/>
      <c r="E505" s="31"/>
      <c r="F505" s="32"/>
      <c r="G505" s="32"/>
      <c r="H505" s="32"/>
      <c r="I505" s="33"/>
    </row>
    <row r="506">
      <c r="A506" s="34"/>
      <c r="B506" s="35"/>
      <c r="C506" s="35"/>
      <c r="D506" s="35"/>
      <c r="E506" s="36"/>
      <c r="F506" s="37"/>
      <c r="G506" s="37"/>
      <c r="H506" s="37"/>
      <c r="I506" s="38"/>
    </row>
    <row r="507">
      <c r="A507" s="29"/>
      <c r="B507" s="30"/>
      <c r="C507" s="30"/>
      <c r="D507" s="30"/>
      <c r="E507" s="31"/>
      <c r="F507" s="32"/>
      <c r="G507" s="32"/>
      <c r="H507" s="32"/>
      <c r="I507" s="33"/>
    </row>
    <row r="508">
      <c r="A508" s="34"/>
      <c r="B508" s="35"/>
      <c r="C508" s="35"/>
      <c r="D508" s="35"/>
      <c r="E508" s="36"/>
      <c r="F508" s="37"/>
      <c r="G508" s="37"/>
      <c r="H508" s="37"/>
      <c r="I508" s="38"/>
    </row>
    <row r="509">
      <c r="A509" s="29"/>
      <c r="B509" s="30"/>
      <c r="C509" s="30"/>
      <c r="D509" s="30"/>
      <c r="E509" s="31"/>
      <c r="F509" s="32"/>
      <c r="G509" s="32"/>
      <c r="H509" s="32"/>
      <c r="I509" s="33"/>
    </row>
    <row r="510">
      <c r="A510" s="34"/>
      <c r="B510" s="35"/>
      <c r="C510" s="35"/>
      <c r="D510" s="35"/>
      <c r="E510" s="36"/>
      <c r="F510" s="37"/>
      <c r="G510" s="37"/>
      <c r="H510" s="37"/>
      <c r="I510" s="38"/>
    </row>
    <row r="511">
      <c r="A511" s="29"/>
      <c r="B511" s="30"/>
      <c r="C511" s="30"/>
      <c r="D511" s="30"/>
      <c r="E511" s="31"/>
      <c r="F511" s="32"/>
      <c r="G511" s="32"/>
      <c r="H511" s="32"/>
      <c r="I511" s="33"/>
    </row>
    <row r="512">
      <c r="A512" s="34"/>
      <c r="B512" s="35"/>
      <c r="C512" s="35"/>
      <c r="D512" s="35"/>
      <c r="E512" s="36"/>
      <c r="F512" s="37"/>
      <c r="G512" s="37"/>
      <c r="H512" s="37"/>
      <c r="I512" s="38"/>
    </row>
    <row r="513">
      <c r="A513" s="29"/>
      <c r="B513" s="30"/>
      <c r="C513" s="30"/>
      <c r="D513" s="30"/>
      <c r="E513" s="31"/>
      <c r="F513" s="32"/>
      <c r="G513" s="32"/>
      <c r="H513" s="32"/>
      <c r="I513" s="33"/>
    </row>
    <row r="514">
      <c r="A514" s="34"/>
      <c r="B514" s="35"/>
      <c r="C514" s="35"/>
      <c r="D514" s="35"/>
      <c r="E514" s="36"/>
      <c r="F514" s="37"/>
      <c r="G514" s="37"/>
      <c r="H514" s="37"/>
      <c r="I514" s="38"/>
    </row>
    <row r="515">
      <c r="A515" s="29"/>
      <c r="B515" s="30"/>
      <c r="C515" s="30"/>
      <c r="D515" s="30"/>
      <c r="E515" s="31"/>
      <c r="F515" s="32"/>
      <c r="G515" s="32"/>
      <c r="H515" s="32"/>
      <c r="I515" s="33"/>
    </row>
    <row r="516">
      <c r="A516" s="34"/>
      <c r="B516" s="35"/>
      <c r="C516" s="35"/>
      <c r="D516" s="35"/>
      <c r="E516" s="36"/>
      <c r="F516" s="37"/>
      <c r="G516" s="37"/>
      <c r="H516" s="37"/>
      <c r="I516" s="38"/>
    </row>
    <row r="517">
      <c r="A517" s="29"/>
      <c r="B517" s="30"/>
      <c r="C517" s="30"/>
      <c r="D517" s="30"/>
      <c r="E517" s="31"/>
      <c r="F517" s="32"/>
      <c r="G517" s="32"/>
      <c r="H517" s="32"/>
      <c r="I517" s="33"/>
    </row>
    <row r="518">
      <c r="A518" s="34"/>
      <c r="B518" s="35"/>
      <c r="C518" s="35"/>
      <c r="D518" s="35"/>
      <c r="E518" s="36"/>
      <c r="F518" s="37"/>
      <c r="G518" s="37"/>
      <c r="H518" s="37"/>
      <c r="I518" s="38"/>
    </row>
    <row r="519">
      <c r="A519" s="29"/>
      <c r="B519" s="30"/>
      <c r="C519" s="30"/>
      <c r="D519" s="30"/>
      <c r="E519" s="31"/>
      <c r="F519" s="32"/>
      <c r="G519" s="32"/>
      <c r="H519" s="32"/>
      <c r="I519" s="33"/>
    </row>
    <row r="520">
      <c r="A520" s="34"/>
      <c r="B520" s="35"/>
      <c r="C520" s="35"/>
      <c r="D520" s="35"/>
      <c r="E520" s="36"/>
      <c r="F520" s="37"/>
      <c r="G520" s="37"/>
      <c r="H520" s="37"/>
      <c r="I520" s="38"/>
    </row>
    <row r="521">
      <c r="A521" s="29"/>
      <c r="B521" s="30"/>
      <c r="C521" s="30"/>
      <c r="D521" s="30"/>
      <c r="E521" s="31"/>
      <c r="F521" s="32"/>
      <c r="G521" s="32"/>
      <c r="H521" s="32"/>
      <c r="I521" s="33"/>
    </row>
    <row r="522">
      <c r="A522" s="34"/>
      <c r="B522" s="35"/>
      <c r="C522" s="35"/>
      <c r="D522" s="35"/>
      <c r="E522" s="36"/>
      <c r="F522" s="37"/>
      <c r="G522" s="37"/>
      <c r="H522" s="37"/>
      <c r="I522" s="38"/>
    </row>
    <row r="523">
      <c r="A523" s="29"/>
      <c r="B523" s="30"/>
      <c r="C523" s="30"/>
      <c r="D523" s="30"/>
      <c r="E523" s="31"/>
      <c r="F523" s="32"/>
      <c r="G523" s="32"/>
      <c r="H523" s="32"/>
      <c r="I523" s="33"/>
    </row>
    <row r="524">
      <c r="A524" s="34"/>
      <c r="B524" s="35"/>
      <c r="C524" s="35"/>
      <c r="D524" s="35"/>
      <c r="E524" s="36"/>
      <c r="F524" s="37"/>
      <c r="G524" s="37"/>
      <c r="H524" s="37"/>
      <c r="I524" s="38"/>
    </row>
    <row r="525">
      <c r="A525" s="29"/>
      <c r="B525" s="30"/>
      <c r="C525" s="30"/>
      <c r="D525" s="30"/>
      <c r="E525" s="31"/>
      <c r="F525" s="32"/>
      <c r="G525" s="32"/>
      <c r="H525" s="32"/>
      <c r="I525" s="33"/>
    </row>
    <row r="526">
      <c r="A526" s="34"/>
      <c r="B526" s="35"/>
      <c r="C526" s="35"/>
      <c r="D526" s="35"/>
      <c r="E526" s="36"/>
      <c r="F526" s="37"/>
      <c r="G526" s="37"/>
      <c r="H526" s="37"/>
      <c r="I526" s="38"/>
    </row>
    <row r="527">
      <c r="A527" s="29"/>
      <c r="B527" s="30"/>
      <c r="C527" s="30"/>
      <c r="D527" s="30"/>
      <c r="E527" s="31"/>
      <c r="F527" s="32"/>
      <c r="G527" s="32"/>
      <c r="H527" s="32"/>
      <c r="I527" s="33"/>
    </row>
    <row r="528">
      <c r="A528" s="34"/>
      <c r="B528" s="35"/>
      <c r="C528" s="35"/>
      <c r="D528" s="35"/>
      <c r="E528" s="36"/>
      <c r="F528" s="37"/>
      <c r="G528" s="37"/>
      <c r="H528" s="37"/>
      <c r="I528" s="38"/>
    </row>
    <row r="529">
      <c r="A529" s="29"/>
      <c r="B529" s="30"/>
      <c r="C529" s="30"/>
      <c r="D529" s="30"/>
      <c r="E529" s="31"/>
      <c r="F529" s="32"/>
      <c r="G529" s="32"/>
      <c r="H529" s="32"/>
      <c r="I529" s="33"/>
    </row>
    <row r="530">
      <c r="A530" s="34"/>
      <c r="B530" s="35"/>
      <c r="C530" s="35"/>
      <c r="D530" s="35"/>
      <c r="E530" s="36"/>
      <c r="F530" s="37"/>
      <c r="G530" s="37"/>
      <c r="H530" s="37"/>
      <c r="I530" s="38"/>
    </row>
    <row r="531">
      <c r="A531" s="29"/>
      <c r="B531" s="30"/>
      <c r="C531" s="30"/>
      <c r="D531" s="30"/>
      <c r="E531" s="31"/>
      <c r="F531" s="32"/>
      <c r="G531" s="32"/>
      <c r="H531" s="32"/>
      <c r="I531" s="33"/>
    </row>
    <row r="532">
      <c r="A532" s="34"/>
      <c r="B532" s="35"/>
      <c r="C532" s="35"/>
      <c r="D532" s="35"/>
      <c r="E532" s="36"/>
      <c r="F532" s="37"/>
      <c r="G532" s="37"/>
      <c r="H532" s="37"/>
      <c r="I532" s="38"/>
    </row>
    <row r="533">
      <c r="A533" s="29"/>
      <c r="B533" s="30"/>
      <c r="C533" s="30"/>
      <c r="D533" s="30"/>
      <c r="E533" s="31"/>
      <c r="F533" s="32"/>
      <c r="G533" s="32"/>
      <c r="H533" s="32"/>
      <c r="I533" s="33"/>
    </row>
    <row r="534">
      <c r="A534" s="34"/>
      <c r="B534" s="35"/>
      <c r="C534" s="35"/>
      <c r="D534" s="35"/>
      <c r="E534" s="36"/>
      <c r="F534" s="37"/>
      <c r="G534" s="37"/>
      <c r="H534" s="37"/>
      <c r="I534" s="38"/>
    </row>
    <row r="535">
      <c r="A535" s="29"/>
      <c r="B535" s="30"/>
      <c r="C535" s="30"/>
      <c r="D535" s="30"/>
      <c r="E535" s="31"/>
      <c r="F535" s="32"/>
      <c r="G535" s="32"/>
      <c r="H535" s="32"/>
      <c r="I535" s="33"/>
    </row>
    <row r="536">
      <c r="A536" s="34"/>
      <c r="B536" s="35"/>
      <c r="C536" s="35"/>
      <c r="D536" s="35"/>
      <c r="E536" s="36"/>
      <c r="F536" s="37"/>
      <c r="G536" s="37"/>
      <c r="H536" s="37"/>
      <c r="I536" s="38"/>
    </row>
    <row r="537">
      <c r="A537" s="29"/>
      <c r="B537" s="30"/>
      <c r="C537" s="30"/>
      <c r="D537" s="30"/>
      <c r="E537" s="31"/>
      <c r="F537" s="32"/>
      <c r="G537" s="32"/>
      <c r="H537" s="32"/>
      <c r="I537" s="33"/>
    </row>
    <row r="538">
      <c r="A538" s="34"/>
      <c r="B538" s="35"/>
      <c r="C538" s="35"/>
      <c r="D538" s="35"/>
      <c r="E538" s="36"/>
      <c r="F538" s="37"/>
      <c r="G538" s="37"/>
      <c r="H538" s="37"/>
      <c r="I538" s="38"/>
    </row>
    <row r="539">
      <c r="A539" s="29"/>
      <c r="B539" s="30"/>
      <c r="C539" s="30"/>
      <c r="D539" s="30"/>
      <c r="E539" s="31"/>
      <c r="F539" s="32"/>
      <c r="G539" s="32"/>
      <c r="H539" s="32"/>
      <c r="I539" s="33"/>
    </row>
    <row r="540">
      <c r="A540" s="34"/>
      <c r="B540" s="35"/>
      <c r="C540" s="35"/>
      <c r="D540" s="35"/>
      <c r="E540" s="36"/>
      <c r="F540" s="37"/>
      <c r="G540" s="37"/>
      <c r="H540" s="37"/>
      <c r="I540" s="38"/>
    </row>
    <row r="541">
      <c r="A541" s="29"/>
      <c r="B541" s="30"/>
      <c r="C541" s="30"/>
      <c r="D541" s="30"/>
      <c r="E541" s="31"/>
      <c r="F541" s="32"/>
      <c r="G541" s="32"/>
      <c r="H541" s="32"/>
      <c r="I541" s="33"/>
    </row>
    <row r="542">
      <c r="A542" s="34"/>
      <c r="B542" s="35"/>
      <c r="C542" s="35"/>
      <c r="D542" s="35"/>
      <c r="E542" s="36"/>
      <c r="F542" s="37"/>
      <c r="G542" s="37"/>
      <c r="H542" s="37"/>
      <c r="I542" s="38"/>
    </row>
    <row r="543">
      <c r="A543" s="29"/>
      <c r="B543" s="30"/>
      <c r="C543" s="30"/>
      <c r="D543" s="30"/>
      <c r="E543" s="31"/>
      <c r="F543" s="32"/>
      <c r="G543" s="32"/>
      <c r="H543" s="32"/>
      <c r="I543" s="33"/>
    </row>
    <row r="544">
      <c r="A544" s="34"/>
      <c r="B544" s="35"/>
      <c r="C544" s="35"/>
      <c r="D544" s="35"/>
      <c r="E544" s="36"/>
      <c r="F544" s="37"/>
      <c r="G544" s="37"/>
      <c r="H544" s="37"/>
      <c r="I544" s="38"/>
    </row>
    <row r="545">
      <c r="A545" s="29"/>
      <c r="B545" s="30"/>
      <c r="C545" s="30"/>
      <c r="D545" s="30"/>
      <c r="E545" s="31"/>
      <c r="F545" s="32"/>
      <c r="G545" s="32"/>
      <c r="H545" s="32"/>
      <c r="I545" s="33"/>
    </row>
    <row r="546">
      <c r="A546" s="34"/>
      <c r="B546" s="35"/>
      <c r="C546" s="35"/>
      <c r="D546" s="35"/>
      <c r="E546" s="36"/>
      <c r="F546" s="37"/>
      <c r="G546" s="37"/>
      <c r="H546" s="37"/>
      <c r="I546" s="38"/>
    </row>
    <row r="547">
      <c r="A547" s="29"/>
      <c r="B547" s="30"/>
      <c r="C547" s="30"/>
      <c r="D547" s="30"/>
      <c r="E547" s="31"/>
      <c r="F547" s="32"/>
      <c r="G547" s="32"/>
      <c r="H547" s="32"/>
      <c r="I547" s="33"/>
    </row>
    <row r="548">
      <c r="A548" s="34"/>
      <c r="B548" s="35"/>
      <c r="C548" s="35"/>
      <c r="D548" s="35"/>
      <c r="E548" s="36"/>
      <c r="F548" s="37"/>
      <c r="G548" s="37"/>
      <c r="H548" s="37"/>
      <c r="I548" s="38"/>
    </row>
    <row r="549">
      <c r="A549" s="29"/>
      <c r="B549" s="30"/>
      <c r="C549" s="30"/>
      <c r="D549" s="30"/>
      <c r="E549" s="31"/>
      <c r="F549" s="32"/>
      <c r="G549" s="32"/>
      <c r="H549" s="32"/>
      <c r="I549" s="33"/>
    </row>
    <row r="550">
      <c r="A550" s="34"/>
      <c r="B550" s="35"/>
      <c r="C550" s="35"/>
      <c r="D550" s="35"/>
      <c r="E550" s="36"/>
      <c r="F550" s="37"/>
      <c r="G550" s="37"/>
      <c r="H550" s="37"/>
      <c r="I550" s="38"/>
    </row>
    <row r="551">
      <c r="A551" s="29"/>
      <c r="B551" s="30"/>
      <c r="C551" s="30"/>
      <c r="D551" s="30"/>
      <c r="E551" s="31"/>
      <c r="F551" s="32"/>
      <c r="G551" s="32"/>
      <c r="H551" s="32"/>
      <c r="I551" s="33"/>
    </row>
    <row r="552">
      <c r="A552" s="34"/>
      <c r="B552" s="35"/>
      <c r="C552" s="35"/>
      <c r="D552" s="35"/>
      <c r="E552" s="36"/>
      <c r="F552" s="37"/>
      <c r="G552" s="37"/>
      <c r="H552" s="37"/>
      <c r="I552" s="38"/>
    </row>
    <row r="553">
      <c r="A553" s="29"/>
      <c r="B553" s="30"/>
      <c r="C553" s="30"/>
      <c r="D553" s="30"/>
      <c r="E553" s="31"/>
      <c r="F553" s="32"/>
      <c r="G553" s="32"/>
      <c r="H553" s="32"/>
      <c r="I553" s="33"/>
    </row>
    <row r="554">
      <c r="A554" s="34"/>
      <c r="B554" s="35"/>
      <c r="C554" s="35"/>
      <c r="D554" s="35"/>
      <c r="E554" s="36"/>
      <c r="F554" s="37"/>
      <c r="G554" s="37"/>
      <c r="H554" s="37"/>
      <c r="I554" s="38"/>
    </row>
    <row r="555">
      <c r="A555" s="29"/>
      <c r="B555" s="30"/>
      <c r="C555" s="30"/>
      <c r="D555" s="30"/>
      <c r="E555" s="31"/>
      <c r="F555" s="32"/>
      <c r="G555" s="32"/>
      <c r="H555" s="32"/>
      <c r="I555" s="33"/>
    </row>
    <row r="556">
      <c r="A556" s="34"/>
      <c r="B556" s="35"/>
      <c r="C556" s="35"/>
      <c r="D556" s="35"/>
      <c r="E556" s="36"/>
      <c r="F556" s="37"/>
      <c r="G556" s="37"/>
      <c r="H556" s="37"/>
      <c r="I556" s="38"/>
    </row>
    <row r="557">
      <c r="A557" s="29"/>
      <c r="B557" s="30"/>
      <c r="C557" s="30"/>
      <c r="D557" s="30"/>
      <c r="E557" s="31"/>
      <c r="F557" s="32"/>
      <c r="G557" s="32"/>
      <c r="H557" s="32"/>
      <c r="I557" s="33"/>
    </row>
    <row r="558">
      <c r="A558" s="34"/>
      <c r="B558" s="35"/>
      <c r="C558" s="35"/>
      <c r="D558" s="35"/>
      <c r="E558" s="36"/>
      <c r="F558" s="37"/>
      <c r="G558" s="37"/>
      <c r="H558" s="37"/>
      <c r="I558" s="38"/>
    </row>
    <row r="559">
      <c r="A559" s="29"/>
      <c r="B559" s="30"/>
      <c r="C559" s="30"/>
      <c r="D559" s="30"/>
      <c r="E559" s="31"/>
      <c r="F559" s="32"/>
      <c r="G559" s="32"/>
      <c r="H559" s="32"/>
      <c r="I559" s="33"/>
    </row>
    <row r="560">
      <c r="A560" s="34"/>
      <c r="B560" s="35"/>
      <c r="C560" s="35"/>
      <c r="D560" s="35"/>
      <c r="E560" s="36"/>
      <c r="F560" s="37"/>
      <c r="G560" s="37"/>
      <c r="H560" s="37"/>
      <c r="I560" s="38"/>
    </row>
    <row r="561">
      <c r="A561" s="29"/>
      <c r="B561" s="30"/>
      <c r="C561" s="30"/>
      <c r="D561" s="30"/>
      <c r="E561" s="31"/>
      <c r="F561" s="32"/>
      <c r="G561" s="32"/>
      <c r="H561" s="32"/>
      <c r="I561" s="33"/>
    </row>
    <row r="562">
      <c r="A562" s="34"/>
      <c r="B562" s="35"/>
      <c r="C562" s="35"/>
      <c r="D562" s="35"/>
      <c r="E562" s="36"/>
      <c r="F562" s="37"/>
      <c r="G562" s="37"/>
      <c r="H562" s="37"/>
      <c r="I562" s="38"/>
    </row>
    <row r="563">
      <c r="A563" s="29"/>
      <c r="B563" s="30"/>
      <c r="C563" s="30"/>
      <c r="D563" s="30"/>
      <c r="E563" s="31"/>
      <c r="F563" s="32"/>
      <c r="G563" s="32"/>
      <c r="H563" s="32"/>
      <c r="I563" s="33"/>
    </row>
    <row r="564">
      <c r="A564" s="34"/>
      <c r="B564" s="35"/>
      <c r="C564" s="35"/>
      <c r="D564" s="35"/>
      <c r="E564" s="36"/>
      <c r="F564" s="37"/>
      <c r="G564" s="37"/>
      <c r="H564" s="37"/>
      <c r="I564" s="38"/>
    </row>
    <row r="565">
      <c r="A565" s="29"/>
      <c r="B565" s="30"/>
      <c r="C565" s="30"/>
      <c r="D565" s="30"/>
      <c r="E565" s="31"/>
      <c r="F565" s="32"/>
      <c r="G565" s="32"/>
      <c r="H565" s="32"/>
      <c r="I565" s="33"/>
    </row>
    <row r="566">
      <c r="A566" s="34"/>
      <c r="B566" s="35"/>
      <c r="C566" s="35"/>
      <c r="D566" s="35"/>
      <c r="E566" s="36"/>
      <c r="F566" s="37"/>
      <c r="G566" s="37"/>
      <c r="H566" s="37"/>
      <c r="I566" s="38"/>
    </row>
    <row r="567">
      <c r="A567" s="29"/>
      <c r="B567" s="30"/>
      <c r="C567" s="30"/>
      <c r="D567" s="30"/>
      <c r="E567" s="31"/>
      <c r="F567" s="32"/>
      <c r="G567" s="32"/>
      <c r="H567" s="32"/>
      <c r="I567" s="33"/>
    </row>
    <row r="568">
      <c r="A568" s="34"/>
      <c r="B568" s="35"/>
      <c r="C568" s="35"/>
      <c r="D568" s="35"/>
      <c r="E568" s="36"/>
      <c r="F568" s="37"/>
      <c r="G568" s="37"/>
      <c r="H568" s="37"/>
      <c r="I568" s="38"/>
    </row>
    <row r="569">
      <c r="A569" s="29"/>
      <c r="B569" s="30"/>
      <c r="C569" s="30"/>
      <c r="D569" s="30"/>
      <c r="E569" s="31"/>
      <c r="F569" s="32"/>
      <c r="G569" s="32"/>
      <c r="H569" s="32"/>
      <c r="I569" s="33"/>
    </row>
    <row r="570">
      <c r="A570" s="34"/>
      <c r="B570" s="35"/>
      <c r="C570" s="35"/>
      <c r="D570" s="35"/>
      <c r="E570" s="36"/>
      <c r="F570" s="37"/>
      <c r="G570" s="37"/>
      <c r="H570" s="37"/>
      <c r="I570" s="38"/>
    </row>
    <row r="571">
      <c r="A571" s="29"/>
      <c r="B571" s="30"/>
      <c r="C571" s="30"/>
      <c r="D571" s="30"/>
      <c r="E571" s="31"/>
      <c r="F571" s="32"/>
      <c r="G571" s="32"/>
      <c r="H571" s="32"/>
      <c r="I571" s="33"/>
    </row>
    <row r="572">
      <c r="A572" s="34"/>
      <c r="B572" s="35"/>
      <c r="C572" s="35"/>
      <c r="D572" s="35"/>
      <c r="E572" s="36"/>
      <c r="F572" s="37"/>
      <c r="G572" s="37"/>
      <c r="H572" s="37"/>
      <c r="I572" s="38"/>
    </row>
    <row r="573">
      <c r="A573" s="29"/>
      <c r="B573" s="30"/>
      <c r="C573" s="30"/>
      <c r="D573" s="30"/>
      <c r="E573" s="31"/>
      <c r="F573" s="32"/>
      <c r="G573" s="32"/>
      <c r="H573" s="32"/>
      <c r="I573" s="33"/>
    </row>
    <row r="574">
      <c r="A574" s="34"/>
      <c r="B574" s="35"/>
      <c r="C574" s="35"/>
      <c r="D574" s="35"/>
      <c r="E574" s="36"/>
      <c r="F574" s="37"/>
      <c r="G574" s="37"/>
      <c r="H574" s="37"/>
      <c r="I574" s="38"/>
    </row>
    <row r="575">
      <c r="A575" s="29"/>
      <c r="B575" s="30"/>
      <c r="C575" s="30"/>
      <c r="D575" s="30"/>
      <c r="E575" s="31"/>
      <c r="F575" s="32"/>
      <c r="G575" s="32"/>
      <c r="H575" s="32"/>
      <c r="I575" s="33"/>
    </row>
    <row r="576">
      <c r="A576" s="34"/>
      <c r="B576" s="35"/>
      <c r="C576" s="35"/>
      <c r="D576" s="35"/>
      <c r="E576" s="36"/>
      <c r="F576" s="37"/>
      <c r="G576" s="37"/>
      <c r="H576" s="37"/>
      <c r="I576" s="38"/>
    </row>
    <row r="577">
      <c r="A577" s="29"/>
      <c r="B577" s="30"/>
      <c r="C577" s="30"/>
      <c r="D577" s="30"/>
      <c r="E577" s="31"/>
      <c r="F577" s="32"/>
      <c r="G577" s="32"/>
      <c r="H577" s="32"/>
      <c r="I577" s="33"/>
    </row>
    <row r="578">
      <c r="A578" s="34"/>
      <c r="B578" s="35"/>
      <c r="C578" s="35"/>
      <c r="D578" s="35"/>
      <c r="E578" s="36"/>
      <c r="F578" s="37"/>
      <c r="G578" s="37"/>
      <c r="H578" s="37"/>
      <c r="I578" s="38"/>
    </row>
    <row r="579">
      <c r="A579" s="29"/>
      <c r="B579" s="30"/>
      <c r="C579" s="30"/>
      <c r="D579" s="30"/>
      <c r="E579" s="31"/>
      <c r="F579" s="32"/>
      <c r="G579" s="32"/>
      <c r="H579" s="32"/>
      <c r="I579" s="33"/>
    </row>
    <row r="580">
      <c r="A580" s="34"/>
      <c r="B580" s="35"/>
      <c r="C580" s="35"/>
      <c r="D580" s="35"/>
      <c r="E580" s="36"/>
      <c r="F580" s="37"/>
      <c r="G580" s="37"/>
      <c r="H580" s="37"/>
      <c r="I580" s="38"/>
    </row>
    <row r="581">
      <c r="A581" s="29"/>
      <c r="B581" s="30"/>
      <c r="C581" s="30"/>
      <c r="D581" s="30"/>
      <c r="E581" s="31"/>
      <c r="F581" s="32"/>
      <c r="G581" s="32"/>
      <c r="H581" s="32"/>
      <c r="I581" s="33"/>
    </row>
    <row r="582">
      <c r="A582" s="34"/>
      <c r="B582" s="35"/>
      <c r="C582" s="35"/>
      <c r="D582" s="35"/>
      <c r="E582" s="36"/>
      <c r="F582" s="37"/>
      <c r="G582" s="37"/>
      <c r="H582" s="37"/>
      <c r="I582" s="38"/>
    </row>
    <row r="583">
      <c r="A583" s="29"/>
      <c r="B583" s="30"/>
      <c r="C583" s="30"/>
      <c r="D583" s="30"/>
      <c r="E583" s="31"/>
      <c r="F583" s="32"/>
      <c r="G583" s="32"/>
      <c r="H583" s="32"/>
      <c r="I583" s="33"/>
    </row>
    <row r="584">
      <c r="A584" s="34"/>
      <c r="B584" s="35"/>
      <c r="C584" s="35"/>
      <c r="D584" s="35"/>
      <c r="E584" s="36"/>
      <c r="F584" s="37"/>
      <c r="G584" s="37"/>
      <c r="H584" s="37"/>
      <c r="I584" s="38"/>
    </row>
    <row r="585">
      <c r="A585" s="29"/>
      <c r="B585" s="30"/>
      <c r="C585" s="30"/>
      <c r="D585" s="30"/>
      <c r="E585" s="31"/>
      <c r="F585" s="32"/>
      <c r="G585" s="32"/>
      <c r="H585" s="32"/>
      <c r="I585" s="33"/>
    </row>
    <row r="586">
      <c r="A586" s="34"/>
      <c r="B586" s="35"/>
      <c r="C586" s="35"/>
      <c r="D586" s="35"/>
      <c r="E586" s="36"/>
      <c r="F586" s="37"/>
      <c r="G586" s="37"/>
      <c r="H586" s="37"/>
      <c r="I586" s="38"/>
    </row>
    <row r="587">
      <c r="A587" s="29"/>
      <c r="B587" s="30"/>
      <c r="C587" s="30"/>
      <c r="D587" s="30"/>
      <c r="E587" s="31"/>
      <c r="F587" s="32"/>
      <c r="G587" s="32"/>
      <c r="H587" s="32"/>
      <c r="I587" s="33"/>
    </row>
    <row r="588">
      <c r="A588" s="34"/>
      <c r="B588" s="35"/>
      <c r="C588" s="35"/>
      <c r="D588" s="35"/>
      <c r="E588" s="36"/>
      <c r="F588" s="37"/>
      <c r="G588" s="37"/>
      <c r="H588" s="37"/>
      <c r="I588" s="38"/>
    </row>
    <row r="589">
      <c r="A589" s="29"/>
      <c r="B589" s="30"/>
      <c r="C589" s="30"/>
      <c r="D589" s="30"/>
      <c r="E589" s="31"/>
      <c r="F589" s="32"/>
      <c r="G589" s="32"/>
      <c r="H589" s="32"/>
      <c r="I589" s="33"/>
    </row>
    <row r="590">
      <c r="A590" s="34"/>
      <c r="B590" s="35"/>
      <c r="C590" s="35"/>
      <c r="D590" s="35"/>
      <c r="E590" s="36"/>
      <c r="F590" s="37"/>
      <c r="G590" s="37"/>
      <c r="H590" s="37"/>
      <c r="I590" s="38"/>
    </row>
    <row r="591">
      <c r="A591" s="29"/>
      <c r="B591" s="30"/>
      <c r="C591" s="30"/>
      <c r="D591" s="30"/>
      <c r="E591" s="31"/>
      <c r="F591" s="32"/>
      <c r="G591" s="32"/>
      <c r="H591" s="32"/>
      <c r="I591" s="33"/>
    </row>
    <row r="592">
      <c r="A592" s="34"/>
      <c r="B592" s="35"/>
      <c r="C592" s="35"/>
      <c r="D592" s="35"/>
      <c r="E592" s="36"/>
      <c r="F592" s="37"/>
      <c r="G592" s="37"/>
      <c r="H592" s="37"/>
      <c r="I592" s="38"/>
    </row>
    <row r="593">
      <c r="A593" s="29"/>
      <c r="B593" s="30"/>
      <c r="C593" s="30"/>
      <c r="D593" s="30"/>
      <c r="E593" s="31"/>
      <c r="F593" s="32"/>
      <c r="G593" s="32"/>
      <c r="H593" s="32"/>
      <c r="I593" s="33"/>
    </row>
    <row r="594">
      <c r="A594" s="34"/>
      <c r="B594" s="35"/>
      <c r="C594" s="35"/>
      <c r="D594" s="35"/>
      <c r="E594" s="36"/>
      <c r="F594" s="37"/>
      <c r="G594" s="37"/>
      <c r="H594" s="37"/>
      <c r="I594" s="38"/>
    </row>
    <row r="595">
      <c r="A595" s="29"/>
      <c r="B595" s="30"/>
      <c r="C595" s="30"/>
      <c r="D595" s="30"/>
      <c r="E595" s="31"/>
      <c r="F595" s="32"/>
      <c r="G595" s="32"/>
      <c r="H595" s="32"/>
      <c r="I595" s="33"/>
    </row>
    <row r="596">
      <c r="A596" s="34"/>
      <c r="B596" s="35"/>
      <c r="C596" s="35"/>
      <c r="D596" s="35"/>
      <c r="E596" s="36"/>
      <c r="F596" s="37"/>
      <c r="G596" s="37"/>
      <c r="H596" s="37"/>
      <c r="I596" s="38"/>
    </row>
    <row r="597">
      <c r="A597" s="29"/>
      <c r="B597" s="30"/>
      <c r="C597" s="30"/>
      <c r="D597" s="30"/>
      <c r="E597" s="31"/>
      <c r="F597" s="32"/>
      <c r="G597" s="32"/>
      <c r="H597" s="32"/>
      <c r="I597" s="33"/>
    </row>
    <row r="598">
      <c r="A598" s="34"/>
      <c r="B598" s="35"/>
      <c r="C598" s="35"/>
      <c r="D598" s="35"/>
      <c r="E598" s="36"/>
      <c r="F598" s="37"/>
      <c r="G598" s="37"/>
      <c r="H598" s="37"/>
      <c r="I598" s="38"/>
    </row>
    <row r="599">
      <c r="A599" s="29"/>
      <c r="B599" s="30"/>
      <c r="C599" s="30"/>
      <c r="D599" s="30"/>
      <c r="E599" s="31"/>
      <c r="F599" s="32"/>
      <c r="G599" s="32"/>
      <c r="H599" s="32"/>
      <c r="I599" s="33"/>
    </row>
    <row r="600">
      <c r="A600" s="34"/>
      <c r="B600" s="35"/>
      <c r="C600" s="35"/>
      <c r="D600" s="35"/>
      <c r="E600" s="36"/>
      <c r="F600" s="37"/>
      <c r="G600" s="37"/>
      <c r="H600" s="37"/>
      <c r="I600" s="38"/>
    </row>
    <row r="601">
      <c r="A601" s="29"/>
      <c r="B601" s="30"/>
      <c r="C601" s="30"/>
      <c r="D601" s="30"/>
      <c r="E601" s="31"/>
      <c r="F601" s="32"/>
      <c r="G601" s="32"/>
      <c r="H601" s="32"/>
      <c r="I601" s="33"/>
    </row>
    <row r="602">
      <c r="A602" s="34"/>
      <c r="B602" s="35"/>
      <c r="C602" s="35"/>
      <c r="D602" s="35"/>
      <c r="E602" s="36"/>
      <c r="F602" s="37"/>
      <c r="G602" s="37"/>
      <c r="H602" s="37"/>
      <c r="I602" s="38"/>
    </row>
    <row r="603">
      <c r="A603" s="29"/>
      <c r="B603" s="30"/>
      <c r="C603" s="30"/>
      <c r="D603" s="30"/>
      <c r="E603" s="31"/>
      <c r="F603" s="32"/>
      <c r="G603" s="32"/>
      <c r="H603" s="32"/>
      <c r="I603" s="33"/>
    </row>
    <row r="604">
      <c r="A604" s="34"/>
      <c r="B604" s="35"/>
      <c r="C604" s="35"/>
      <c r="D604" s="35"/>
      <c r="E604" s="36"/>
      <c r="F604" s="37"/>
      <c r="G604" s="37"/>
      <c r="H604" s="37"/>
      <c r="I604" s="38"/>
    </row>
    <row r="605">
      <c r="A605" s="29"/>
      <c r="B605" s="30"/>
      <c r="C605" s="30"/>
      <c r="D605" s="30"/>
      <c r="E605" s="31"/>
      <c r="F605" s="32"/>
      <c r="G605" s="32"/>
      <c r="H605" s="32"/>
      <c r="I605" s="33"/>
    </row>
    <row r="606">
      <c r="A606" s="34"/>
      <c r="B606" s="35"/>
      <c r="C606" s="35"/>
      <c r="D606" s="35"/>
      <c r="E606" s="36"/>
      <c r="F606" s="37"/>
      <c r="G606" s="37"/>
      <c r="H606" s="37"/>
      <c r="I606" s="38"/>
    </row>
    <row r="607">
      <c r="A607" s="29"/>
      <c r="B607" s="30"/>
      <c r="C607" s="30"/>
      <c r="D607" s="30"/>
      <c r="E607" s="31"/>
      <c r="F607" s="32"/>
      <c r="G607" s="32"/>
      <c r="H607" s="32"/>
      <c r="I607" s="33"/>
    </row>
    <row r="608">
      <c r="A608" s="34"/>
      <c r="B608" s="35"/>
      <c r="C608" s="35"/>
      <c r="D608" s="35"/>
      <c r="E608" s="36"/>
      <c r="F608" s="37"/>
      <c r="G608" s="37"/>
      <c r="H608" s="37"/>
      <c r="I608" s="38"/>
    </row>
    <row r="609">
      <c r="A609" s="29"/>
      <c r="B609" s="30"/>
      <c r="C609" s="30"/>
      <c r="D609" s="30"/>
      <c r="E609" s="31"/>
      <c r="F609" s="32"/>
      <c r="G609" s="32"/>
      <c r="H609" s="32"/>
      <c r="I609" s="33"/>
    </row>
    <row r="610">
      <c r="A610" s="34"/>
      <c r="B610" s="35"/>
      <c r="C610" s="35"/>
      <c r="D610" s="35"/>
      <c r="E610" s="36"/>
      <c r="F610" s="37"/>
      <c r="G610" s="37"/>
      <c r="H610" s="37"/>
      <c r="I610" s="38"/>
    </row>
    <row r="611">
      <c r="A611" s="29"/>
      <c r="B611" s="30"/>
      <c r="C611" s="30"/>
      <c r="D611" s="30"/>
      <c r="E611" s="31"/>
      <c r="F611" s="32"/>
      <c r="G611" s="32"/>
      <c r="H611" s="32"/>
      <c r="I611" s="33"/>
    </row>
    <row r="612">
      <c r="A612" s="34"/>
      <c r="B612" s="35"/>
      <c r="C612" s="35"/>
      <c r="D612" s="35"/>
      <c r="E612" s="36"/>
      <c r="F612" s="37"/>
      <c r="G612" s="37"/>
      <c r="H612" s="37"/>
      <c r="I612" s="38"/>
    </row>
    <row r="613">
      <c r="A613" s="29"/>
      <c r="B613" s="30"/>
      <c r="C613" s="30"/>
      <c r="D613" s="30"/>
      <c r="E613" s="31"/>
      <c r="F613" s="32"/>
      <c r="G613" s="32"/>
      <c r="H613" s="32"/>
      <c r="I613" s="33"/>
    </row>
    <row r="614">
      <c r="A614" s="34"/>
      <c r="B614" s="35"/>
      <c r="C614" s="35"/>
      <c r="D614" s="35"/>
      <c r="E614" s="36"/>
      <c r="F614" s="37"/>
      <c r="G614" s="37"/>
      <c r="H614" s="37"/>
      <c r="I614" s="38"/>
    </row>
    <row r="615">
      <c r="A615" s="29"/>
      <c r="B615" s="30"/>
      <c r="C615" s="30"/>
      <c r="D615" s="30"/>
      <c r="E615" s="31"/>
      <c r="F615" s="32"/>
      <c r="G615" s="32"/>
      <c r="H615" s="32"/>
      <c r="I615" s="33"/>
    </row>
    <row r="616">
      <c r="A616" s="34"/>
      <c r="B616" s="35"/>
      <c r="C616" s="35"/>
      <c r="D616" s="35"/>
      <c r="E616" s="36"/>
      <c r="F616" s="37"/>
      <c r="G616" s="37"/>
      <c r="H616" s="37"/>
      <c r="I616" s="38"/>
    </row>
    <row r="617">
      <c r="A617" s="29"/>
      <c r="B617" s="30"/>
      <c r="C617" s="30"/>
      <c r="D617" s="30"/>
      <c r="E617" s="31"/>
      <c r="F617" s="32"/>
      <c r="G617" s="32"/>
      <c r="H617" s="32"/>
      <c r="I617" s="33"/>
    </row>
    <row r="618">
      <c r="A618" s="34"/>
      <c r="B618" s="35"/>
      <c r="C618" s="35"/>
      <c r="D618" s="35"/>
      <c r="E618" s="36"/>
      <c r="F618" s="37"/>
      <c r="G618" s="37"/>
      <c r="H618" s="37"/>
      <c r="I618" s="38"/>
    </row>
    <row r="619">
      <c r="A619" s="29"/>
      <c r="B619" s="30"/>
      <c r="C619" s="30"/>
      <c r="D619" s="30"/>
      <c r="E619" s="31"/>
      <c r="F619" s="32"/>
      <c r="G619" s="32"/>
      <c r="H619" s="32"/>
      <c r="I619" s="33"/>
    </row>
    <row r="620">
      <c r="A620" s="34"/>
      <c r="B620" s="35"/>
      <c r="C620" s="35"/>
      <c r="D620" s="35"/>
      <c r="E620" s="36"/>
      <c r="F620" s="37"/>
      <c r="G620" s="37"/>
      <c r="H620" s="37"/>
      <c r="I620" s="38"/>
    </row>
    <row r="621">
      <c r="A621" s="29"/>
      <c r="B621" s="30"/>
      <c r="C621" s="30"/>
      <c r="D621" s="30"/>
      <c r="E621" s="31"/>
      <c r="F621" s="32"/>
      <c r="G621" s="32"/>
      <c r="H621" s="32"/>
      <c r="I621" s="33"/>
    </row>
    <row r="622">
      <c r="A622" s="34"/>
      <c r="B622" s="35"/>
      <c r="C622" s="35"/>
      <c r="D622" s="35"/>
      <c r="E622" s="36"/>
      <c r="F622" s="37"/>
      <c r="G622" s="37"/>
      <c r="H622" s="37"/>
      <c r="I622" s="38"/>
    </row>
    <row r="623">
      <c r="A623" s="29"/>
      <c r="B623" s="30"/>
      <c r="C623" s="30"/>
      <c r="D623" s="30"/>
      <c r="E623" s="31"/>
      <c r="F623" s="32"/>
      <c r="G623" s="32"/>
      <c r="H623" s="32"/>
      <c r="I623" s="33"/>
    </row>
    <row r="624">
      <c r="A624" s="34"/>
      <c r="B624" s="35"/>
      <c r="C624" s="35"/>
      <c r="D624" s="35"/>
      <c r="E624" s="36"/>
      <c r="F624" s="37"/>
      <c r="G624" s="37"/>
      <c r="H624" s="37"/>
      <c r="I624" s="38"/>
    </row>
    <row r="625">
      <c r="A625" s="29"/>
      <c r="B625" s="30"/>
      <c r="C625" s="30"/>
      <c r="D625" s="30"/>
      <c r="E625" s="31"/>
      <c r="F625" s="32"/>
      <c r="G625" s="32"/>
      <c r="H625" s="32"/>
      <c r="I625" s="33"/>
    </row>
    <row r="626">
      <c r="A626" s="34"/>
      <c r="B626" s="35"/>
      <c r="C626" s="35"/>
      <c r="D626" s="35"/>
      <c r="E626" s="36"/>
      <c r="F626" s="37"/>
      <c r="G626" s="37"/>
      <c r="H626" s="37"/>
      <c r="I626" s="38"/>
    </row>
    <row r="627">
      <c r="A627" s="29"/>
      <c r="B627" s="30"/>
      <c r="C627" s="30"/>
      <c r="D627" s="30"/>
      <c r="E627" s="31"/>
      <c r="F627" s="32"/>
      <c r="G627" s="32"/>
      <c r="H627" s="32"/>
      <c r="I627" s="33"/>
    </row>
    <row r="628">
      <c r="A628" s="34"/>
      <c r="B628" s="35"/>
      <c r="C628" s="35"/>
      <c r="D628" s="35"/>
      <c r="E628" s="36"/>
      <c r="F628" s="37"/>
      <c r="G628" s="37"/>
      <c r="H628" s="37"/>
      <c r="I628" s="38"/>
    </row>
    <row r="629">
      <c r="A629" s="29"/>
      <c r="B629" s="30"/>
      <c r="C629" s="30"/>
      <c r="D629" s="30"/>
      <c r="E629" s="31"/>
      <c r="F629" s="32"/>
      <c r="G629" s="32"/>
      <c r="H629" s="32"/>
      <c r="I629" s="33"/>
    </row>
    <row r="630">
      <c r="A630" s="34"/>
      <c r="B630" s="35"/>
      <c r="C630" s="35"/>
      <c r="D630" s="35"/>
      <c r="E630" s="36"/>
      <c r="F630" s="37"/>
      <c r="G630" s="37"/>
      <c r="H630" s="37"/>
      <c r="I630" s="38"/>
    </row>
    <row r="631">
      <c r="A631" s="29"/>
      <c r="B631" s="30"/>
      <c r="C631" s="30"/>
      <c r="D631" s="30"/>
      <c r="E631" s="31"/>
      <c r="F631" s="32"/>
      <c r="G631" s="32"/>
      <c r="H631" s="32"/>
      <c r="I631" s="33"/>
    </row>
    <row r="632">
      <c r="A632" s="34"/>
      <c r="B632" s="35"/>
      <c r="C632" s="35"/>
      <c r="D632" s="35"/>
      <c r="E632" s="36"/>
      <c r="F632" s="37"/>
      <c r="G632" s="37"/>
      <c r="H632" s="37"/>
      <c r="I632" s="38"/>
    </row>
    <row r="633">
      <c r="A633" s="29"/>
      <c r="B633" s="30"/>
      <c r="C633" s="30"/>
      <c r="D633" s="30"/>
      <c r="E633" s="31"/>
      <c r="F633" s="32"/>
      <c r="G633" s="32"/>
      <c r="H633" s="32"/>
      <c r="I633" s="33"/>
    </row>
    <row r="634">
      <c r="A634" s="34"/>
      <c r="B634" s="35"/>
      <c r="C634" s="35"/>
      <c r="D634" s="35"/>
      <c r="E634" s="36"/>
      <c r="F634" s="37"/>
      <c r="G634" s="37"/>
      <c r="H634" s="37"/>
      <c r="I634" s="38"/>
    </row>
    <row r="635">
      <c r="A635" s="29"/>
      <c r="B635" s="30"/>
      <c r="C635" s="30"/>
      <c r="D635" s="30"/>
      <c r="E635" s="31"/>
      <c r="F635" s="32"/>
      <c r="G635" s="32"/>
      <c r="H635" s="32"/>
      <c r="I635" s="33"/>
    </row>
    <row r="636">
      <c r="A636" s="34"/>
      <c r="B636" s="35"/>
      <c r="C636" s="35"/>
      <c r="D636" s="35"/>
      <c r="E636" s="36"/>
      <c r="F636" s="37"/>
      <c r="G636" s="37"/>
      <c r="H636" s="37"/>
      <c r="I636" s="38"/>
    </row>
    <row r="637">
      <c r="A637" s="29"/>
      <c r="B637" s="30"/>
      <c r="C637" s="30"/>
      <c r="D637" s="30"/>
      <c r="E637" s="31"/>
      <c r="F637" s="32"/>
      <c r="G637" s="32"/>
      <c r="H637" s="32"/>
      <c r="I637" s="33"/>
    </row>
    <row r="638">
      <c r="A638" s="34"/>
      <c r="B638" s="35"/>
      <c r="C638" s="35"/>
      <c r="D638" s="35"/>
      <c r="E638" s="36"/>
      <c r="F638" s="37"/>
      <c r="G638" s="37"/>
      <c r="H638" s="37"/>
      <c r="I638" s="38"/>
    </row>
    <row r="639">
      <c r="A639" s="29"/>
      <c r="B639" s="30"/>
      <c r="C639" s="30"/>
      <c r="D639" s="30"/>
      <c r="E639" s="31"/>
      <c r="F639" s="32"/>
      <c r="G639" s="32"/>
      <c r="H639" s="32"/>
      <c r="I639" s="33"/>
    </row>
    <row r="640">
      <c r="A640" s="34"/>
      <c r="B640" s="35"/>
      <c r="C640" s="35"/>
      <c r="D640" s="35"/>
      <c r="E640" s="36"/>
      <c r="F640" s="37"/>
      <c r="G640" s="37"/>
      <c r="H640" s="37"/>
      <c r="I640" s="38"/>
    </row>
    <row r="641">
      <c r="A641" s="29"/>
      <c r="B641" s="30"/>
      <c r="C641" s="30"/>
      <c r="D641" s="30"/>
      <c r="E641" s="31"/>
      <c r="F641" s="32"/>
      <c r="G641" s="32"/>
      <c r="H641" s="32"/>
      <c r="I641" s="33"/>
    </row>
    <row r="642">
      <c r="A642" s="34"/>
      <c r="B642" s="35"/>
      <c r="C642" s="35"/>
      <c r="D642" s="35"/>
      <c r="E642" s="36"/>
      <c r="F642" s="37"/>
      <c r="G642" s="37"/>
      <c r="H642" s="37"/>
      <c r="I642" s="38"/>
    </row>
    <row r="643">
      <c r="A643" s="29"/>
      <c r="B643" s="30"/>
      <c r="C643" s="30"/>
      <c r="D643" s="30"/>
      <c r="E643" s="31"/>
      <c r="F643" s="32"/>
      <c r="G643" s="32"/>
      <c r="H643" s="32"/>
      <c r="I643" s="33"/>
    </row>
    <row r="644">
      <c r="A644" s="34"/>
      <c r="B644" s="35"/>
      <c r="C644" s="35"/>
      <c r="D644" s="35"/>
      <c r="E644" s="36"/>
      <c r="F644" s="37"/>
      <c r="G644" s="37"/>
      <c r="H644" s="37"/>
      <c r="I644" s="38"/>
    </row>
    <row r="645">
      <c r="A645" s="29"/>
      <c r="B645" s="30"/>
      <c r="C645" s="30"/>
      <c r="D645" s="30"/>
      <c r="E645" s="31"/>
      <c r="F645" s="32"/>
      <c r="G645" s="32"/>
      <c r="H645" s="32"/>
      <c r="I645" s="33"/>
    </row>
    <row r="646">
      <c r="A646" s="34"/>
      <c r="B646" s="35"/>
      <c r="C646" s="35"/>
      <c r="D646" s="35"/>
      <c r="E646" s="36"/>
      <c r="F646" s="37"/>
      <c r="G646" s="37"/>
      <c r="H646" s="37"/>
      <c r="I646" s="38"/>
    </row>
    <row r="647">
      <c r="A647" s="29"/>
      <c r="B647" s="30"/>
      <c r="C647" s="30"/>
      <c r="D647" s="30"/>
      <c r="E647" s="31"/>
      <c r="F647" s="32"/>
      <c r="G647" s="32"/>
      <c r="H647" s="32"/>
      <c r="I647" s="33"/>
    </row>
    <row r="648">
      <c r="A648" s="34"/>
      <c r="B648" s="35"/>
      <c r="C648" s="35"/>
      <c r="D648" s="35"/>
      <c r="E648" s="36"/>
      <c r="F648" s="37"/>
      <c r="G648" s="37"/>
      <c r="H648" s="37"/>
      <c r="I648" s="38"/>
    </row>
    <row r="649">
      <c r="A649" s="29"/>
      <c r="B649" s="30"/>
      <c r="C649" s="30"/>
      <c r="D649" s="30"/>
      <c r="E649" s="31"/>
      <c r="F649" s="32"/>
      <c r="G649" s="32"/>
      <c r="H649" s="32"/>
      <c r="I649" s="33"/>
    </row>
    <row r="650">
      <c r="A650" s="34"/>
      <c r="B650" s="35"/>
      <c r="C650" s="35"/>
      <c r="D650" s="35"/>
      <c r="E650" s="36"/>
      <c r="F650" s="37"/>
      <c r="G650" s="37"/>
      <c r="H650" s="37"/>
      <c r="I650" s="38"/>
    </row>
    <row r="651">
      <c r="A651" s="29"/>
      <c r="B651" s="30"/>
      <c r="C651" s="30"/>
      <c r="D651" s="30"/>
      <c r="E651" s="31"/>
      <c r="F651" s="32"/>
      <c r="G651" s="32"/>
      <c r="H651" s="32"/>
      <c r="I651" s="33"/>
    </row>
    <row r="652">
      <c r="A652" s="34"/>
      <c r="B652" s="35"/>
      <c r="C652" s="35"/>
      <c r="D652" s="35"/>
      <c r="E652" s="36"/>
      <c r="F652" s="37"/>
      <c r="G652" s="37"/>
      <c r="H652" s="37"/>
      <c r="I652" s="38"/>
    </row>
    <row r="653">
      <c r="A653" s="29"/>
      <c r="B653" s="30"/>
      <c r="C653" s="30"/>
      <c r="D653" s="30"/>
      <c r="E653" s="31"/>
      <c r="F653" s="32"/>
      <c r="G653" s="32"/>
      <c r="H653" s="32"/>
      <c r="I653" s="33"/>
    </row>
    <row r="654">
      <c r="A654" s="34"/>
      <c r="B654" s="35"/>
      <c r="C654" s="35"/>
      <c r="D654" s="35"/>
      <c r="E654" s="36"/>
      <c r="F654" s="37"/>
      <c r="G654" s="37"/>
      <c r="H654" s="37"/>
      <c r="I654" s="38"/>
    </row>
    <row r="655">
      <c r="A655" s="29"/>
      <c r="B655" s="30"/>
      <c r="C655" s="30"/>
      <c r="D655" s="30"/>
      <c r="E655" s="31"/>
      <c r="F655" s="32"/>
      <c r="G655" s="32"/>
      <c r="H655" s="32"/>
      <c r="I655" s="33"/>
    </row>
    <row r="656">
      <c r="A656" s="34"/>
      <c r="B656" s="35"/>
      <c r="C656" s="35"/>
      <c r="D656" s="35"/>
      <c r="E656" s="36"/>
      <c r="F656" s="37"/>
      <c r="G656" s="37"/>
      <c r="H656" s="37"/>
      <c r="I656" s="38"/>
    </row>
    <row r="657">
      <c r="A657" s="29"/>
      <c r="B657" s="30"/>
      <c r="C657" s="30"/>
      <c r="D657" s="30"/>
      <c r="E657" s="31"/>
      <c r="F657" s="32"/>
      <c r="G657" s="32"/>
      <c r="H657" s="32"/>
      <c r="I657" s="33"/>
    </row>
    <row r="658">
      <c r="A658" s="34"/>
      <c r="B658" s="35"/>
      <c r="C658" s="35"/>
      <c r="D658" s="35"/>
      <c r="E658" s="36"/>
      <c r="F658" s="37"/>
      <c r="G658" s="37"/>
      <c r="H658" s="37"/>
      <c r="I658" s="38"/>
    </row>
    <row r="659">
      <c r="A659" s="29"/>
      <c r="B659" s="30"/>
      <c r="C659" s="30"/>
      <c r="D659" s="30"/>
      <c r="E659" s="31"/>
      <c r="F659" s="32"/>
      <c r="G659" s="32"/>
      <c r="H659" s="32"/>
      <c r="I659" s="33"/>
    </row>
    <row r="660">
      <c r="A660" s="34"/>
      <c r="B660" s="35"/>
      <c r="C660" s="35"/>
      <c r="D660" s="35"/>
      <c r="E660" s="36"/>
      <c r="F660" s="37"/>
      <c r="G660" s="37"/>
      <c r="H660" s="37"/>
      <c r="I660" s="38"/>
    </row>
    <row r="661">
      <c r="A661" s="29"/>
      <c r="B661" s="30"/>
      <c r="C661" s="30"/>
      <c r="D661" s="30"/>
      <c r="E661" s="31"/>
      <c r="F661" s="32"/>
      <c r="G661" s="32"/>
      <c r="H661" s="32"/>
      <c r="I661" s="33"/>
    </row>
    <row r="662">
      <c r="A662" s="34"/>
      <c r="B662" s="35"/>
      <c r="C662" s="35"/>
      <c r="D662" s="35"/>
      <c r="E662" s="36"/>
      <c r="F662" s="37"/>
      <c r="G662" s="37"/>
      <c r="H662" s="37"/>
      <c r="I662" s="38"/>
    </row>
    <row r="663">
      <c r="A663" s="29"/>
      <c r="B663" s="30"/>
      <c r="C663" s="30"/>
      <c r="D663" s="30"/>
      <c r="E663" s="31"/>
      <c r="F663" s="32"/>
      <c r="G663" s="32"/>
      <c r="H663" s="32"/>
      <c r="I663" s="33"/>
    </row>
    <row r="664">
      <c r="A664" s="34"/>
      <c r="B664" s="35"/>
      <c r="C664" s="35"/>
      <c r="D664" s="35"/>
      <c r="E664" s="36"/>
      <c r="F664" s="37"/>
      <c r="G664" s="37"/>
      <c r="H664" s="37"/>
      <c r="I664" s="38"/>
    </row>
    <row r="665">
      <c r="A665" s="29"/>
      <c r="B665" s="30"/>
      <c r="C665" s="30"/>
      <c r="D665" s="30"/>
      <c r="E665" s="31"/>
      <c r="F665" s="32"/>
      <c r="G665" s="32"/>
      <c r="H665" s="32"/>
      <c r="I665" s="33"/>
    </row>
    <row r="666">
      <c r="A666" s="34"/>
      <c r="B666" s="35"/>
      <c r="C666" s="35"/>
      <c r="D666" s="35"/>
      <c r="E666" s="36"/>
      <c r="F666" s="37"/>
      <c r="G666" s="37"/>
      <c r="H666" s="37"/>
      <c r="I666" s="38"/>
    </row>
    <row r="667">
      <c r="A667" s="29"/>
      <c r="B667" s="30"/>
      <c r="C667" s="30"/>
      <c r="D667" s="30"/>
      <c r="E667" s="31"/>
      <c r="F667" s="32"/>
      <c r="G667" s="32"/>
      <c r="H667" s="32"/>
      <c r="I667" s="33"/>
    </row>
    <row r="668">
      <c r="A668" s="34"/>
      <c r="B668" s="35"/>
      <c r="C668" s="35"/>
      <c r="D668" s="35"/>
      <c r="E668" s="36"/>
      <c r="F668" s="37"/>
      <c r="G668" s="37"/>
      <c r="H668" s="37"/>
      <c r="I668" s="38"/>
    </row>
    <row r="669">
      <c r="A669" s="29"/>
      <c r="B669" s="30"/>
      <c r="C669" s="30"/>
      <c r="D669" s="30"/>
      <c r="E669" s="31"/>
      <c r="F669" s="32"/>
      <c r="G669" s="32"/>
      <c r="H669" s="32"/>
      <c r="I669" s="33"/>
    </row>
    <row r="670">
      <c r="A670" s="34"/>
      <c r="B670" s="35"/>
      <c r="C670" s="35"/>
      <c r="D670" s="35"/>
      <c r="E670" s="36"/>
      <c r="F670" s="37"/>
      <c r="G670" s="37"/>
      <c r="H670" s="37"/>
      <c r="I670" s="38"/>
    </row>
    <row r="671">
      <c r="A671" s="29"/>
      <c r="B671" s="30"/>
      <c r="C671" s="30"/>
      <c r="D671" s="30"/>
      <c r="E671" s="31"/>
      <c r="F671" s="32"/>
      <c r="G671" s="32"/>
      <c r="H671" s="32"/>
      <c r="I671" s="33"/>
    </row>
    <row r="672">
      <c r="A672" s="34"/>
      <c r="B672" s="35"/>
      <c r="C672" s="35"/>
      <c r="D672" s="35"/>
      <c r="E672" s="36"/>
      <c r="F672" s="37"/>
      <c r="G672" s="37"/>
      <c r="H672" s="37"/>
      <c r="I672" s="38"/>
    </row>
    <row r="673">
      <c r="A673" s="29"/>
      <c r="B673" s="30"/>
      <c r="C673" s="30"/>
      <c r="D673" s="30"/>
      <c r="E673" s="31"/>
      <c r="F673" s="32"/>
      <c r="G673" s="32"/>
      <c r="H673" s="32"/>
      <c r="I673" s="33"/>
    </row>
    <row r="674">
      <c r="A674" s="34"/>
      <c r="B674" s="35"/>
      <c r="C674" s="35"/>
      <c r="D674" s="35"/>
      <c r="E674" s="36"/>
      <c r="F674" s="37"/>
      <c r="G674" s="37"/>
      <c r="H674" s="37"/>
      <c r="I674" s="38"/>
    </row>
    <row r="675">
      <c r="A675" s="29"/>
      <c r="B675" s="30"/>
      <c r="C675" s="30"/>
      <c r="D675" s="30"/>
      <c r="E675" s="31"/>
      <c r="F675" s="32"/>
      <c r="G675" s="32"/>
      <c r="H675" s="32"/>
      <c r="I675" s="33"/>
    </row>
    <row r="676">
      <c r="A676" s="34"/>
      <c r="B676" s="35"/>
      <c r="C676" s="35"/>
      <c r="D676" s="35"/>
      <c r="E676" s="36"/>
      <c r="F676" s="37"/>
      <c r="G676" s="37"/>
      <c r="H676" s="37"/>
      <c r="I676" s="38"/>
    </row>
    <row r="677">
      <c r="A677" s="29"/>
      <c r="B677" s="30"/>
      <c r="C677" s="30"/>
      <c r="D677" s="30"/>
      <c r="E677" s="31"/>
      <c r="F677" s="32"/>
      <c r="G677" s="32"/>
      <c r="H677" s="32"/>
      <c r="I677" s="33"/>
    </row>
    <row r="678">
      <c r="A678" s="34"/>
      <c r="B678" s="35"/>
      <c r="C678" s="35"/>
      <c r="D678" s="35"/>
      <c r="E678" s="36"/>
      <c r="F678" s="37"/>
      <c r="G678" s="37"/>
      <c r="H678" s="37"/>
      <c r="I678" s="38"/>
    </row>
    <row r="679">
      <c r="A679" s="29"/>
      <c r="B679" s="30"/>
      <c r="C679" s="30"/>
      <c r="D679" s="30"/>
      <c r="E679" s="31"/>
      <c r="F679" s="32"/>
      <c r="G679" s="32"/>
      <c r="H679" s="32"/>
      <c r="I679" s="33"/>
    </row>
    <row r="680">
      <c r="A680" s="34"/>
      <c r="B680" s="35"/>
      <c r="C680" s="35"/>
      <c r="D680" s="35"/>
      <c r="E680" s="36"/>
      <c r="F680" s="37"/>
      <c r="G680" s="37"/>
      <c r="H680" s="37"/>
      <c r="I680" s="38"/>
    </row>
    <row r="681">
      <c r="A681" s="29"/>
      <c r="B681" s="30"/>
      <c r="C681" s="30"/>
      <c r="D681" s="30"/>
      <c r="E681" s="31"/>
      <c r="F681" s="32"/>
      <c r="G681" s="32"/>
      <c r="H681" s="32"/>
      <c r="I681" s="33"/>
    </row>
    <row r="682">
      <c r="A682" s="34"/>
      <c r="B682" s="35"/>
      <c r="C682" s="35"/>
      <c r="D682" s="35"/>
      <c r="E682" s="36"/>
      <c r="F682" s="37"/>
      <c r="G682" s="37"/>
      <c r="H682" s="37"/>
      <c r="I682" s="38"/>
    </row>
    <row r="683">
      <c r="A683" s="29"/>
      <c r="B683" s="30"/>
      <c r="C683" s="30"/>
      <c r="D683" s="30"/>
      <c r="E683" s="31"/>
      <c r="F683" s="32"/>
      <c r="G683" s="32"/>
      <c r="H683" s="32"/>
      <c r="I683" s="33"/>
    </row>
    <row r="684">
      <c r="A684" s="34"/>
      <c r="B684" s="35"/>
      <c r="C684" s="35"/>
      <c r="D684" s="35"/>
      <c r="E684" s="36"/>
      <c r="F684" s="37"/>
      <c r="G684" s="37"/>
      <c r="H684" s="37"/>
      <c r="I684" s="38"/>
    </row>
    <row r="685">
      <c r="A685" s="29"/>
      <c r="B685" s="30"/>
      <c r="C685" s="30"/>
      <c r="D685" s="30"/>
      <c r="E685" s="31"/>
      <c r="F685" s="32"/>
      <c r="G685" s="32"/>
      <c r="H685" s="32"/>
      <c r="I685" s="33"/>
    </row>
    <row r="686">
      <c r="A686" s="34"/>
      <c r="B686" s="35"/>
      <c r="C686" s="35"/>
      <c r="D686" s="35"/>
      <c r="E686" s="36"/>
      <c r="F686" s="37"/>
      <c r="G686" s="37"/>
      <c r="H686" s="37"/>
      <c r="I686" s="38"/>
    </row>
    <row r="687">
      <c r="A687" s="29"/>
      <c r="B687" s="30"/>
      <c r="C687" s="30"/>
      <c r="D687" s="30"/>
      <c r="E687" s="31"/>
      <c r="F687" s="32"/>
      <c r="G687" s="32"/>
      <c r="H687" s="32"/>
      <c r="I687" s="33"/>
    </row>
    <row r="688">
      <c r="A688" s="34"/>
      <c r="B688" s="35"/>
      <c r="C688" s="35"/>
      <c r="D688" s="35"/>
      <c r="E688" s="36"/>
      <c r="F688" s="37"/>
      <c r="G688" s="37"/>
      <c r="H688" s="37"/>
      <c r="I688" s="38"/>
    </row>
    <row r="689">
      <c r="A689" s="29"/>
      <c r="B689" s="30"/>
      <c r="C689" s="30"/>
      <c r="D689" s="30"/>
      <c r="E689" s="31"/>
      <c r="F689" s="32"/>
      <c r="G689" s="32"/>
      <c r="H689" s="32"/>
      <c r="I689" s="33"/>
    </row>
    <row r="690">
      <c r="A690" s="34"/>
      <c r="B690" s="35"/>
      <c r="C690" s="35"/>
      <c r="D690" s="35"/>
      <c r="E690" s="36"/>
      <c r="F690" s="37"/>
      <c r="G690" s="37"/>
      <c r="H690" s="37"/>
      <c r="I690" s="38"/>
    </row>
    <row r="691">
      <c r="A691" s="29"/>
      <c r="B691" s="30"/>
      <c r="C691" s="30"/>
      <c r="D691" s="30"/>
      <c r="E691" s="31"/>
      <c r="F691" s="32"/>
      <c r="G691" s="32"/>
      <c r="H691" s="32"/>
      <c r="I691" s="33"/>
    </row>
    <row r="692">
      <c r="A692" s="34"/>
      <c r="B692" s="35"/>
      <c r="C692" s="35"/>
      <c r="D692" s="35"/>
      <c r="E692" s="36"/>
      <c r="F692" s="37"/>
      <c r="G692" s="37"/>
      <c r="H692" s="37"/>
      <c r="I692" s="38"/>
    </row>
    <row r="693">
      <c r="A693" s="29"/>
      <c r="B693" s="30"/>
      <c r="C693" s="30"/>
      <c r="D693" s="30"/>
      <c r="E693" s="31"/>
      <c r="F693" s="32"/>
      <c r="G693" s="32"/>
      <c r="H693" s="32"/>
      <c r="I693" s="33"/>
    </row>
    <row r="694">
      <c r="A694" s="34"/>
      <c r="B694" s="35"/>
      <c r="C694" s="35"/>
      <c r="D694" s="35"/>
      <c r="E694" s="36"/>
      <c r="F694" s="37"/>
      <c r="G694" s="37"/>
      <c r="H694" s="37"/>
      <c r="I694" s="38"/>
    </row>
    <row r="695">
      <c r="A695" s="29"/>
      <c r="B695" s="30"/>
      <c r="C695" s="30"/>
      <c r="D695" s="30"/>
      <c r="E695" s="31"/>
      <c r="F695" s="32"/>
      <c r="G695" s="32"/>
      <c r="H695" s="32"/>
      <c r="I695" s="33"/>
    </row>
    <row r="696">
      <c r="A696" s="34"/>
      <c r="B696" s="35"/>
      <c r="C696" s="35"/>
      <c r="D696" s="35"/>
      <c r="E696" s="36"/>
      <c r="F696" s="37"/>
      <c r="G696" s="37"/>
      <c r="H696" s="37"/>
      <c r="I696" s="38"/>
    </row>
    <row r="697">
      <c r="A697" s="29"/>
      <c r="B697" s="30"/>
      <c r="C697" s="30"/>
      <c r="D697" s="30"/>
      <c r="E697" s="31"/>
      <c r="F697" s="32"/>
      <c r="G697" s="32"/>
      <c r="H697" s="32"/>
      <c r="I697" s="33"/>
    </row>
    <row r="698">
      <c r="A698" s="34"/>
      <c r="B698" s="35"/>
      <c r="C698" s="35"/>
      <c r="D698" s="35"/>
      <c r="E698" s="36"/>
      <c r="F698" s="37"/>
      <c r="G698" s="37"/>
      <c r="H698" s="37"/>
      <c r="I698" s="38"/>
    </row>
    <row r="699">
      <c r="A699" s="29"/>
      <c r="B699" s="30"/>
      <c r="C699" s="30"/>
      <c r="D699" s="30"/>
      <c r="E699" s="31"/>
      <c r="F699" s="32"/>
      <c r="G699" s="32"/>
      <c r="H699" s="32"/>
      <c r="I699" s="33"/>
    </row>
    <row r="700">
      <c r="A700" s="34"/>
      <c r="B700" s="35"/>
      <c r="C700" s="35"/>
      <c r="D700" s="35"/>
      <c r="E700" s="36"/>
      <c r="F700" s="37"/>
      <c r="G700" s="37"/>
      <c r="H700" s="37"/>
      <c r="I700" s="38"/>
    </row>
    <row r="701">
      <c r="A701" s="29"/>
      <c r="B701" s="30"/>
      <c r="C701" s="30"/>
      <c r="D701" s="30"/>
      <c r="E701" s="31"/>
      <c r="F701" s="32"/>
      <c r="G701" s="32"/>
      <c r="H701" s="32"/>
      <c r="I701" s="33"/>
    </row>
    <row r="702">
      <c r="A702" s="34"/>
      <c r="B702" s="35"/>
      <c r="C702" s="35"/>
      <c r="D702" s="35"/>
      <c r="E702" s="36"/>
      <c r="F702" s="37"/>
      <c r="G702" s="37"/>
      <c r="H702" s="37"/>
      <c r="I702" s="38"/>
    </row>
    <row r="703">
      <c r="A703" s="29"/>
      <c r="B703" s="30"/>
      <c r="C703" s="30"/>
      <c r="D703" s="30"/>
      <c r="E703" s="31"/>
      <c r="F703" s="32"/>
      <c r="G703" s="32"/>
      <c r="H703" s="32"/>
      <c r="I703" s="33"/>
    </row>
    <row r="704">
      <c r="A704" s="34"/>
      <c r="B704" s="35"/>
      <c r="C704" s="35"/>
      <c r="D704" s="35"/>
      <c r="E704" s="36"/>
      <c r="F704" s="37"/>
      <c r="G704" s="37"/>
      <c r="H704" s="37"/>
      <c r="I704" s="38"/>
    </row>
    <row r="705">
      <c r="A705" s="29"/>
      <c r="B705" s="30"/>
      <c r="C705" s="30"/>
      <c r="D705" s="30"/>
      <c r="E705" s="31"/>
      <c r="F705" s="32"/>
      <c r="G705" s="32"/>
      <c r="H705" s="32"/>
      <c r="I705" s="33"/>
    </row>
    <row r="706">
      <c r="A706" s="34"/>
      <c r="B706" s="35"/>
      <c r="C706" s="35"/>
      <c r="D706" s="35"/>
      <c r="E706" s="36"/>
      <c r="F706" s="37"/>
      <c r="G706" s="37"/>
      <c r="H706" s="37"/>
      <c r="I706" s="38"/>
    </row>
    <row r="707">
      <c r="A707" s="29"/>
      <c r="B707" s="30"/>
      <c r="C707" s="30"/>
      <c r="D707" s="30"/>
      <c r="E707" s="31"/>
      <c r="F707" s="32"/>
      <c r="G707" s="32"/>
      <c r="H707" s="32"/>
      <c r="I707" s="33"/>
    </row>
    <row r="708">
      <c r="A708" s="34"/>
      <c r="B708" s="35"/>
      <c r="C708" s="35"/>
      <c r="D708" s="35"/>
      <c r="E708" s="36"/>
      <c r="F708" s="37"/>
      <c r="G708" s="37"/>
      <c r="H708" s="37"/>
      <c r="I708" s="38"/>
    </row>
    <row r="709">
      <c r="A709" s="29"/>
      <c r="B709" s="30"/>
      <c r="C709" s="30"/>
      <c r="D709" s="30"/>
      <c r="E709" s="31"/>
      <c r="F709" s="32"/>
      <c r="G709" s="32"/>
      <c r="H709" s="32"/>
      <c r="I709" s="33"/>
    </row>
    <row r="710">
      <c r="A710" s="34"/>
      <c r="B710" s="35"/>
      <c r="C710" s="35"/>
      <c r="D710" s="35"/>
      <c r="E710" s="36"/>
      <c r="F710" s="37"/>
      <c r="G710" s="37"/>
      <c r="H710" s="37"/>
      <c r="I710" s="38"/>
    </row>
    <row r="711">
      <c r="A711" s="29"/>
      <c r="B711" s="30"/>
      <c r="C711" s="30"/>
      <c r="D711" s="30"/>
      <c r="E711" s="31"/>
      <c r="F711" s="32"/>
      <c r="G711" s="32"/>
      <c r="H711" s="32"/>
      <c r="I711" s="33"/>
    </row>
    <row r="712">
      <c r="A712" s="34"/>
      <c r="B712" s="35"/>
      <c r="C712" s="35"/>
      <c r="D712" s="35"/>
      <c r="E712" s="36"/>
      <c r="F712" s="37"/>
      <c r="G712" s="37"/>
      <c r="H712" s="37"/>
      <c r="I712" s="38"/>
    </row>
    <row r="713">
      <c r="A713" s="29"/>
      <c r="B713" s="30"/>
      <c r="C713" s="30"/>
      <c r="D713" s="30"/>
      <c r="E713" s="31"/>
      <c r="F713" s="32"/>
      <c r="G713" s="32"/>
      <c r="H713" s="32"/>
      <c r="I713" s="33"/>
    </row>
    <row r="714">
      <c r="A714" s="34"/>
      <c r="B714" s="35"/>
      <c r="C714" s="35"/>
      <c r="D714" s="35"/>
      <c r="E714" s="36"/>
      <c r="F714" s="37"/>
      <c r="G714" s="37"/>
      <c r="H714" s="37"/>
      <c r="I714" s="38"/>
    </row>
    <row r="715">
      <c r="A715" s="29"/>
      <c r="B715" s="30"/>
      <c r="C715" s="30"/>
      <c r="D715" s="30"/>
      <c r="E715" s="31"/>
      <c r="F715" s="32"/>
      <c r="G715" s="32"/>
      <c r="H715" s="32"/>
      <c r="I715" s="33"/>
    </row>
    <row r="716">
      <c r="A716" s="34"/>
      <c r="B716" s="35"/>
      <c r="C716" s="35"/>
      <c r="D716" s="35"/>
      <c r="E716" s="36"/>
      <c r="F716" s="37"/>
      <c r="G716" s="37"/>
      <c r="H716" s="37"/>
      <c r="I716" s="38"/>
    </row>
    <row r="717">
      <c r="A717" s="29"/>
      <c r="B717" s="30"/>
      <c r="C717" s="30"/>
      <c r="D717" s="30"/>
      <c r="E717" s="31"/>
      <c r="F717" s="32"/>
      <c r="G717" s="32"/>
      <c r="H717" s="32"/>
      <c r="I717" s="33"/>
    </row>
    <row r="718">
      <c r="A718" s="34"/>
      <c r="B718" s="35"/>
      <c r="C718" s="35"/>
      <c r="D718" s="35"/>
      <c r="E718" s="36"/>
      <c r="F718" s="37"/>
      <c r="G718" s="37"/>
      <c r="H718" s="37"/>
      <c r="I718" s="38"/>
    </row>
    <row r="719">
      <c r="A719" s="29"/>
      <c r="B719" s="30"/>
      <c r="C719" s="30"/>
      <c r="D719" s="30"/>
      <c r="E719" s="31"/>
      <c r="F719" s="32"/>
      <c r="G719" s="32"/>
      <c r="H719" s="32"/>
      <c r="I719" s="33"/>
    </row>
    <row r="720">
      <c r="A720" s="34"/>
      <c r="B720" s="35"/>
      <c r="C720" s="35"/>
      <c r="D720" s="35"/>
      <c r="E720" s="36"/>
      <c r="F720" s="37"/>
      <c r="G720" s="37"/>
      <c r="H720" s="37"/>
      <c r="I720" s="38"/>
    </row>
    <row r="721">
      <c r="A721" s="29"/>
      <c r="B721" s="30"/>
      <c r="C721" s="30"/>
      <c r="D721" s="30"/>
      <c r="E721" s="31"/>
      <c r="F721" s="32"/>
      <c r="G721" s="32"/>
      <c r="H721" s="32"/>
      <c r="I721" s="33"/>
    </row>
    <row r="722">
      <c r="A722" s="34"/>
      <c r="B722" s="35"/>
      <c r="C722" s="35"/>
      <c r="D722" s="35"/>
      <c r="E722" s="36"/>
      <c r="F722" s="37"/>
      <c r="G722" s="37"/>
      <c r="H722" s="37"/>
      <c r="I722" s="38"/>
    </row>
    <row r="723">
      <c r="A723" s="29"/>
      <c r="B723" s="30"/>
      <c r="C723" s="30"/>
      <c r="D723" s="30"/>
      <c r="E723" s="31"/>
      <c r="F723" s="32"/>
      <c r="G723" s="32"/>
      <c r="H723" s="32"/>
      <c r="I723" s="33"/>
    </row>
    <row r="724">
      <c r="A724" s="34"/>
      <c r="B724" s="35"/>
      <c r="C724" s="35"/>
      <c r="D724" s="35"/>
      <c r="E724" s="36"/>
      <c r="F724" s="37"/>
      <c r="G724" s="37"/>
      <c r="H724" s="37"/>
      <c r="I724" s="38"/>
    </row>
    <row r="725">
      <c r="A725" s="29"/>
      <c r="B725" s="30"/>
      <c r="C725" s="30"/>
      <c r="D725" s="30"/>
      <c r="E725" s="31"/>
      <c r="F725" s="32"/>
      <c r="G725" s="32"/>
      <c r="H725" s="32"/>
      <c r="I725" s="33"/>
    </row>
    <row r="726">
      <c r="A726" s="34"/>
      <c r="B726" s="35"/>
      <c r="C726" s="35"/>
      <c r="D726" s="35"/>
      <c r="E726" s="36"/>
      <c r="F726" s="37"/>
      <c r="G726" s="37"/>
      <c r="H726" s="37"/>
      <c r="I726" s="38"/>
    </row>
    <row r="727">
      <c r="A727" s="29"/>
      <c r="B727" s="30"/>
      <c r="C727" s="30"/>
      <c r="D727" s="30"/>
      <c r="E727" s="31"/>
      <c r="F727" s="32"/>
      <c r="G727" s="32"/>
      <c r="H727" s="32"/>
      <c r="I727" s="33"/>
    </row>
    <row r="728">
      <c r="A728" s="34"/>
      <c r="B728" s="35"/>
      <c r="C728" s="35"/>
      <c r="D728" s="35"/>
      <c r="E728" s="36"/>
      <c r="F728" s="37"/>
      <c r="G728" s="37"/>
      <c r="H728" s="37"/>
      <c r="I728" s="38"/>
    </row>
    <row r="729">
      <c r="A729" s="29"/>
      <c r="B729" s="30"/>
      <c r="C729" s="30"/>
      <c r="D729" s="30"/>
      <c r="E729" s="31"/>
      <c r="F729" s="32"/>
      <c r="G729" s="32"/>
      <c r="H729" s="32"/>
      <c r="I729" s="33"/>
    </row>
    <row r="730">
      <c r="A730" s="34"/>
      <c r="B730" s="35"/>
      <c r="C730" s="35"/>
      <c r="D730" s="35"/>
      <c r="E730" s="36"/>
      <c r="F730" s="37"/>
      <c r="G730" s="37"/>
      <c r="H730" s="37"/>
      <c r="I730" s="38"/>
    </row>
    <row r="731">
      <c r="A731" s="29"/>
      <c r="B731" s="30"/>
      <c r="C731" s="30"/>
      <c r="D731" s="30"/>
      <c r="E731" s="31"/>
      <c r="F731" s="32"/>
      <c r="G731" s="32"/>
      <c r="H731" s="32"/>
      <c r="I731" s="33"/>
    </row>
    <row r="732">
      <c r="A732" s="34"/>
      <c r="B732" s="35"/>
      <c r="C732" s="35"/>
      <c r="D732" s="35"/>
      <c r="E732" s="36"/>
      <c r="F732" s="37"/>
      <c r="G732" s="37"/>
      <c r="H732" s="37"/>
      <c r="I732" s="38"/>
    </row>
    <row r="733">
      <c r="A733" s="29"/>
      <c r="B733" s="30"/>
      <c r="C733" s="30"/>
      <c r="D733" s="30"/>
      <c r="E733" s="31"/>
      <c r="F733" s="32"/>
      <c r="G733" s="32"/>
      <c r="H733" s="32"/>
      <c r="I733" s="33"/>
    </row>
    <row r="734">
      <c r="A734" s="34"/>
      <c r="B734" s="35"/>
      <c r="C734" s="35"/>
      <c r="D734" s="35"/>
      <c r="E734" s="36"/>
      <c r="F734" s="37"/>
      <c r="G734" s="37"/>
      <c r="H734" s="37"/>
      <c r="I734" s="38"/>
    </row>
    <row r="735">
      <c r="A735" s="29"/>
      <c r="B735" s="30"/>
      <c r="C735" s="30"/>
      <c r="D735" s="30"/>
      <c r="E735" s="31"/>
      <c r="F735" s="32"/>
      <c r="G735" s="32"/>
      <c r="H735" s="32"/>
      <c r="I735" s="33"/>
    </row>
    <row r="736">
      <c r="A736" s="34"/>
      <c r="B736" s="35"/>
      <c r="C736" s="35"/>
      <c r="D736" s="35"/>
      <c r="E736" s="36"/>
      <c r="F736" s="37"/>
      <c r="G736" s="37"/>
      <c r="H736" s="37"/>
      <c r="I736" s="38"/>
    </row>
    <row r="737">
      <c r="A737" s="29"/>
      <c r="B737" s="30"/>
      <c r="C737" s="30"/>
      <c r="D737" s="30"/>
      <c r="E737" s="31"/>
      <c r="F737" s="32"/>
      <c r="G737" s="32"/>
      <c r="H737" s="32"/>
      <c r="I737" s="33"/>
    </row>
    <row r="738">
      <c r="A738" s="34"/>
      <c r="B738" s="35"/>
      <c r="C738" s="35"/>
      <c r="D738" s="35"/>
      <c r="E738" s="36"/>
      <c r="F738" s="37"/>
      <c r="G738" s="37"/>
      <c r="H738" s="37"/>
      <c r="I738" s="38"/>
    </row>
    <row r="739">
      <c r="A739" s="29"/>
      <c r="B739" s="30"/>
      <c r="C739" s="30"/>
      <c r="D739" s="30"/>
      <c r="E739" s="31"/>
      <c r="F739" s="32"/>
      <c r="G739" s="32"/>
      <c r="H739" s="32"/>
      <c r="I739" s="33"/>
    </row>
    <row r="740">
      <c r="A740" s="34"/>
      <c r="B740" s="35"/>
      <c r="C740" s="35"/>
      <c r="D740" s="35"/>
      <c r="E740" s="36"/>
      <c r="F740" s="37"/>
      <c r="G740" s="37"/>
      <c r="H740" s="37"/>
      <c r="I740" s="38"/>
    </row>
    <row r="741">
      <c r="A741" s="29"/>
      <c r="B741" s="30"/>
      <c r="C741" s="30"/>
      <c r="D741" s="30"/>
      <c r="E741" s="31"/>
      <c r="F741" s="32"/>
      <c r="G741" s="32"/>
      <c r="H741" s="32"/>
      <c r="I741" s="33"/>
    </row>
    <row r="742">
      <c r="A742" s="34"/>
      <c r="B742" s="35"/>
      <c r="C742" s="35"/>
      <c r="D742" s="35"/>
      <c r="E742" s="36"/>
      <c r="F742" s="37"/>
      <c r="G742" s="37"/>
      <c r="H742" s="37"/>
      <c r="I742" s="38"/>
    </row>
    <row r="743">
      <c r="A743" s="29"/>
      <c r="B743" s="30"/>
      <c r="C743" s="30"/>
      <c r="D743" s="30"/>
      <c r="E743" s="31"/>
      <c r="F743" s="32"/>
      <c r="G743" s="32"/>
      <c r="H743" s="32"/>
      <c r="I743" s="33"/>
    </row>
    <row r="744">
      <c r="A744" s="34"/>
      <c r="B744" s="35"/>
      <c r="C744" s="35"/>
      <c r="D744" s="35"/>
      <c r="E744" s="36"/>
      <c r="F744" s="37"/>
      <c r="G744" s="37"/>
      <c r="H744" s="37"/>
      <c r="I744" s="38"/>
    </row>
    <row r="745">
      <c r="A745" s="29"/>
      <c r="B745" s="30"/>
      <c r="C745" s="30"/>
      <c r="D745" s="30"/>
      <c r="E745" s="31"/>
      <c r="F745" s="32"/>
      <c r="G745" s="32"/>
      <c r="H745" s="32"/>
      <c r="I745" s="33"/>
    </row>
    <row r="746">
      <c r="A746" s="34"/>
      <c r="B746" s="35"/>
      <c r="C746" s="35"/>
      <c r="D746" s="35"/>
      <c r="E746" s="36"/>
      <c r="F746" s="37"/>
      <c r="G746" s="37"/>
      <c r="H746" s="37"/>
      <c r="I746" s="38"/>
    </row>
    <row r="747">
      <c r="A747" s="29"/>
      <c r="B747" s="30"/>
      <c r="C747" s="30"/>
      <c r="D747" s="30"/>
      <c r="E747" s="31"/>
      <c r="F747" s="32"/>
      <c r="G747" s="32"/>
      <c r="H747" s="32"/>
      <c r="I747" s="33"/>
    </row>
    <row r="748">
      <c r="A748" s="34"/>
      <c r="B748" s="35"/>
      <c r="C748" s="35"/>
      <c r="D748" s="35"/>
      <c r="E748" s="36"/>
      <c r="F748" s="37"/>
      <c r="G748" s="37"/>
      <c r="H748" s="37"/>
      <c r="I748" s="38"/>
    </row>
    <row r="749">
      <c r="A749" s="29"/>
      <c r="B749" s="30"/>
      <c r="C749" s="30"/>
      <c r="D749" s="30"/>
      <c r="E749" s="31"/>
      <c r="F749" s="32"/>
      <c r="G749" s="32"/>
      <c r="H749" s="32"/>
      <c r="I749" s="33"/>
    </row>
    <row r="750">
      <c r="A750" s="34"/>
      <c r="B750" s="35"/>
      <c r="C750" s="35"/>
      <c r="D750" s="35"/>
      <c r="E750" s="36"/>
      <c r="F750" s="37"/>
      <c r="G750" s="37"/>
      <c r="H750" s="37"/>
      <c r="I750" s="38"/>
    </row>
    <row r="751">
      <c r="A751" s="29"/>
      <c r="B751" s="30"/>
      <c r="C751" s="30"/>
      <c r="D751" s="30"/>
      <c r="E751" s="31"/>
      <c r="F751" s="32"/>
      <c r="G751" s="32"/>
      <c r="H751" s="32"/>
      <c r="I751" s="33"/>
    </row>
    <row r="752">
      <c r="A752" s="34"/>
      <c r="B752" s="35"/>
      <c r="C752" s="35"/>
      <c r="D752" s="35"/>
      <c r="E752" s="36"/>
      <c r="F752" s="37"/>
      <c r="G752" s="37"/>
      <c r="H752" s="37"/>
      <c r="I752" s="38"/>
    </row>
    <row r="753">
      <c r="A753" s="29"/>
      <c r="B753" s="30"/>
      <c r="C753" s="30"/>
      <c r="D753" s="30"/>
      <c r="E753" s="31"/>
      <c r="F753" s="32"/>
      <c r="G753" s="32"/>
      <c r="H753" s="32"/>
      <c r="I753" s="33"/>
    </row>
    <row r="754">
      <c r="A754" s="34"/>
      <c r="B754" s="35"/>
      <c r="C754" s="35"/>
      <c r="D754" s="35"/>
      <c r="E754" s="36"/>
      <c r="F754" s="37"/>
      <c r="G754" s="37"/>
      <c r="H754" s="37"/>
      <c r="I754" s="38"/>
    </row>
    <row r="755">
      <c r="A755" s="29"/>
      <c r="B755" s="30"/>
      <c r="C755" s="30"/>
      <c r="D755" s="30"/>
      <c r="E755" s="31"/>
      <c r="F755" s="32"/>
      <c r="G755" s="32"/>
      <c r="H755" s="32"/>
      <c r="I755" s="33"/>
    </row>
    <row r="756">
      <c r="A756" s="34"/>
      <c r="B756" s="35"/>
      <c r="C756" s="35"/>
      <c r="D756" s="35"/>
      <c r="E756" s="36"/>
      <c r="F756" s="37"/>
      <c r="G756" s="37"/>
      <c r="H756" s="37"/>
      <c r="I756" s="38"/>
    </row>
    <row r="757">
      <c r="A757" s="29"/>
      <c r="B757" s="30"/>
      <c r="C757" s="30"/>
      <c r="D757" s="30"/>
      <c r="E757" s="31"/>
      <c r="F757" s="32"/>
      <c r="G757" s="32"/>
      <c r="H757" s="32"/>
      <c r="I757" s="33"/>
    </row>
    <row r="758">
      <c r="A758" s="34"/>
      <c r="B758" s="35"/>
      <c r="C758" s="35"/>
      <c r="D758" s="35"/>
      <c r="E758" s="36"/>
      <c r="F758" s="37"/>
      <c r="G758" s="37"/>
      <c r="H758" s="37"/>
      <c r="I758" s="38"/>
    </row>
    <row r="759">
      <c r="A759" s="29"/>
      <c r="B759" s="30"/>
      <c r="C759" s="30"/>
      <c r="D759" s="30"/>
      <c r="E759" s="31"/>
      <c r="F759" s="32"/>
      <c r="G759" s="32"/>
      <c r="H759" s="32"/>
      <c r="I759" s="33"/>
    </row>
    <row r="760">
      <c r="A760" s="34"/>
      <c r="B760" s="35"/>
      <c r="C760" s="35"/>
      <c r="D760" s="35"/>
      <c r="E760" s="36"/>
      <c r="F760" s="37"/>
      <c r="G760" s="37"/>
      <c r="H760" s="37"/>
      <c r="I760" s="38"/>
    </row>
    <row r="761">
      <c r="A761" s="29"/>
      <c r="B761" s="30"/>
      <c r="C761" s="30"/>
      <c r="D761" s="30"/>
      <c r="E761" s="31"/>
      <c r="F761" s="32"/>
      <c r="G761" s="32"/>
      <c r="H761" s="32"/>
      <c r="I761" s="33"/>
    </row>
    <row r="762">
      <c r="A762" s="34"/>
      <c r="B762" s="35"/>
      <c r="C762" s="35"/>
      <c r="D762" s="35"/>
      <c r="E762" s="36"/>
      <c r="F762" s="37"/>
      <c r="G762" s="37"/>
      <c r="H762" s="37"/>
      <c r="I762" s="38"/>
    </row>
    <row r="763">
      <c r="A763" s="29"/>
      <c r="B763" s="30"/>
      <c r="C763" s="30"/>
      <c r="D763" s="30"/>
      <c r="E763" s="31"/>
      <c r="F763" s="32"/>
      <c r="G763" s="32"/>
      <c r="H763" s="32"/>
      <c r="I763" s="33"/>
    </row>
    <row r="764">
      <c r="A764" s="34"/>
      <c r="B764" s="35"/>
      <c r="C764" s="35"/>
      <c r="D764" s="35"/>
      <c r="E764" s="36"/>
      <c r="F764" s="37"/>
      <c r="G764" s="37"/>
      <c r="H764" s="37"/>
      <c r="I764" s="38"/>
    </row>
    <row r="765">
      <c r="A765" s="29"/>
      <c r="B765" s="30"/>
      <c r="C765" s="30"/>
      <c r="D765" s="30"/>
      <c r="E765" s="31"/>
      <c r="F765" s="32"/>
      <c r="G765" s="32"/>
      <c r="H765" s="32"/>
      <c r="I765" s="33"/>
    </row>
    <row r="766">
      <c r="A766" s="34"/>
      <c r="B766" s="35"/>
      <c r="C766" s="35"/>
      <c r="D766" s="35"/>
      <c r="E766" s="36"/>
      <c r="F766" s="37"/>
      <c r="G766" s="37"/>
      <c r="H766" s="37"/>
      <c r="I766" s="38"/>
    </row>
    <row r="767">
      <c r="A767" s="29"/>
      <c r="B767" s="30"/>
      <c r="C767" s="30"/>
      <c r="D767" s="30"/>
      <c r="E767" s="31"/>
      <c r="F767" s="32"/>
      <c r="G767" s="32"/>
      <c r="H767" s="32"/>
      <c r="I767" s="33"/>
    </row>
    <row r="768">
      <c r="A768" s="34"/>
      <c r="B768" s="35"/>
      <c r="C768" s="35"/>
      <c r="D768" s="35"/>
      <c r="E768" s="36"/>
      <c r="F768" s="37"/>
      <c r="G768" s="37"/>
      <c r="H768" s="37"/>
      <c r="I768" s="38"/>
    </row>
    <row r="769">
      <c r="A769" s="29"/>
      <c r="B769" s="30"/>
      <c r="C769" s="30"/>
      <c r="D769" s="30"/>
      <c r="E769" s="31"/>
      <c r="F769" s="32"/>
      <c r="G769" s="32"/>
      <c r="H769" s="32"/>
      <c r="I769" s="33"/>
    </row>
    <row r="770">
      <c r="A770" s="34"/>
      <c r="B770" s="35"/>
      <c r="C770" s="35"/>
      <c r="D770" s="35"/>
      <c r="E770" s="36"/>
      <c r="F770" s="37"/>
      <c r="G770" s="37"/>
      <c r="H770" s="37"/>
      <c r="I770" s="38"/>
    </row>
    <row r="771">
      <c r="A771" s="29"/>
      <c r="B771" s="30"/>
      <c r="C771" s="30"/>
      <c r="D771" s="30"/>
      <c r="E771" s="31"/>
      <c r="F771" s="32"/>
      <c r="G771" s="32"/>
      <c r="H771" s="32"/>
      <c r="I771" s="33"/>
    </row>
    <row r="772">
      <c r="A772" s="34"/>
      <c r="B772" s="35"/>
      <c r="C772" s="35"/>
      <c r="D772" s="35"/>
      <c r="E772" s="36"/>
      <c r="F772" s="37"/>
      <c r="G772" s="37"/>
      <c r="H772" s="37"/>
      <c r="I772" s="38"/>
    </row>
    <row r="773">
      <c r="A773" s="29"/>
      <c r="B773" s="30"/>
      <c r="C773" s="30"/>
      <c r="D773" s="30"/>
      <c r="E773" s="31"/>
      <c r="F773" s="32"/>
      <c r="G773" s="32"/>
      <c r="H773" s="32"/>
      <c r="I773" s="33"/>
    </row>
    <row r="774">
      <c r="A774" s="34"/>
      <c r="B774" s="35"/>
      <c r="C774" s="35"/>
      <c r="D774" s="35"/>
      <c r="E774" s="36"/>
      <c r="F774" s="37"/>
      <c r="G774" s="37"/>
      <c r="H774" s="37"/>
      <c r="I774" s="38"/>
    </row>
    <row r="775">
      <c r="A775" s="29"/>
      <c r="B775" s="30"/>
      <c r="C775" s="30"/>
      <c r="D775" s="30"/>
      <c r="E775" s="31"/>
      <c r="F775" s="32"/>
      <c r="G775" s="32"/>
      <c r="H775" s="32"/>
      <c r="I775" s="33"/>
    </row>
    <row r="776">
      <c r="A776" s="34"/>
      <c r="B776" s="35"/>
      <c r="C776" s="35"/>
      <c r="D776" s="35"/>
      <c r="E776" s="36"/>
      <c r="F776" s="37"/>
      <c r="G776" s="37"/>
      <c r="H776" s="37"/>
      <c r="I776" s="38"/>
    </row>
    <row r="777">
      <c r="A777" s="29"/>
      <c r="B777" s="30"/>
      <c r="C777" s="30"/>
      <c r="D777" s="30"/>
      <c r="E777" s="31"/>
      <c r="F777" s="32"/>
      <c r="G777" s="32"/>
      <c r="H777" s="32"/>
      <c r="I777" s="33"/>
    </row>
    <row r="778">
      <c r="A778" s="34"/>
      <c r="B778" s="35"/>
      <c r="C778" s="35"/>
      <c r="D778" s="35"/>
      <c r="E778" s="36"/>
      <c r="F778" s="37"/>
      <c r="G778" s="37"/>
      <c r="H778" s="37"/>
      <c r="I778" s="38"/>
    </row>
    <row r="779">
      <c r="A779" s="29"/>
      <c r="B779" s="30"/>
      <c r="C779" s="30"/>
      <c r="D779" s="30"/>
      <c r="E779" s="31"/>
      <c r="F779" s="32"/>
      <c r="G779" s="32"/>
      <c r="H779" s="32"/>
      <c r="I779" s="33"/>
    </row>
    <row r="780">
      <c r="A780" s="34"/>
      <c r="B780" s="35"/>
      <c r="C780" s="35"/>
      <c r="D780" s="35"/>
      <c r="E780" s="36"/>
      <c r="F780" s="37"/>
      <c r="G780" s="37"/>
      <c r="H780" s="37"/>
      <c r="I780" s="38"/>
    </row>
    <row r="781">
      <c r="A781" s="29"/>
      <c r="B781" s="30"/>
      <c r="C781" s="30"/>
      <c r="D781" s="30"/>
      <c r="E781" s="31"/>
      <c r="F781" s="32"/>
      <c r="G781" s="32"/>
      <c r="H781" s="32"/>
      <c r="I781" s="33"/>
    </row>
    <row r="782">
      <c r="A782" s="34"/>
      <c r="B782" s="35"/>
      <c r="C782" s="35"/>
      <c r="D782" s="35"/>
      <c r="E782" s="36"/>
      <c r="F782" s="37"/>
      <c r="G782" s="37"/>
      <c r="H782" s="37"/>
      <c r="I782" s="38"/>
    </row>
    <row r="783">
      <c r="A783" s="29"/>
      <c r="B783" s="30"/>
      <c r="C783" s="30"/>
      <c r="D783" s="30"/>
      <c r="E783" s="31"/>
      <c r="F783" s="32"/>
      <c r="G783" s="32"/>
      <c r="H783" s="32"/>
      <c r="I783" s="33"/>
    </row>
    <row r="784">
      <c r="A784" s="34"/>
      <c r="B784" s="35"/>
      <c r="C784" s="35"/>
      <c r="D784" s="35"/>
      <c r="E784" s="36"/>
      <c r="F784" s="37"/>
      <c r="G784" s="37"/>
      <c r="H784" s="37"/>
      <c r="I784" s="38"/>
    </row>
    <row r="785">
      <c r="A785" s="29"/>
      <c r="B785" s="30"/>
      <c r="C785" s="30"/>
      <c r="D785" s="30"/>
      <c r="E785" s="31"/>
      <c r="F785" s="32"/>
      <c r="G785" s="32"/>
      <c r="H785" s="32"/>
      <c r="I785" s="33"/>
    </row>
    <row r="786">
      <c r="A786" s="34"/>
      <c r="B786" s="35"/>
      <c r="C786" s="35"/>
      <c r="D786" s="35"/>
      <c r="E786" s="36"/>
      <c r="F786" s="37"/>
      <c r="G786" s="37"/>
      <c r="H786" s="37"/>
      <c r="I786" s="38"/>
    </row>
    <row r="787">
      <c r="A787" s="29"/>
      <c r="B787" s="30"/>
      <c r="C787" s="30"/>
      <c r="D787" s="30"/>
      <c r="E787" s="31"/>
      <c r="F787" s="32"/>
      <c r="G787" s="32"/>
      <c r="H787" s="32"/>
      <c r="I787" s="33"/>
    </row>
    <row r="788">
      <c r="A788" s="34"/>
      <c r="B788" s="35"/>
      <c r="C788" s="35"/>
      <c r="D788" s="35"/>
      <c r="E788" s="36"/>
      <c r="F788" s="37"/>
      <c r="G788" s="37"/>
      <c r="H788" s="37"/>
      <c r="I788" s="38"/>
    </row>
    <row r="789">
      <c r="A789" s="29"/>
      <c r="B789" s="30"/>
      <c r="C789" s="30"/>
      <c r="D789" s="30"/>
      <c r="E789" s="31"/>
      <c r="F789" s="32"/>
      <c r="G789" s="32"/>
      <c r="H789" s="32"/>
      <c r="I789" s="33"/>
    </row>
    <row r="790">
      <c r="A790" s="34"/>
      <c r="B790" s="35"/>
      <c r="C790" s="35"/>
      <c r="D790" s="35"/>
      <c r="E790" s="36"/>
      <c r="F790" s="37"/>
      <c r="G790" s="37"/>
      <c r="H790" s="37"/>
      <c r="I790" s="38"/>
    </row>
    <row r="791">
      <c r="A791" s="29"/>
      <c r="B791" s="30"/>
      <c r="C791" s="30"/>
      <c r="D791" s="30"/>
      <c r="E791" s="31"/>
      <c r="F791" s="32"/>
      <c r="G791" s="32"/>
      <c r="H791" s="32"/>
      <c r="I791" s="33"/>
    </row>
    <row r="792">
      <c r="A792" s="34"/>
      <c r="B792" s="35"/>
      <c r="C792" s="35"/>
      <c r="D792" s="35"/>
      <c r="E792" s="36"/>
      <c r="F792" s="37"/>
      <c r="G792" s="37"/>
      <c r="H792" s="37"/>
      <c r="I792" s="38"/>
    </row>
    <row r="793">
      <c r="A793" s="29"/>
      <c r="B793" s="30"/>
      <c r="C793" s="30"/>
      <c r="D793" s="30"/>
      <c r="E793" s="31"/>
      <c r="F793" s="32"/>
      <c r="G793" s="32"/>
      <c r="H793" s="32"/>
      <c r="I793" s="33"/>
    </row>
    <row r="794">
      <c r="A794" s="34"/>
      <c r="B794" s="35"/>
      <c r="C794" s="35"/>
      <c r="D794" s="35"/>
      <c r="E794" s="36"/>
      <c r="F794" s="37"/>
      <c r="G794" s="37"/>
      <c r="H794" s="37"/>
      <c r="I794" s="38"/>
    </row>
    <row r="795">
      <c r="A795" s="29"/>
      <c r="B795" s="30"/>
      <c r="C795" s="30"/>
      <c r="D795" s="30"/>
      <c r="E795" s="31"/>
      <c r="F795" s="32"/>
      <c r="G795" s="32"/>
      <c r="H795" s="32"/>
      <c r="I795" s="33"/>
    </row>
    <row r="796">
      <c r="A796" s="34"/>
      <c r="B796" s="35"/>
      <c r="C796" s="35"/>
      <c r="D796" s="35"/>
      <c r="E796" s="36"/>
      <c r="F796" s="37"/>
      <c r="G796" s="37"/>
      <c r="H796" s="37"/>
      <c r="I796" s="38"/>
    </row>
    <row r="797">
      <c r="A797" s="29"/>
      <c r="B797" s="30"/>
      <c r="C797" s="30"/>
      <c r="D797" s="30"/>
      <c r="E797" s="31"/>
      <c r="F797" s="32"/>
      <c r="G797" s="32"/>
      <c r="H797" s="32"/>
      <c r="I797" s="33"/>
    </row>
    <row r="798">
      <c r="A798" s="34"/>
      <c r="B798" s="35"/>
      <c r="C798" s="35"/>
      <c r="D798" s="35"/>
      <c r="E798" s="36"/>
      <c r="F798" s="37"/>
      <c r="G798" s="37"/>
      <c r="H798" s="37"/>
      <c r="I798" s="38"/>
    </row>
    <row r="799">
      <c r="A799" s="29"/>
      <c r="B799" s="30"/>
      <c r="C799" s="30"/>
      <c r="D799" s="30"/>
      <c r="E799" s="31"/>
      <c r="F799" s="32"/>
      <c r="G799" s="32"/>
      <c r="H799" s="32"/>
      <c r="I799" s="33"/>
    </row>
    <row r="800">
      <c r="A800" s="34"/>
      <c r="B800" s="35"/>
      <c r="C800" s="35"/>
      <c r="D800" s="35"/>
      <c r="E800" s="36"/>
      <c r="F800" s="37"/>
      <c r="G800" s="37"/>
      <c r="H800" s="37"/>
      <c r="I800" s="38"/>
    </row>
    <row r="801">
      <c r="A801" s="29"/>
      <c r="B801" s="30"/>
      <c r="C801" s="30"/>
      <c r="D801" s="30"/>
      <c r="E801" s="31"/>
      <c r="F801" s="32"/>
      <c r="G801" s="32"/>
      <c r="H801" s="32"/>
      <c r="I801" s="33"/>
    </row>
    <row r="802">
      <c r="A802" s="34"/>
      <c r="B802" s="35"/>
      <c r="C802" s="35"/>
      <c r="D802" s="35"/>
      <c r="E802" s="36"/>
      <c r="F802" s="37"/>
      <c r="G802" s="37"/>
      <c r="H802" s="37"/>
      <c r="I802" s="38"/>
    </row>
    <row r="803">
      <c r="A803" s="29"/>
      <c r="B803" s="30"/>
      <c r="C803" s="30"/>
      <c r="D803" s="30"/>
      <c r="E803" s="31"/>
      <c r="F803" s="32"/>
      <c r="G803" s="32"/>
      <c r="H803" s="32"/>
      <c r="I803" s="33"/>
    </row>
    <row r="804">
      <c r="A804" s="34"/>
      <c r="B804" s="35"/>
      <c r="C804" s="35"/>
      <c r="D804" s="35"/>
      <c r="E804" s="36"/>
      <c r="F804" s="37"/>
      <c r="G804" s="37"/>
      <c r="H804" s="37"/>
      <c r="I804" s="38"/>
    </row>
    <row r="805">
      <c r="A805" s="29"/>
      <c r="B805" s="30"/>
      <c r="C805" s="30"/>
      <c r="D805" s="30"/>
      <c r="E805" s="31"/>
      <c r="F805" s="32"/>
      <c r="G805" s="32"/>
      <c r="H805" s="32"/>
      <c r="I805" s="33"/>
    </row>
    <row r="806">
      <c r="A806" s="34"/>
      <c r="B806" s="35"/>
      <c r="C806" s="35"/>
      <c r="D806" s="35"/>
      <c r="E806" s="36"/>
      <c r="F806" s="37"/>
      <c r="G806" s="37"/>
      <c r="H806" s="37"/>
      <c r="I806" s="38"/>
    </row>
    <row r="807">
      <c r="A807" s="29"/>
      <c r="B807" s="30"/>
      <c r="C807" s="30"/>
      <c r="D807" s="30"/>
      <c r="E807" s="31"/>
      <c r="F807" s="32"/>
      <c r="G807" s="32"/>
      <c r="H807" s="32"/>
      <c r="I807" s="33"/>
    </row>
    <row r="808">
      <c r="A808" s="34"/>
      <c r="B808" s="35"/>
      <c r="C808" s="35"/>
      <c r="D808" s="35"/>
      <c r="E808" s="36"/>
      <c r="F808" s="37"/>
      <c r="G808" s="37"/>
      <c r="H808" s="37"/>
      <c r="I808" s="38"/>
    </row>
    <row r="809">
      <c r="A809" s="29"/>
      <c r="B809" s="30"/>
      <c r="C809" s="30"/>
      <c r="D809" s="30"/>
      <c r="E809" s="31"/>
      <c r="F809" s="32"/>
      <c r="G809" s="32"/>
      <c r="H809" s="32"/>
      <c r="I809" s="33"/>
    </row>
    <row r="810">
      <c r="A810" s="34"/>
      <c r="B810" s="35"/>
      <c r="C810" s="35"/>
      <c r="D810" s="35"/>
      <c r="E810" s="36"/>
      <c r="F810" s="37"/>
      <c r="G810" s="37"/>
      <c r="H810" s="37"/>
      <c r="I810" s="38"/>
    </row>
    <row r="811">
      <c r="A811" s="29"/>
      <c r="B811" s="30"/>
      <c r="C811" s="30"/>
      <c r="D811" s="30"/>
      <c r="E811" s="31"/>
      <c r="F811" s="32"/>
      <c r="G811" s="32"/>
      <c r="H811" s="32"/>
      <c r="I811" s="33"/>
    </row>
    <row r="812">
      <c r="A812" s="34"/>
      <c r="B812" s="35"/>
      <c r="C812" s="35"/>
      <c r="D812" s="35"/>
      <c r="E812" s="36"/>
      <c r="F812" s="37"/>
      <c r="G812" s="37"/>
      <c r="H812" s="37"/>
      <c r="I812" s="38"/>
    </row>
    <row r="813">
      <c r="A813" s="29"/>
      <c r="B813" s="30"/>
      <c r="C813" s="30"/>
      <c r="D813" s="30"/>
      <c r="E813" s="31"/>
      <c r="F813" s="32"/>
      <c r="G813" s="32"/>
      <c r="H813" s="32"/>
      <c r="I813" s="33"/>
    </row>
    <row r="814">
      <c r="A814" s="34"/>
      <c r="B814" s="35"/>
      <c r="C814" s="35"/>
      <c r="D814" s="35"/>
      <c r="E814" s="36"/>
      <c r="F814" s="37"/>
      <c r="G814" s="37"/>
      <c r="H814" s="37"/>
      <c r="I814" s="38"/>
    </row>
    <row r="815">
      <c r="A815" s="29"/>
      <c r="B815" s="30"/>
      <c r="C815" s="30"/>
      <c r="D815" s="30"/>
      <c r="E815" s="31"/>
      <c r="F815" s="32"/>
      <c r="G815" s="32"/>
      <c r="H815" s="32"/>
      <c r="I815" s="33"/>
    </row>
    <row r="816">
      <c r="A816" s="34"/>
      <c r="B816" s="35"/>
      <c r="C816" s="35"/>
      <c r="D816" s="35"/>
      <c r="E816" s="36"/>
      <c r="F816" s="37"/>
      <c r="G816" s="37"/>
      <c r="H816" s="37"/>
      <c r="I816" s="38"/>
    </row>
    <row r="817">
      <c r="A817" s="29"/>
      <c r="B817" s="30"/>
      <c r="C817" s="30"/>
      <c r="D817" s="30"/>
      <c r="E817" s="31"/>
      <c r="F817" s="32"/>
      <c r="G817" s="32"/>
      <c r="H817" s="32"/>
      <c r="I817" s="33"/>
    </row>
    <row r="818">
      <c r="A818" s="34"/>
      <c r="B818" s="35"/>
      <c r="C818" s="35"/>
      <c r="D818" s="35"/>
      <c r="E818" s="36"/>
      <c r="F818" s="37"/>
      <c r="G818" s="37"/>
      <c r="H818" s="37"/>
      <c r="I818" s="38"/>
    </row>
    <row r="819">
      <c r="A819" s="29"/>
      <c r="B819" s="30"/>
      <c r="C819" s="30"/>
      <c r="D819" s="30"/>
      <c r="E819" s="31"/>
      <c r="F819" s="32"/>
      <c r="G819" s="32"/>
      <c r="H819" s="32"/>
      <c r="I819" s="33"/>
    </row>
    <row r="820">
      <c r="A820" s="34"/>
      <c r="B820" s="35"/>
      <c r="C820" s="35"/>
      <c r="D820" s="35"/>
      <c r="E820" s="36"/>
      <c r="F820" s="37"/>
      <c r="G820" s="37"/>
      <c r="H820" s="37"/>
      <c r="I820" s="38"/>
    </row>
    <row r="821">
      <c r="A821" s="29"/>
      <c r="B821" s="30"/>
      <c r="C821" s="30"/>
      <c r="D821" s="30"/>
      <c r="E821" s="31"/>
      <c r="F821" s="32"/>
      <c r="G821" s="32"/>
      <c r="H821" s="32"/>
      <c r="I821" s="33"/>
    </row>
    <row r="822">
      <c r="A822" s="34"/>
      <c r="B822" s="35"/>
      <c r="C822" s="35"/>
      <c r="D822" s="35"/>
      <c r="E822" s="36"/>
      <c r="F822" s="37"/>
      <c r="G822" s="37"/>
      <c r="H822" s="37"/>
      <c r="I822" s="38"/>
    </row>
    <row r="823">
      <c r="A823" s="29"/>
      <c r="B823" s="30"/>
      <c r="C823" s="30"/>
      <c r="D823" s="30"/>
      <c r="E823" s="31"/>
      <c r="F823" s="32"/>
      <c r="G823" s="32"/>
      <c r="H823" s="32"/>
      <c r="I823" s="33"/>
    </row>
    <row r="824">
      <c r="A824" s="34"/>
      <c r="B824" s="35"/>
      <c r="C824" s="35"/>
      <c r="D824" s="35"/>
      <c r="E824" s="36"/>
      <c r="F824" s="37"/>
      <c r="G824" s="37"/>
      <c r="H824" s="37"/>
      <c r="I824" s="38"/>
    </row>
    <row r="825">
      <c r="A825" s="29"/>
      <c r="B825" s="30"/>
      <c r="C825" s="30"/>
      <c r="D825" s="30"/>
      <c r="E825" s="31"/>
      <c r="F825" s="32"/>
      <c r="G825" s="32"/>
      <c r="H825" s="32"/>
      <c r="I825" s="33"/>
    </row>
    <row r="826">
      <c r="A826" s="34"/>
      <c r="B826" s="35"/>
      <c r="C826" s="35"/>
      <c r="D826" s="35"/>
      <c r="E826" s="36"/>
      <c r="F826" s="37"/>
      <c r="G826" s="37"/>
      <c r="H826" s="37"/>
      <c r="I826" s="38"/>
    </row>
    <row r="827">
      <c r="A827" s="29"/>
      <c r="B827" s="30"/>
      <c r="C827" s="30"/>
      <c r="D827" s="30"/>
      <c r="E827" s="31"/>
      <c r="F827" s="32"/>
      <c r="G827" s="32"/>
      <c r="H827" s="32"/>
      <c r="I827" s="33"/>
    </row>
    <row r="828">
      <c r="A828" s="34"/>
      <c r="B828" s="35"/>
      <c r="C828" s="35"/>
      <c r="D828" s="35"/>
      <c r="E828" s="36"/>
      <c r="F828" s="37"/>
      <c r="G828" s="37"/>
      <c r="H828" s="37"/>
      <c r="I828" s="38"/>
    </row>
    <row r="829">
      <c r="A829" s="29"/>
      <c r="B829" s="30"/>
      <c r="C829" s="30"/>
      <c r="D829" s="30"/>
      <c r="E829" s="31"/>
      <c r="F829" s="32"/>
      <c r="G829" s="32"/>
      <c r="H829" s="32"/>
      <c r="I829" s="33"/>
    </row>
    <row r="830">
      <c r="A830" s="34"/>
      <c r="B830" s="35"/>
      <c r="C830" s="35"/>
      <c r="D830" s="35"/>
      <c r="E830" s="36"/>
      <c r="F830" s="37"/>
      <c r="G830" s="37"/>
      <c r="H830" s="37"/>
      <c r="I830" s="38"/>
    </row>
    <row r="831">
      <c r="A831" s="29"/>
      <c r="B831" s="30"/>
      <c r="C831" s="30"/>
      <c r="D831" s="30"/>
      <c r="E831" s="31"/>
      <c r="F831" s="32"/>
      <c r="G831" s="32"/>
      <c r="H831" s="32"/>
      <c r="I831" s="33"/>
    </row>
    <row r="832">
      <c r="A832" s="34"/>
      <c r="B832" s="35"/>
      <c r="C832" s="35"/>
      <c r="D832" s="35"/>
      <c r="E832" s="36"/>
      <c r="F832" s="37"/>
      <c r="G832" s="37"/>
      <c r="H832" s="37"/>
      <c r="I832" s="38"/>
    </row>
    <row r="833">
      <c r="A833" s="29"/>
      <c r="B833" s="30"/>
      <c r="C833" s="30"/>
      <c r="D833" s="30"/>
      <c r="E833" s="31"/>
      <c r="F833" s="32"/>
      <c r="G833" s="32"/>
      <c r="H833" s="32"/>
      <c r="I833" s="33"/>
    </row>
    <row r="834">
      <c r="A834" s="34"/>
      <c r="B834" s="35"/>
      <c r="C834" s="35"/>
      <c r="D834" s="35"/>
      <c r="E834" s="36"/>
      <c r="F834" s="37"/>
      <c r="G834" s="37"/>
      <c r="H834" s="37"/>
      <c r="I834" s="38"/>
    </row>
    <row r="835">
      <c r="A835" s="29"/>
      <c r="B835" s="30"/>
      <c r="C835" s="30"/>
      <c r="D835" s="30"/>
      <c r="E835" s="31"/>
      <c r="F835" s="32"/>
      <c r="G835" s="32"/>
      <c r="H835" s="32"/>
      <c r="I835" s="33"/>
    </row>
    <row r="836">
      <c r="A836" s="34"/>
      <c r="B836" s="35"/>
      <c r="C836" s="35"/>
      <c r="D836" s="35"/>
      <c r="E836" s="36"/>
      <c r="F836" s="37"/>
      <c r="G836" s="37"/>
      <c r="H836" s="37"/>
      <c r="I836" s="38"/>
    </row>
    <row r="837">
      <c r="A837" s="29"/>
      <c r="B837" s="30"/>
      <c r="C837" s="30"/>
      <c r="D837" s="30"/>
      <c r="E837" s="31"/>
      <c r="F837" s="32"/>
      <c r="G837" s="32"/>
      <c r="H837" s="32"/>
      <c r="I837" s="33"/>
    </row>
    <row r="838">
      <c r="A838" s="34"/>
      <c r="B838" s="35"/>
      <c r="C838" s="35"/>
      <c r="D838" s="35"/>
      <c r="E838" s="36"/>
      <c r="F838" s="37"/>
      <c r="G838" s="37"/>
      <c r="H838" s="37"/>
      <c r="I838" s="38"/>
    </row>
    <row r="839">
      <c r="A839" s="29"/>
      <c r="B839" s="30"/>
      <c r="C839" s="30"/>
      <c r="D839" s="30"/>
      <c r="E839" s="31"/>
      <c r="F839" s="32"/>
      <c r="G839" s="32"/>
      <c r="H839" s="32"/>
      <c r="I839" s="33"/>
    </row>
    <row r="840">
      <c r="A840" s="34"/>
      <c r="B840" s="35"/>
      <c r="C840" s="35"/>
      <c r="D840" s="35"/>
      <c r="E840" s="36"/>
      <c r="F840" s="37"/>
      <c r="G840" s="37"/>
      <c r="H840" s="37"/>
      <c r="I840" s="38"/>
    </row>
    <row r="841">
      <c r="A841" s="29"/>
      <c r="B841" s="30"/>
      <c r="C841" s="30"/>
      <c r="D841" s="30"/>
      <c r="E841" s="31"/>
      <c r="F841" s="32"/>
      <c r="G841" s="32"/>
      <c r="H841" s="32"/>
      <c r="I841" s="33"/>
    </row>
    <row r="842">
      <c r="A842" s="34"/>
      <c r="B842" s="35"/>
      <c r="C842" s="35"/>
      <c r="D842" s="35"/>
      <c r="E842" s="36"/>
      <c r="F842" s="37"/>
      <c r="G842" s="37"/>
      <c r="H842" s="37"/>
      <c r="I842" s="38"/>
    </row>
    <row r="843">
      <c r="A843" s="29"/>
      <c r="B843" s="30"/>
      <c r="C843" s="30"/>
      <c r="D843" s="30"/>
      <c r="E843" s="31"/>
      <c r="F843" s="32"/>
      <c r="G843" s="32"/>
      <c r="H843" s="32"/>
      <c r="I843" s="33"/>
    </row>
    <row r="844">
      <c r="A844" s="34"/>
      <c r="B844" s="35"/>
      <c r="C844" s="35"/>
      <c r="D844" s="35"/>
      <c r="E844" s="36"/>
      <c r="F844" s="37"/>
      <c r="G844" s="37"/>
      <c r="H844" s="37"/>
      <c r="I844" s="38"/>
    </row>
    <row r="845">
      <c r="A845" s="29"/>
      <c r="B845" s="30"/>
      <c r="C845" s="30"/>
      <c r="D845" s="30"/>
      <c r="E845" s="31"/>
      <c r="F845" s="32"/>
      <c r="G845" s="32"/>
      <c r="H845" s="32"/>
      <c r="I845" s="33"/>
    </row>
    <row r="846">
      <c r="A846" s="34"/>
      <c r="B846" s="35"/>
      <c r="C846" s="35"/>
      <c r="D846" s="35"/>
      <c r="E846" s="36"/>
      <c r="F846" s="37"/>
      <c r="G846" s="37"/>
      <c r="H846" s="37"/>
      <c r="I846" s="38"/>
    </row>
    <row r="847">
      <c r="A847" s="29"/>
      <c r="B847" s="30"/>
      <c r="C847" s="30"/>
      <c r="D847" s="30"/>
      <c r="E847" s="31"/>
      <c r="F847" s="32"/>
      <c r="G847" s="32"/>
      <c r="H847" s="32"/>
      <c r="I847" s="33"/>
    </row>
    <row r="848">
      <c r="A848" s="34"/>
      <c r="B848" s="35"/>
      <c r="C848" s="35"/>
      <c r="D848" s="35"/>
      <c r="E848" s="36"/>
      <c r="F848" s="37"/>
      <c r="G848" s="37"/>
      <c r="H848" s="37"/>
      <c r="I848" s="38"/>
    </row>
    <row r="849">
      <c r="A849" s="29"/>
      <c r="B849" s="30"/>
      <c r="C849" s="30"/>
      <c r="D849" s="30"/>
      <c r="E849" s="31"/>
      <c r="F849" s="32"/>
      <c r="G849" s="32"/>
      <c r="H849" s="32"/>
      <c r="I849" s="33"/>
    </row>
    <row r="850">
      <c r="A850" s="34"/>
      <c r="B850" s="35"/>
      <c r="C850" s="35"/>
      <c r="D850" s="35"/>
      <c r="E850" s="36"/>
      <c r="F850" s="37"/>
      <c r="G850" s="37"/>
      <c r="H850" s="37"/>
      <c r="I850" s="38"/>
    </row>
    <row r="851">
      <c r="A851" s="29"/>
      <c r="B851" s="30"/>
      <c r="C851" s="30"/>
      <c r="D851" s="30"/>
      <c r="E851" s="31"/>
      <c r="F851" s="32"/>
      <c r="G851" s="32"/>
      <c r="H851" s="32"/>
      <c r="I851" s="33"/>
    </row>
    <row r="852">
      <c r="A852" s="34"/>
      <c r="B852" s="35"/>
      <c r="C852" s="35"/>
      <c r="D852" s="35"/>
      <c r="E852" s="36"/>
      <c r="F852" s="37"/>
      <c r="G852" s="37"/>
      <c r="H852" s="37"/>
      <c r="I852" s="38"/>
    </row>
    <row r="853">
      <c r="A853" s="29"/>
      <c r="B853" s="30"/>
      <c r="C853" s="30"/>
      <c r="D853" s="30"/>
      <c r="E853" s="31"/>
      <c r="F853" s="32"/>
      <c r="G853" s="32"/>
      <c r="H853" s="32"/>
      <c r="I853" s="33"/>
    </row>
    <row r="854">
      <c r="A854" s="34"/>
      <c r="B854" s="35"/>
      <c r="C854" s="35"/>
      <c r="D854" s="35"/>
      <c r="E854" s="36"/>
      <c r="F854" s="37"/>
      <c r="G854" s="37"/>
      <c r="H854" s="37"/>
      <c r="I854" s="38"/>
    </row>
    <row r="855">
      <c r="A855" s="29"/>
      <c r="B855" s="30"/>
      <c r="C855" s="30"/>
      <c r="D855" s="30"/>
      <c r="E855" s="31"/>
      <c r="F855" s="32"/>
      <c r="G855" s="32"/>
      <c r="H855" s="32"/>
      <c r="I855" s="33"/>
    </row>
    <row r="856">
      <c r="A856" s="34"/>
      <c r="B856" s="35"/>
      <c r="C856" s="35"/>
      <c r="D856" s="35"/>
      <c r="E856" s="36"/>
      <c r="F856" s="37"/>
      <c r="G856" s="37"/>
      <c r="H856" s="37"/>
      <c r="I856" s="38"/>
    </row>
    <row r="857">
      <c r="A857" s="29"/>
      <c r="B857" s="30"/>
      <c r="C857" s="30"/>
      <c r="D857" s="30"/>
      <c r="E857" s="31"/>
      <c r="F857" s="32"/>
      <c r="G857" s="32"/>
      <c r="H857" s="32"/>
      <c r="I857" s="33"/>
    </row>
    <row r="858">
      <c r="A858" s="34"/>
      <c r="B858" s="35"/>
      <c r="C858" s="35"/>
      <c r="D858" s="35"/>
      <c r="E858" s="36"/>
      <c r="F858" s="37"/>
      <c r="G858" s="37"/>
      <c r="H858" s="37"/>
      <c r="I858" s="38"/>
    </row>
    <row r="859">
      <c r="A859" s="29"/>
      <c r="B859" s="30"/>
      <c r="C859" s="30"/>
      <c r="D859" s="30"/>
      <c r="E859" s="31"/>
      <c r="F859" s="32"/>
      <c r="G859" s="32"/>
      <c r="H859" s="32"/>
      <c r="I859" s="33"/>
    </row>
    <row r="860">
      <c r="A860" s="34"/>
      <c r="B860" s="35"/>
      <c r="C860" s="35"/>
      <c r="D860" s="35"/>
      <c r="E860" s="36"/>
      <c r="F860" s="37"/>
      <c r="G860" s="37"/>
      <c r="H860" s="37"/>
      <c r="I860" s="38"/>
    </row>
    <row r="861">
      <c r="A861" s="29"/>
      <c r="B861" s="30"/>
      <c r="C861" s="30"/>
      <c r="D861" s="30"/>
      <c r="E861" s="31"/>
      <c r="F861" s="32"/>
      <c r="G861" s="32"/>
      <c r="H861" s="32"/>
      <c r="I861" s="33"/>
    </row>
    <row r="862">
      <c r="A862" s="34"/>
      <c r="B862" s="35"/>
      <c r="C862" s="35"/>
      <c r="D862" s="35"/>
      <c r="E862" s="36"/>
      <c r="F862" s="37"/>
      <c r="G862" s="37"/>
      <c r="H862" s="37"/>
      <c r="I862" s="38"/>
    </row>
    <row r="863">
      <c r="A863" s="29"/>
      <c r="B863" s="30"/>
      <c r="C863" s="30"/>
      <c r="D863" s="30"/>
      <c r="E863" s="31"/>
      <c r="F863" s="32"/>
      <c r="G863" s="32"/>
      <c r="H863" s="32"/>
      <c r="I863" s="33"/>
    </row>
    <row r="864">
      <c r="A864" s="34"/>
      <c r="B864" s="35"/>
      <c r="C864" s="35"/>
      <c r="D864" s="35"/>
      <c r="E864" s="36"/>
      <c r="F864" s="37"/>
      <c r="G864" s="37"/>
      <c r="H864" s="37"/>
      <c r="I864" s="38"/>
    </row>
    <row r="865">
      <c r="A865" s="29"/>
      <c r="B865" s="30"/>
      <c r="C865" s="30"/>
      <c r="D865" s="30"/>
      <c r="E865" s="31"/>
      <c r="F865" s="32"/>
      <c r="G865" s="32"/>
      <c r="H865" s="32"/>
      <c r="I865" s="33"/>
    </row>
    <row r="866">
      <c r="A866" s="34"/>
      <c r="B866" s="35"/>
      <c r="C866" s="35"/>
      <c r="D866" s="35"/>
      <c r="E866" s="36"/>
      <c r="F866" s="37"/>
      <c r="G866" s="37"/>
      <c r="H866" s="37"/>
      <c r="I866" s="38"/>
    </row>
    <row r="867">
      <c r="A867" s="29"/>
      <c r="B867" s="30"/>
      <c r="C867" s="30"/>
      <c r="D867" s="30"/>
      <c r="E867" s="31"/>
      <c r="F867" s="32"/>
      <c r="G867" s="32"/>
      <c r="H867" s="32"/>
      <c r="I867" s="33"/>
    </row>
    <row r="868">
      <c r="A868" s="34"/>
      <c r="B868" s="35"/>
      <c r="C868" s="35"/>
      <c r="D868" s="35"/>
      <c r="E868" s="36"/>
      <c r="F868" s="37"/>
      <c r="G868" s="37"/>
      <c r="H868" s="37"/>
      <c r="I868" s="38"/>
    </row>
    <row r="869">
      <c r="A869" s="29"/>
      <c r="B869" s="30"/>
      <c r="C869" s="30"/>
      <c r="D869" s="30"/>
      <c r="E869" s="31"/>
      <c r="F869" s="32"/>
      <c r="G869" s="32"/>
      <c r="H869" s="32"/>
      <c r="I869" s="33"/>
    </row>
    <row r="870">
      <c r="A870" s="34"/>
      <c r="B870" s="35"/>
      <c r="C870" s="35"/>
      <c r="D870" s="35"/>
      <c r="E870" s="36"/>
      <c r="F870" s="37"/>
      <c r="G870" s="37"/>
      <c r="H870" s="37"/>
      <c r="I870" s="38"/>
    </row>
    <row r="871">
      <c r="A871" s="29"/>
      <c r="B871" s="30"/>
      <c r="C871" s="30"/>
      <c r="D871" s="30"/>
      <c r="E871" s="31"/>
      <c r="F871" s="32"/>
      <c r="G871" s="32"/>
      <c r="H871" s="32"/>
      <c r="I871" s="33"/>
    </row>
    <row r="872">
      <c r="A872" s="34"/>
      <c r="B872" s="35"/>
      <c r="C872" s="35"/>
      <c r="D872" s="35"/>
      <c r="E872" s="36"/>
      <c r="F872" s="37"/>
      <c r="G872" s="37"/>
      <c r="H872" s="37"/>
      <c r="I872" s="38"/>
    </row>
    <row r="873">
      <c r="A873" s="29"/>
      <c r="B873" s="30"/>
      <c r="C873" s="30"/>
      <c r="D873" s="30"/>
      <c r="E873" s="31"/>
      <c r="F873" s="32"/>
      <c r="G873" s="32"/>
      <c r="H873" s="32"/>
      <c r="I873" s="33"/>
    </row>
    <row r="874">
      <c r="A874" s="34"/>
      <c r="B874" s="35"/>
      <c r="C874" s="35"/>
      <c r="D874" s="35"/>
      <c r="E874" s="36"/>
      <c r="F874" s="37"/>
      <c r="G874" s="37"/>
      <c r="H874" s="37"/>
      <c r="I874" s="38"/>
    </row>
    <row r="875">
      <c r="A875" s="29"/>
      <c r="B875" s="30"/>
      <c r="C875" s="30"/>
      <c r="D875" s="30"/>
      <c r="E875" s="31"/>
      <c r="F875" s="32"/>
      <c r="G875" s="32"/>
      <c r="H875" s="32"/>
      <c r="I875" s="33"/>
    </row>
    <row r="876">
      <c r="A876" s="34"/>
      <c r="B876" s="35"/>
      <c r="C876" s="35"/>
      <c r="D876" s="35"/>
      <c r="E876" s="36"/>
      <c r="F876" s="37"/>
      <c r="G876" s="37"/>
      <c r="H876" s="37"/>
      <c r="I876" s="38"/>
    </row>
    <row r="877">
      <c r="A877" s="29"/>
      <c r="B877" s="30"/>
      <c r="C877" s="30"/>
      <c r="D877" s="30"/>
      <c r="E877" s="31"/>
      <c r="F877" s="32"/>
      <c r="G877" s="32"/>
      <c r="H877" s="32"/>
      <c r="I877" s="33"/>
    </row>
    <row r="878">
      <c r="A878" s="34"/>
      <c r="B878" s="35"/>
      <c r="C878" s="35"/>
      <c r="D878" s="35"/>
      <c r="E878" s="36"/>
      <c r="F878" s="37"/>
      <c r="G878" s="37"/>
      <c r="H878" s="37"/>
      <c r="I878" s="38"/>
    </row>
    <row r="879">
      <c r="A879" s="29"/>
      <c r="B879" s="30"/>
      <c r="C879" s="30"/>
      <c r="D879" s="30"/>
      <c r="E879" s="31"/>
      <c r="F879" s="32"/>
      <c r="G879" s="32"/>
      <c r="H879" s="32"/>
      <c r="I879" s="33"/>
    </row>
    <row r="880">
      <c r="A880" s="34"/>
      <c r="B880" s="35"/>
      <c r="C880" s="35"/>
      <c r="D880" s="35"/>
      <c r="E880" s="36"/>
      <c r="F880" s="37"/>
      <c r="G880" s="37"/>
      <c r="H880" s="37"/>
      <c r="I880" s="38"/>
    </row>
    <row r="881">
      <c r="A881" s="29"/>
      <c r="B881" s="30"/>
      <c r="C881" s="30"/>
      <c r="D881" s="30"/>
      <c r="E881" s="31"/>
      <c r="F881" s="32"/>
      <c r="G881" s="32"/>
      <c r="H881" s="32"/>
      <c r="I881" s="33"/>
    </row>
    <row r="882">
      <c r="A882" s="34"/>
      <c r="B882" s="35"/>
      <c r="C882" s="35"/>
      <c r="D882" s="35"/>
      <c r="E882" s="36"/>
      <c r="F882" s="37"/>
      <c r="G882" s="37"/>
      <c r="H882" s="37"/>
      <c r="I882" s="38"/>
    </row>
    <row r="883">
      <c r="A883" s="29"/>
      <c r="B883" s="30"/>
      <c r="C883" s="30"/>
      <c r="D883" s="30"/>
      <c r="E883" s="31"/>
      <c r="F883" s="32"/>
      <c r="G883" s="32"/>
      <c r="H883" s="32"/>
      <c r="I883" s="33"/>
    </row>
    <row r="884">
      <c r="A884" s="34"/>
      <c r="B884" s="35"/>
      <c r="C884" s="35"/>
      <c r="D884" s="35"/>
      <c r="E884" s="36"/>
      <c r="F884" s="37"/>
      <c r="G884" s="37"/>
      <c r="H884" s="37"/>
      <c r="I884" s="38"/>
    </row>
    <row r="885">
      <c r="A885" s="29"/>
      <c r="B885" s="30"/>
      <c r="C885" s="30"/>
      <c r="D885" s="30"/>
      <c r="E885" s="31"/>
      <c r="F885" s="32"/>
      <c r="G885" s="32"/>
      <c r="H885" s="32"/>
      <c r="I885" s="33"/>
    </row>
    <row r="886">
      <c r="A886" s="34"/>
      <c r="B886" s="35"/>
      <c r="C886" s="35"/>
      <c r="D886" s="35"/>
      <c r="E886" s="36"/>
      <c r="F886" s="37"/>
      <c r="G886" s="37"/>
      <c r="H886" s="37"/>
      <c r="I886" s="38"/>
    </row>
    <row r="887">
      <c r="A887" s="29"/>
      <c r="B887" s="30"/>
      <c r="C887" s="30"/>
      <c r="D887" s="30"/>
      <c r="E887" s="31"/>
      <c r="F887" s="32"/>
      <c r="G887" s="32"/>
      <c r="H887" s="32"/>
      <c r="I887" s="33"/>
    </row>
    <row r="888">
      <c r="A888" s="34"/>
      <c r="B888" s="35"/>
      <c r="C888" s="35"/>
      <c r="D888" s="35"/>
      <c r="E888" s="36"/>
      <c r="F888" s="37"/>
      <c r="G888" s="37"/>
      <c r="H888" s="37"/>
      <c r="I888" s="38"/>
    </row>
    <row r="889">
      <c r="A889" s="29"/>
      <c r="B889" s="30"/>
      <c r="C889" s="30"/>
      <c r="D889" s="30"/>
      <c r="E889" s="31"/>
      <c r="F889" s="32"/>
      <c r="G889" s="32"/>
      <c r="H889" s="32"/>
      <c r="I889" s="33"/>
    </row>
    <row r="890">
      <c r="A890" s="34"/>
      <c r="B890" s="35"/>
      <c r="C890" s="35"/>
      <c r="D890" s="35"/>
      <c r="E890" s="36"/>
      <c r="F890" s="37"/>
      <c r="G890" s="37"/>
      <c r="H890" s="37"/>
      <c r="I890" s="38"/>
    </row>
    <row r="891">
      <c r="A891" s="29"/>
      <c r="B891" s="30"/>
      <c r="C891" s="30"/>
      <c r="D891" s="30"/>
      <c r="E891" s="31"/>
      <c r="F891" s="32"/>
      <c r="G891" s="32"/>
      <c r="H891" s="32"/>
      <c r="I891" s="33"/>
    </row>
    <row r="892">
      <c r="A892" s="34"/>
      <c r="B892" s="35"/>
      <c r="C892" s="35"/>
      <c r="D892" s="35"/>
      <c r="E892" s="36"/>
      <c r="F892" s="37"/>
      <c r="G892" s="37"/>
      <c r="H892" s="37"/>
      <c r="I892" s="38"/>
    </row>
    <row r="893">
      <c r="A893" s="29"/>
      <c r="B893" s="30"/>
      <c r="C893" s="30"/>
      <c r="D893" s="30"/>
      <c r="E893" s="31"/>
      <c r="F893" s="32"/>
      <c r="G893" s="32"/>
      <c r="H893" s="32"/>
      <c r="I893" s="33"/>
    </row>
    <row r="894">
      <c r="A894" s="34"/>
      <c r="B894" s="35"/>
      <c r="C894" s="35"/>
      <c r="D894" s="35"/>
      <c r="E894" s="36"/>
      <c r="F894" s="37"/>
      <c r="G894" s="37"/>
      <c r="H894" s="37"/>
      <c r="I894" s="38"/>
    </row>
    <row r="895">
      <c r="A895" s="29"/>
      <c r="B895" s="30"/>
      <c r="C895" s="30"/>
      <c r="D895" s="30"/>
      <c r="E895" s="31"/>
      <c r="F895" s="32"/>
      <c r="G895" s="32"/>
      <c r="H895" s="32"/>
      <c r="I895" s="33"/>
    </row>
    <row r="896">
      <c r="A896" s="34"/>
      <c r="B896" s="35"/>
      <c r="C896" s="35"/>
      <c r="D896" s="35"/>
      <c r="E896" s="36"/>
      <c r="F896" s="37"/>
      <c r="G896" s="37"/>
      <c r="H896" s="37"/>
      <c r="I896" s="38"/>
    </row>
    <row r="897">
      <c r="A897" s="29"/>
      <c r="B897" s="30"/>
      <c r="C897" s="30"/>
      <c r="D897" s="30"/>
      <c r="E897" s="31"/>
      <c r="F897" s="32"/>
      <c r="G897" s="32"/>
      <c r="H897" s="32"/>
      <c r="I897" s="33"/>
    </row>
    <row r="898">
      <c r="A898" s="34"/>
      <c r="B898" s="35"/>
      <c r="C898" s="35"/>
      <c r="D898" s="35"/>
      <c r="E898" s="36"/>
      <c r="F898" s="37"/>
      <c r="G898" s="37"/>
      <c r="H898" s="37"/>
      <c r="I898" s="38"/>
    </row>
    <row r="899">
      <c r="A899" s="29"/>
      <c r="B899" s="30"/>
      <c r="C899" s="30"/>
      <c r="D899" s="30"/>
      <c r="E899" s="31"/>
      <c r="F899" s="32"/>
      <c r="G899" s="32"/>
      <c r="H899" s="32"/>
      <c r="I899" s="33"/>
    </row>
    <row r="900">
      <c r="A900" s="34"/>
      <c r="B900" s="35"/>
      <c r="C900" s="35"/>
      <c r="D900" s="35"/>
      <c r="E900" s="36"/>
      <c r="F900" s="37"/>
      <c r="G900" s="37"/>
      <c r="H900" s="37"/>
      <c r="I900" s="38"/>
    </row>
    <row r="901">
      <c r="A901" s="29"/>
      <c r="B901" s="30"/>
      <c r="C901" s="30"/>
      <c r="D901" s="30"/>
      <c r="E901" s="31"/>
      <c r="F901" s="32"/>
      <c r="G901" s="32"/>
      <c r="H901" s="32"/>
      <c r="I901" s="33"/>
    </row>
    <row r="902">
      <c r="A902" s="34"/>
      <c r="B902" s="35"/>
      <c r="C902" s="35"/>
      <c r="D902" s="35"/>
      <c r="E902" s="36"/>
      <c r="F902" s="37"/>
      <c r="G902" s="37"/>
      <c r="H902" s="37"/>
      <c r="I902" s="38"/>
    </row>
    <row r="903">
      <c r="A903" s="29"/>
      <c r="B903" s="30"/>
      <c r="C903" s="30"/>
      <c r="D903" s="30"/>
      <c r="E903" s="31"/>
      <c r="F903" s="32"/>
      <c r="G903" s="32"/>
      <c r="H903" s="32"/>
      <c r="I903" s="33"/>
    </row>
    <row r="904">
      <c r="A904" s="34"/>
      <c r="B904" s="35"/>
      <c r="C904" s="35"/>
      <c r="D904" s="35"/>
      <c r="E904" s="36"/>
      <c r="F904" s="37"/>
      <c r="G904" s="37"/>
      <c r="H904" s="37"/>
      <c r="I904" s="38"/>
    </row>
    <row r="905">
      <c r="A905" s="29"/>
      <c r="B905" s="30"/>
      <c r="C905" s="30"/>
      <c r="D905" s="30"/>
      <c r="E905" s="31"/>
      <c r="F905" s="32"/>
      <c r="G905" s="32"/>
      <c r="H905" s="32"/>
      <c r="I905" s="33"/>
    </row>
    <row r="906">
      <c r="A906" s="34"/>
      <c r="B906" s="35"/>
      <c r="C906" s="35"/>
      <c r="D906" s="35"/>
      <c r="E906" s="36"/>
      <c r="F906" s="37"/>
      <c r="G906" s="37"/>
      <c r="H906" s="37"/>
      <c r="I906" s="38"/>
    </row>
    <row r="907">
      <c r="A907" s="29"/>
      <c r="B907" s="30"/>
      <c r="C907" s="30"/>
      <c r="D907" s="30"/>
      <c r="E907" s="31"/>
      <c r="F907" s="32"/>
      <c r="G907" s="32"/>
      <c r="H907" s="32"/>
      <c r="I907" s="33"/>
    </row>
    <row r="908">
      <c r="A908" s="34"/>
      <c r="B908" s="35"/>
      <c r="C908" s="35"/>
      <c r="D908" s="35"/>
      <c r="E908" s="36"/>
      <c r="F908" s="37"/>
      <c r="G908" s="37"/>
      <c r="H908" s="37"/>
      <c r="I908" s="38"/>
    </row>
    <row r="909">
      <c r="A909" s="29"/>
      <c r="B909" s="30"/>
      <c r="C909" s="30"/>
      <c r="D909" s="30"/>
      <c r="E909" s="31"/>
      <c r="F909" s="32"/>
      <c r="G909" s="32"/>
      <c r="H909" s="32"/>
      <c r="I909" s="33"/>
    </row>
    <row r="910">
      <c r="A910" s="34"/>
      <c r="B910" s="35"/>
      <c r="C910" s="35"/>
      <c r="D910" s="35"/>
      <c r="E910" s="36"/>
      <c r="F910" s="37"/>
      <c r="G910" s="37"/>
      <c r="H910" s="37"/>
      <c r="I910" s="38"/>
    </row>
    <row r="911">
      <c r="A911" s="29"/>
      <c r="B911" s="30"/>
      <c r="C911" s="30"/>
      <c r="D911" s="30"/>
      <c r="E911" s="31"/>
      <c r="F911" s="32"/>
      <c r="G911" s="32"/>
      <c r="H911" s="32"/>
      <c r="I911" s="33"/>
    </row>
    <row r="912">
      <c r="A912" s="34"/>
      <c r="B912" s="35"/>
      <c r="C912" s="35"/>
      <c r="D912" s="35"/>
      <c r="E912" s="36"/>
      <c r="F912" s="37"/>
      <c r="G912" s="37"/>
      <c r="H912" s="37"/>
      <c r="I912" s="38"/>
    </row>
    <row r="913">
      <c r="A913" s="29"/>
      <c r="B913" s="30"/>
      <c r="C913" s="30"/>
      <c r="D913" s="30"/>
      <c r="E913" s="31"/>
      <c r="F913" s="32"/>
      <c r="G913" s="32"/>
      <c r="H913" s="32"/>
      <c r="I913" s="33"/>
    </row>
    <row r="914">
      <c r="A914" s="34"/>
      <c r="B914" s="35"/>
      <c r="C914" s="35"/>
      <c r="D914" s="35"/>
      <c r="E914" s="36"/>
      <c r="F914" s="37"/>
      <c r="G914" s="37"/>
      <c r="H914" s="37"/>
      <c r="I914" s="38"/>
    </row>
    <row r="915">
      <c r="A915" s="29"/>
      <c r="B915" s="30"/>
      <c r="C915" s="30"/>
      <c r="D915" s="30"/>
      <c r="E915" s="31"/>
      <c r="F915" s="32"/>
      <c r="G915" s="32"/>
      <c r="H915" s="32"/>
      <c r="I915" s="33"/>
    </row>
    <row r="916">
      <c r="A916" s="34"/>
      <c r="B916" s="35"/>
      <c r="C916" s="35"/>
      <c r="D916" s="35"/>
      <c r="E916" s="36"/>
      <c r="F916" s="37"/>
      <c r="G916" s="37"/>
      <c r="H916" s="37"/>
      <c r="I916" s="38"/>
    </row>
    <row r="917">
      <c r="A917" s="29"/>
      <c r="B917" s="30"/>
      <c r="C917" s="30"/>
      <c r="D917" s="30"/>
      <c r="E917" s="31"/>
      <c r="F917" s="32"/>
      <c r="G917" s="32"/>
      <c r="H917" s="32"/>
      <c r="I917" s="33"/>
    </row>
    <row r="918">
      <c r="A918" s="34"/>
      <c r="B918" s="35"/>
      <c r="C918" s="35"/>
      <c r="D918" s="35"/>
      <c r="E918" s="36"/>
      <c r="F918" s="37"/>
      <c r="G918" s="37"/>
      <c r="H918" s="37"/>
      <c r="I918" s="38"/>
    </row>
    <row r="919">
      <c r="A919" s="29"/>
      <c r="B919" s="30"/>
      <c r="C919" s="30"/>
      <c r="D919" s="30"/>
      <c r="E919" s="31"/>
      <c r="F919" s="32"/>
      <c r="G919" s="32"/>
      <c r="H919" s="32"/>
      <c r="I919" s="33"/>
    </row>
    <row r="920">
      <c r="A920" s="34"/>
      <c r="B920" s="35"/>
      <c r="C920" s="35"/>
      <c r="D920" s="35"/>
      <c r="E920" s="36"/>
      <c r="F920" s="37"/>
      <c r="G920" s="37"/>
      <c r="H920" s="37"/>
      <c r="I920" s="38"/>
    </row>
    <row r="921">
      <c r="A921" s="29"/>
      <c r="B921" s="30"/>
      <c r="C921" s="30"/>
      <c r="D921" s="30"/>
      <c r="E921" s="31"/>
      <c r="F921" s="32"/>
      <c r="G921" s="32"/>
      <c r="H921" s="32"/>
      <c r="I921" s="33"/>
    </row>
    <row r="922">
      <c r="A922" s="34"/>
      <c r="B922" s="35"/>
      <c r="C922" s="35"/>
      <c r="D922" s="35"/>
      <c r="E922" s="36"/>
      <c r="F922" s="37"/>
      <c r="G922" s="37"/>
      <c r="H922" s="37"/>
      <c r="I922" s="38"/>
    </row>
    <row r="923">
      <c r="A923" s="29"/>
      <c r="B923" s="30"/>
      <c r="C923" s="30"/>
      <c r="D923" s="30"/>
      <c r="E923" s="31"/>
      <c r="F923" s="32"/>
      <c r="G923" s="32"/>
      <c r="H923" s="32"/>
      <c r="I923" s="33"/>
    </row>
    <row r="924">
      <c r="A924" s="34"/>
      <c r="B924" s="35"/>
      <c r="C924" s="35"/>
      <c r="D924" s="35"/>
      <c r="E924" s="36"/>
      <c r="F924" s="37"/>
      <c r="G924" s="37"/>
      <c r="H924" s="37"/>
      <c r="I924" s="38"/>
    </row>
    <row r="925">
      <c r="A925" s="29"/>
      <c r="B925" s="30"/>
      <c r="C925" s="30"/>
      <c r="D925" s="30"/>
      <c r="E925" s="31"/>
      <c r="F925" s="32"/>
      <c r="G925" s="32"/>
      <c r="H925" s="32"/>
      <c r="I925" s="33"/>
    </row>
    <row r="926">
      <c r="A926" s="34"/>
      <c r="B926" s="35"/>
      <c r="C926" s="35"/>
      <c r="D926" s="35"/>
      <c r="E926" s="36"/>
      <c r="F926" s="37"/>
      <c r="G926" s="37"/>
      <c r="H926" s="37"/>
      <c r="I926" s="38"/>
    </row>
    <row r="927">
      <c r="A927" s="29"/>
      <c r="B927" s="30"/>
      <c r="C927" s="30"/>
      <c r="D927" s="30"/>
      <c r="E927" s="31"/>
      <c r="F927" s="32"/>
      <c r="G927" s="32"/>
      <c r="H927" s="32"/>
      <c r="I927" s="33"/>
    </row>
    <row r="928">
      <c r="A928" s="34"/>
      <c r="B928" s="35"/>
      <c r="C928" s="35"/>
      <c r="D928" s="35"/>
      <c r="E928" s="36"/>
      <c r="F928" s="37"/>
      <c r="G928" s="37"/>
      <c r="H928" s="37"/>
      <c r="I928" s="38"/>
    </row>
    <row r="929">
      <c r="A929" s="29"/>
      <c r="B929" s="30"/>
      <c r="C929" s="30"/>
      <c r="D929" s="30"/>
      <c r="E929" s="31"/>
      <c r="F929" s="32"/>
      <c r="G929" s="32"/>
      <c r="H929" s="32"/>
      <c r="I929" s="33"/>
    </row>
    <row r="930">
      <c r="A930" s="34"/>
      <c r="B930" s="35"/>
      <c r="C930" s="35"/>
      <c r="D930" s="35"/>
      <c r="E930" s="36"/>
      <c r="F930" s="37"/>
      <c r="G930" s="37"/>
      <c r="H930" s="37"/>
      <c r="I930" s="38"/>
    </row>
    <row r="931">
      <c r="A931" s="29"/>
      <c r="B931" s="30"/>
      <c r="C931" s="30"/>
      <c r="D931" s="30"/>
      <c r="E931" s="31"/>
      <c r="F931" s="32"/>
      <c r="G931" s="32"/>
      <c r="H931" s="32"/>
      <c r="I931" s="33"/>
    </row>
    <row r="932">
      <c r="A932" s="34"/>
      <c r="B932" s="35"/>
      <c r="C932" s="35"/>
      <c r="D932" s="35"/>
      <c r="E932" s="36"/>
      <c r="F932" s="37"/>
      <c r="G932" s="37"/>
      <c r="H932" s="37"/>
      <c r="I932" s="38"/>
    </row>
    <row r="933">
      <c r="A933" s="29"/>
      <c r="B933" s="30"/>
      <c r="C933" s="30"/>
      <c r="D933" s="30"/>
      <c r="E933" s="31"/>
      <c r="F933" s="32"/>
      <c r="G933" s="32"/>
      <c r="H933" s="32"/>
      <c r="I933" s="33"/>
    </row>
    <row r="934">
      <c r="A934" s="34"/>
      <c r="B934" s="35"/>
      <c r="C934" s="35"/>
      <c r="D934" s="35"/>
      <c r="E934" s="36"/>
      <c r="F934" s="37"/>
      <c r="G934" s="37"/>
      <c r="H934" s="37"/>
      <c r="I934" s="38"/>
    </row>
    <row r="935">
      <c r="A935" s="29"/>
      <c r="B935" s="30"/>
      <c r="C935" s="30"/>
      <c r="D935" s="30"/>
      <c r="E935" s="31"/>
      <c r="F935" s="32"/>
      <c r="G935" s="32"/>
      <c r="H935" s="32"/>
      <c r="I935" s="33"/>
    </row>
    <row r="936">
      <c r="A936" s="34"/>
      <c r="B936" s="35"/>
      <c r="C936" s="35"/>
      <c r="D936" s="35"/>
      <c r="E936" s="36"/>
      <c r="F936" s="37"/>
      <c r="G936" s="37"/>
      <c r="H936" s="37"/>
      <c r="I936" s="38"/>
    </row>
    <row r="937">
      <c r="A937" s="29"/>
      <c r="B937" s="30"/>
      <c r="C937" s="30"/>
      <c r="D937" s="30"/>
      <c r="E937" s="31"/>
      <c r="F937" s="32"/>
      <c r="G937" s="32"/>
      <c r="H937" s="32"/>
      <c r="I937" s="33"/>
    </row>
    <row r="938">
      <c r="A938" s="34"/>
      <c r="B938" s="35"/>
      <c r="C938" s="35"/>
      <c r="D938" s="35"/>
      <c r="E938" s="36"/>
      <c r="F938" s="37"/>
      <c r="G938" s="37"/>
      <c r="H938" s="37"/>
      <c r="I938" s="38"/>
    </row>
    <row r="939">
      <c r="A939" s="29"/>
      <c r="B939" s="30"/>
      <c r="C939" s="30"/>
      <c r="D939" s="30"/>
      <c r="E939" s="31"/>
      <c r="F939" s="32"/>
      <c r="G939" s="32"/>
      <c r="H939" s="32"/>
      <c r="I939" s="33"/>
    </row>
    <row r="940">
      <c r="A940" s="34"/>
      <c r="B940" s="35"/>
      <c r="C940" s="35"/>
      <c r="D940" s="35"/>
      <c r="E940" s="36"/>
      <c r="F940" s="37"/>
      <c r="G940" s="37"/>
      <c r="H940" s="37"/>
      <c r="I940" s="38"/>
    </row>
    <row r="941">
      <c r="A941" s="29"/>
      <c r="B941" s="30"/>
      <c r="C941" s="30"/>
      <c r="D941" s="30"/>
      <c r="E941" s="31"/>
      <c r="F941" s="32"/>
      <c r="G941" s="32"/>
      <c r="H941" s="32"/>
      <c r="I941" s="33"/>
    </row>
    <row r="942">
      <c r="A942" s="34"/>
      <c r="B942" s="35"/>
      <c r="C942" s="35"/>
      <c r="D942" s="35"/>
      <c r="E942" s="36"/>
      <c r="F942" s="37"/>
      <c r="G942" s="37"/>
      <c r="H942" s="37"/>
      <c r="I942" s="38"/>
    </row>
    <row r="943">
      <c r="A943" s="29"/>
      <c r="B943" s="30"/>
      <c r="C943" s="30"/>
      <c r="D943" s="30"/>
      <c r="E943" s="31"/>
      <c r="F943" s="32"/>
      <c r="G943" s="32"/>
      <c r="H943" s="32"/>
      <c r="I943" s="33"/>
    </row>
    <row r="944">
      <c r="A944" s="34"/>
      <c r="B944" s="35"/>
      <c r="C944" s="35"/>
      <c r="D944" s="35"/>
      <c r="E944" s="36"/>
      <c r="F944" s="37"/>
      <c r="G944" s="37"/>
      <c r="H944" s="37"/>
      <c r="I944" s="38"/>
    </row>
    <row r="945">
      <c r="A945" s="29"/>
      <c r="B945" s="30"/>
      <c r="C945" s="30"/>
      <c r="D945" s="30"/>
      <c r="E945" s="31"/>
      <c r="F945" s="32"/>
      <c r="G945" s="32"/>
      <c r="H945" s="32"/>
      <c r="I945" s="33"/>
    </row>
    <row r="946">
      <c r="A946" s="34"/>
      <c r="B946" s="35"/>
      <c r="C946" s="35"/>
      <c r="D946" s="35"/>
      <c r="E946" s="36"/>
      <c r="F946" s="37"/>
      <c r="G946" s="37"/>
      <c r="H946" s="37"/>
      <c r="I946" s="38"/>
    </row>
    <row r="947">
      <c r="A947" s="29"/>
      <c r="B947" s="30"/>
      <c r="C947" s="30"/>
      <c r="D947" s="30"/>
      <c r="E947" s="31"/>
      <c r="F947" s="32"/>
      <c r="G947" s="32"/>
      <c r="H947" s="32"/>
      <c r="I947" s="33"/>
    </row>
    <row r="948">
      <c r="A948" s="34"/>
      <c r="B948" s="35"/>
      <c r="C948" s="35"/>
      <c r="D948" s="35"/>
      <c r="E948" s="36"/>
      <c r="F948" s="37"/>
      <c r="G948" s="37"/>
      <c r="H948" s="37"/>
      <c r="I948" s="38"/>
    </row>
    <row r="949">
      <c r="A949" s="29"/>
      <c r="B949" s="30"/>
      <c r="C949" s="30"/>
      <c r="D949" s="30"/>
      <c r="E949" s="31"/>
      <c r="F949" s="32"/>
      <c r="G949" s="32"/>
      <c r="H949" s="32"/>
      <c r="I949" s="33"/>
    </row>
    <row r="950">
      <c r="A950" s="34"/>
      <c r="B950" s="35"/>
      <c r="C950" s="35"/>
      <c r="D950" s="35"/>
      <c r="E950" s="36"/>
      <c r="F950" s="37"/>
      <c r="G950" s="37"/>
      <c r="H950" s="37"/>
      <c r="I950" s="38"/>
    </row>
    <row r="951">
      <c r="A951" s="29"/>
      <c r="B951" s="30"/>
      <c r="C951" s="30"/>
      <c r="D951" s="30"/>
      <c r="E951" s="31"/>
      <c r="F951" s="32"/>
      <c r="G951" s="32"/>
      <c r="H951" s="32"/>
      <c r="I951" s="33"/>
    </row>
    <row r="952">
      <c r="A952" s="34"/>
      <c r="B952" s="35"/>
      <c r="C952" s="35"/>
      <c r="D952" s="35"/>
      <c r="E952" s="36"/>
      <c r="F952" s="37"/>
      <c r="G952" s="37"/>
      <c r="H952" s="37"/>
      <c r="I952" s="38"/>
    </row>
    <row r="953">
      <c r="A953" s="29"/>
      <c r="B953" s="30"/>
      <c r="C953" s="30"/>
      <c r="D953" s="30"/>
      <c r="E953" s="31"/>
      <c r="F953" s="32"/>
      <c r="G953" s="32"/>
      <c r="H953" s="32"/>
      <c r="I953" s="33"/>
    </row>
    <row r="954">
      <c r="A954" s="34"/>
      <c r="B954" s="35"/>
      <c r="C954" s="35"/>
      <c r="D954" s="35"/>
      <c r="E954" s="36"/>
      <c r="F954" s="37"/>
      <c r="G954" s="37"/>
      <c r="H954" s="37"/>
      <c r="I954" s="38"/>
    </row>
    <row r="955">
      <c r="A955" s="29"/>
      <c r="B955" s="30"/>
      <c r="C955" s="30"/>
      <c r="D955" s="30"/>
      <c r="E955" s="31"/>
      <c r="F955" s="32"/>
      <c r="G955" s="32"/>
      <c r="H955" s="32"/>
      <c r="I955" s="33"/>
    </row>
    <row r="956">
      <c r="A956" s="34"/>
      <c r="B956" s="35"/>
      <c r="C956" s="35"/>
      <c r="D956" s="35"/>
      <c r="E956" s="36"/>
      <c r="F956" s="37"/>
      <c r="G956" s="37"/>
      <c r="H956" s="37"/>
      <c r="I956" s="38"/>
    </row>
    <row r="957">
      <c r="A957" s="29"/>
      <c r="B957" s="30"/>
      <c r="C957" s="30"/>
      <c r="D957" s="30"/>
      <c r="E957" s="31"/>
      <c r="F957" s="32"/>
      <c r="G957" s="32"/>
      <c r="H957" s="32"/>
      <c r="I957" s="33"/>
    </row>
    <row r="958">
      <c r="A958" s="34"/>
      <c r="B958" s="35"/>
      <c r="C958" s="35"/>
      <c r="D958" s="35"/>
      <c r="E958" s="36"/>
      <c r="F958" s="37"/>
      <c r="G958" s="37"/>
      <c r="H958" s="37"/>
      <c r="I958" s="38"/>
    </row>
    <row r="959">
      <c r="A959" s="29"/>
      <c r="B959" s="30"/>
      <c r="C959" s="30"/>
      <c r="D959" s="30"/>
      <c r="E959" s="31"/>
      <c r="F959" s="32"/>
      <c r="G959" s="32"/>
      <c r="H959" s="32"/>
      <c r="I959" s="33"/>
    </row>
    <row r="960">
      <c r="A960" s="34"/>
      <c r="B960" s="35"/>
      <c r="C960" s="35"/>
      <c r="D960" s="35"/>
      <c r="E960" s="36"/>
      <c r="F960" s="37"/>
      <c r="G960" s="37"/>
      <c r="H960" s="37"/>
      <c r="I960" s="38"/>
    </row>
    <row r="961">
      <c r="A961" s="29"/>
      <c r="B961" s="30"/>
      <c r="C961" s="30"/>
      <c r="D961" s="30"/>
      <c r="E961" s="31"/>
      <c r="F961" s="32"/>
      <c r="G961" s="32"/>
      <c r="H961" s="32"/>
      <c r="I961" s="33"/>
    </row>
    <row r="962">
      <c r="A962" s="34"/>
      <c r="B962" s="35"/>
      <c r="C962" s="35"/>
      <c r="D962" s="35"/>
      <c r="E962" s="36"/>
      <c r="F962" s="37"/>
      <c r="G962" s="37"/>
      <c r="H962" s="37"/>
      <c r="I962" s="38"/>
    </row>
    <row r="963">
      <c r="A963" s="29"/>
      <c r="B963" s="30"/>
      <c r="C963" s="30"/>
      <c r="D963" s="30"/>
      <c r="E963" s="31"/>
      <c r="F963" s="32"/>
      <c r="G963" s="32"/>
      <c r="H963" s="32"/>
      <c r="I963" s="33"/>
    </row>
    <row r="964">
      <c r="A964" s="34"/>
      <c r="B964" s="35"/>
      <c r="C964" s="35"/>
      <c r="D964" s="35"/>
      <c r="E964" s="36"/>
      <c r="F964" s="37"/>
      <c r="G964" s="37"/>
      <c r="H964" s="37"/>
      <c r="I964" s="38"/>
    </row>
    <row r="965">
      <c r="A965" s="29"/>
      <c r="B965" s="30"/>
      <c r="C965" s="30"/>
      <c r="D965" s="30"/>
      <c r="E965" s="31"/>
      <c r="F965" s="32"/>
      <c r="G965" s="32"/>
      <c r="H965" s="32"/>
      <c r="I965" s="33"/>
    </row>
    <row r="966">
      <c r="A966" s="34"/>
      <c r="B966" s="35"/>
      <c r="C966" s="35"/>
      <c r="D966" s="35"/>
      <c r="E966" s="36"/>
      <c r="F966" s="37"/>
      <c r="G966" s="37"/>
      <c r="H966" s="37"/>
      <c r="I966" s="38"/>
    </row>
    <row r="967">
      <c r="A967" s="29"/>
      <c r="B967" s="30"/>
      <c r="C967" s="30"/>
      <c r="D967" s="30"/>
      <c r="E967" s="31"/>
      <c r="F967" s="32"/>
      <c r="G967" s="32"/>
      <c r="H967" s="32"/>
      <c r="I967" s="33"/>
    </row>
    <row r="968">
      <c r="A968" s="34"/>
      <c r="B968" s="35"/>
      <c r="C968" s="35"/>
      <c r="D968" s="35"/>
      <c r="E968" s="36"/>
      <c r="F968" s="37"/>
      <c r="G968" s="37"/>
      <c r="H968" s="37"/>
      <c r="I968" s="38"/>
    </row>
    <row r="969">
      <c r="A969" s="29"/>
      <c r="B969" s="30"/>
      <c r="C969" s="30"/>
      <c r="D969" s="30"/>
      <c r="E969" s="31"/>
      <c r="F969" s="32"/>
      <c r="G969" s="32"/>
      <c r="H969" s="32"/>
      <c r="I969" s="33"/>
    </row>
    <row r="970">
      <c r="A970" s="34"/>
      <c r="B970" s="35"/>
      <c r="C970" s="35"/>
      <c r="D970" s="35"/>
      <c r="E970" s="36"/>
      <c r="F970" s="37"/>
      <c r="G970" s="37"/>
      <c r="H970" s="37"/>
      <c r="I970" s="38"/>
    </row>
    <row r="971">
      <c r="A971" s="29"/>
      <c r="B971" s="30"/>
      <c r="C971" s="30"/>
      <c r="D971" s="30"/>
      <c r="E971" s="31"/>
      <c r="F971" s="32"/>
      <c r="G971" s="32"/>
      <c r="H971" s="32"/>
      <c r="I971" s="33"/>
    </row>
    <row r="972">
      <c r="A972" s="34"/>
      <c r="B972" s="35"/>
      <c r="C972" s="35"/>
      <c r="D972" s="35"/>
      <c r="E972" s="36"/>
      <c r="F972" s="37"/>
      <c r="G972" s="37"/>
      <c r="H972" s="37"/>
      <c r="I972" s="38"/>
    </row>
    <row r="973">
      <c r="A973" s="29"/>
      <c r="B973" s="30"/>
      <c r="C973" s="30"/>
      <c r="D973" s="30"/>
      <c r="E973" s="31"/>
      <c r="F973" s="32"/>
      <c r="G973" s="32"/>
      <c r="H973" s="32"/>
      <c r="I973" s="33"/>
    </row>
    <row r="974">
      <c r="A974" s="34"/>
      <c r="B974" s="35"/>
      <c r="C974" s="35"/>
      <c r="D974" s="35"/>
      <c r="E974" s="36"/>
      <c r="F974" s="37"/>
      <c r="G974" s="37"/>
      <c r="H974" s="37"/>
      <c r="I974" s="38"/>
    </row>
    <row r="975">
      <c r="A975" s="29"/>
      <c r="B975" s="30"/>
      <c r="C975" s="30"/>
      <c r="D975" s="30"/>
      <c r="E975" s="31"/>
      <c r="F975" s="32"/>
      <c r="G975" s="32"/>
      <c r="H975" s="32"/>
      <c r="I975" s="33"/>
    </row>
    <row r="976">
      <c r="A976" s="34"/>
      <c r="B976" s="35"/>
      <c r="C976" s="35"/>
      <c r="D976" s="35"/>
      <c r="E976" s="36"/>
      <c r="F976" s="37"/>
      <c r="G976" s="37"/>
      <c r="H976" s="37"/>
      <c r="I976" s="38"/>
    </row>
    <row r="977">
      <c r="A977" s="29"/>
      <c r="B977" s="30"/>
      <c r="C977" s="30"/>
      <c r="D977" s="30"/>
      <c r="E977" s="31"/>
      <c r="F977" s="32"/>
      <c r="G977" s="32"/>
      <c r="H977" s="32"/>
      <c r="I977" s="33"/>
    </row>
    <row r="978">
      <c r="A978" s="34"/>
      <c r="B978" s="35"/>
      <c r="C978" s="35"/>
      <c r="D978" s="35"/>
      <c r="E978" s="36"/>
      <c r="F978" s="37"/>
      <c r="G978" s="37"/>
      <c r="H978" s="37"/>
      <c r="I978" s="38"/>
    </row>
    <row r="979">
      <c r="A979" s="29"/>
      <c r="B979" s="30"/>
      <c r="C979" s="30"/>
      <c r="D979" s="30"/>
      <c r="E979" s="31"/>
      <c r="F979" s="32"/>
      <c r="G979" s="32"/>
      <c r="H979" s="32"/>
      <c r="I979" s="33"/>
    </row>
    <row r="980">
      <c r="A980" s="34"/>
      <c r="B980" s="35"/>
      <c r="C980" s="35"/>
      <c r="D980" s="35"/>
      <c r="E980" s="36"/>
      <c r="F980" s="37"/>
      <c r="G980" s="37"/>
      <c r="H980" s="37"/>
      <c r="I980" s="38"/>
    </row>
    <row r="981">
      <c r="A981" s="29"/>
      <c r="B981" s="30"/>
      <c r="C981" s="30"/>
      <c r="D981" s="30"/>
      <c r="E981" s="31"/>
      <c r="F981" s="32"/>
      <c r="G981" s="32"/>
      <c r="H981" s="32"/>
      <c r="I981" s="33"/>
    </row>
    <row r="982">
      <c r="A982" s="34"/>
      <c r="B982" s="35"/>
      <c r="C982" s="35"/>
      <c r="D982" s="35"/>
      <c r="E982" s="36"/>
      <c r="F982" s="37"/>
      <c r="G982" s="37"/>
      <c r="H982" s="37"/>
      <c r="I982" s="38"/>
    </row>
    <row r="983">
      <c r="A983" s="29"/>
      <c r="B983" s="30"/>
      <c r="C983" s="30"/>
      <c r="D983" s="30"/>
      <c r="E983" s="31"/>
      <c r="F983" s="32"/>
      <c r="G983" s="32"/>
      <c r="H983" s="32"/>
      <c r="I983" s="33"/>
    </row>
    <row r="984">
      <c r="A984" s="34"/>
      <c r="B984" s="35"/>
      <c r="C984" s="35"/>
      <c r="D984" s="35"/>
      <c r="E984" s="36"/>
      <c r="F984" s="37"/>
      <c r="G984" s="37"/>
      <c r="H984" s="37"/>
      <c r="I984" s="38"/>
    </row>
    <row r="985">
      <c r="A985" s="29"/>
      <c r="B985" s="30"/>
      <c r="C985" s="30"/>
      <c r="D985" s="30"/>
      <c r="E985" s="31"/>
      <c r="F985" s="32"/>
      <c r="G985" s="32"/>
      <c r="H985" s="32"/>
      <c r="I985" s="33"/>
    </row>
    <row r="986">
      <c r="A986" s="34"/>
      <c r="B986" s="35"/>
      <c r="C986" s="35"/>
      <c r="D986" s="35"/>
      <c r="E986" s="36"/>
      <c r="F986" s="37"/>
      <c r="G986" s="37"/>
      <c r="H986" s="37"/>
      <c r="I986" s="38"/>
    </row>
    <row r="987">
      <c r="A987" s="29"/>
      <c r="B987" s="30"/>
      <c r="C987" s="30"/>
      <c r="D987" s="30"/>
      <c r="E987" s="31"/>
      <c r="F987" s="32"/>
      <c r="G987" s="32"/>
      <c r="H987" s="32"/>
      <c r="I987" s="33"/>
    </row>
    <row r="988">
      <c r="A988" s="34"/>
      <c r="B988" s="35"/>
      <c r="C988" s="35"/>
      <c r="D988" s="35"/>
      <c r="E988" s="36"/>
      <c r="F988" s="37"/>
      <c r="G988" s="37"/>
      <c r="H988" s="37"/>
      <c r="I988" s="38"/>
    </row>
    <row r="989">
      <c r="A989" s="29"/>
      <c r="B989" s="30"/>
      <c r="C989" s="30"/>
      <c r="D989" s="30"/>
      <c r="E989" s="31"/>
      <c r="F989" s="32"/>
      <c r="G989" s="32"/>
      <c r="H989" s="32"/>
      <c r="I989" s="33"/>
    </row>
    <row r="990">
      <c r="A990" s="34"/>
      <c r="B990" s="35"/>
      <c r="C990" s="35"/>
      <c r="D990" s="35"/>
      <c r="E990" s="36"/>
      <c r="F990" s="37"/>
      <c r="G990" s="37"/>
      <c r="H990" s="37"/>
      <c r="I990" s="38"/>
    </row>
    <row r="991">
      <c r="A991" s="29"/>
      <c r="B991" s="30"/>
      <c r="C991" s="30"/>
      <c r="D991" s="30"/>
      <c r="E991" s="31"/>
      <c r="F991" s="32"/>
      <c r="G991" s="32"/>
      <c r="H991" s="32"/>
      <c r="I991" s="33"/>
    </row>
    <row r="992">
      <c r="A992" s="34"/>
      <c r="B992" s="35"/>
      <c r="C992" s="35"/>
      <c r="D992" s="35"/>
      <c r="E992" s="36"/>
      <c r="F992" s="37"/>
      <c r="G992" s="37"/>
      <c r="H992" s="37"/>
      <c r="I992" s="38"/>
    </row>
    <row r="993">
      <c r="A993" s="29"/>
      <c r="B993" s="30"/>
      <c r="C993" s="30"/>
      <c r="D993" s="30"/>
      <c r="E993" s="31"/>
      <c r="F993" s="32"/>
      <c r="G993" s="32"/>
      <c r="H993" s="32"/>
      <c r="I993" s="33"/>
    </row>
    <row r="994">
      <c r="A994" s="34"/>
      <c r="B994" s="35"/>
      <c r="C994" s="35"/>
      <c r="D994" s="35"/>
      <c r="E994" s="36"/>
      <c r="F994" s="37"/>
      <c r="G994" s="37"/>
      <c r="H994" s="37"/>
      <c r="I994" s="38"/>
    </row>
    <row r="995">
      <c r="A995" s="29"/>
      <c r="B995" s="30"/>
      <c r="C995" s="30"/>
      <c r="D995" s="30"/>
      <c r="E995" s="31"/>
      <c r="F995" s="32"/>
      <c r="G995" s="32"/>
      <c r="H995" s="32"/>
      <c r="I995" s="33"/>
    </row>
    <row r="996">
      <c r="A996" s="34"/>
      <c r="B996" s="35"/>
      <c r="C996" s="35"/>
      <c r="D996" s="35"/>
      <c r="E996" s="36"/>
      <c r="F996" s="37"/>
      <c r="G996" s="37"/>
      <c r="H996" s="37"/>
      <c r="I996" s="38"/>
    </row>
    <row r="997">
      <c r="A997" s="29"/>
      <c r="B997" s="30"/>
      <c r="C997" s="30"/>
      <c r="D997" s="30"/>
      <c r="E997" s="31"/>
      <c r="F997" s="32"/>
      <c r="G997" s="32"/>
      <c r="H997" s="32"/>
      <c r="I997" s="33"/>
    </row>
    <row r="998">
      <c r="A998" s="34"/>
      <c r="B998" s="35"/>
      <c r="C998" s="35"/>
      <c r="D998" s="35"/>
      <c r="E998" s="36"/>
      <c r="F998" s="37"/>
      <c r="G998" s="37"/>
      <c r="H998" s="37"/>
      <c r="I998" s="38"/>
    </row>
    <row r="999">
      <c r="A999" s="29"/>
      <c r="B999" s="30"/>
      <c r="C999" s="30"/>
      <c r="D999" s="30"/>
      <c r="E999" s="31"/>
      <c r="F999" s="32"/>
      <c r="G999" s="32"/>
      <c r="H999" s="32"/>
      <c r="I999" s="33"/>
    </row>
    <row r="1000">
      <c r="A1000" s="34"/>
      <c r="B1000" s="35"/>
      <c r="C1000" s="35"/>
      <c r="D1000" s="35"/>
      <c r="E1000" s="36"/>
      <c r="F1000" s="37"/>
      <c r="G1000" s="37"/>
      <c r="H1000" s="37"/>
      <c r="I1000" s="38"/>
    </row>
    <row r="1001">
      <c r="A1001" s="29"/>
      <c r="B1001" s="30"/>
      <c r="C1001" s="30"/>
      <c r="D1001" s="30"/>
      <c r="E1001" s="31"/>
      <c r="F1001" s="32"/>
      <c r="G1001" s="32"/>
      <c r="H1001" s="32"/>
      <c r="I1001" s="33"/>
    </row>
  </sheetData>
  <mergeCells count="2">
    <mergeCell ref="B1:E1"/>
    <mergeCell ref="F1:I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1.88"/>
    <col customWidth="1" min="3" max="3" width="13.88"/>
    <col customWidth="1" min="4" max="4" width="15.88"/>
  </cols>
  <sheetData>
    <row r="1">
      <c r="A1" s="39" t="str">
        <f>IFERROR(__xludf.DUMMYFUNCTION("IMPORTRANGE(""https://docs.google.com/spreadsheets/d/1sNEolJkjlAHcD8Y650CWV4VZ-FN5rvKhkbywyOifCBo/edit#gid=1712324555"", ""ExamDates!A1:D50"")"),"#REF!")</f>
        <v>#REF!</v>
      </c>
      <c r="B1" s="39"/>
      <c r="C1" s="39"/>
      <c r="D1" s="39"/>
    </row>
    <row r="2">
      <c r="A2" s="16"/>
      <c r="B2" s="16"/>
      <c r="C2" s="16"/>
      <c r="D2" s="16"/>
    </row>
    <row r="3">
      <c r="A3" s="16"/>
      <c r="B3" s="16"/>
      <c r="C3" s="16"/>
      <c r="D3" s="16"/>
    </row>
    <row r="4">
      <c r="A4" s="16"/>
      <c r="B4" s="16"/>
      <c r="C4" s="40"/>
      <c r="D4" s="16"/>
    </row>
    <row r="5">
      <c r="A5" s="16"/>
      <c r="B5" s="16"/>
      <c r="C5" s="40"/>
      <c r="D5" s="16"/>
    </row>
    <row r="6">
      <c r="A6" s="16"/>
      <c r="B6" s="16"/>
      <c r="C6" s="40"/>
      <c r="D6" s="16"/>
    </row>
    <row r="7">
      <c r="A7" s="16"/>
      <c r="B7" s="16"/>
      <c r="C7" s="40"/>
      <c r="D7" s="16"/>
    </row>
    <row r="8">
      <c r="A8" s="16"/>
      <c r="B8" s="16"/>
      <c r="C8" s="40"/>
      <c r="D8" s="16"/>
    </row>
    <row r="9">
      <c r="A9" s="16"/>
      <c r="B9" s="16"/>
      <c r="C9" s="40"/>
      <c r="D9" s="16"/>
    </row>
    <row r="10">
      <c r="A10" s="16"/>
      <c r="B10" s="16"/>
      <c r="C10" s="40"/>
      <c r="D10" s="16"/>
    </row>
    <row r="11">
      <c r="A11" s="16"/>
      <c r="B11" s="16"/>
      <c r="C11" s="40"/>
      <c r="D11" s="16"/>
    </row>
    <row r="12">
      <c r="A12" s="16"/>
      <c r="B12" s="16"/>
      <c r="C12" s="40"/>
      <c r="D12" s="16"/>
    </row>
    <row r="13">
      <c r="A13" s="16"/>
      <c r="B13" s="16"/>
      <c r="C13" s="40"/>
      <c r="D13" s="16"/>
    </row>
    <row r="14">
      <c r="A14" s="16"/>
      <c r="B14" s="16"/>
      <c r="C14" s="40"/>
      <c r="D14" s="16"/>
    </row>
    <row r="15">
      <c r="A15" s="16"/>
      <c r="B15" s="16"/>
      <c r="C15" s="40"/>
      <c r="D15" s="16"/>
    </row>
    <row r="16">
      <c r="A16" s="16"/>
      <c r="B16" s="16"/>
      <c r="C16" s="40"/>
      <c r="D16" s="16"/>
    </row>
    <row r="17">
      <c r="A17" s="16"/>
      <c r="B17" s="16"/>
      <c r="C17" s="40"/>
      <c r="D17" s="16"/>
    </row>
    <row r="18">
      <c r="A18" s="16"/>
      <c r="B18" s="16"/>
      <c r="C18" s="40"/>
      <c r="D18" s="16"/>
    </row>
    <row r="19">
      <c r="A19" s="16"/>
      <c r="B19" s="16"/>
      <c r="C19" s="40"/>
      <c r="D19" s="16"/>
    </row>
    <row r="20">
      <c r="A20" s="16"/>
      <c r="B20" s="16"/>
      <c r="C20" s="40"/>
      <c r="D20" s="16"/>
    </row>
    <row r="21">
      <c r="A21" s="16"/>
      <c r="B21" s="16"/>
      <c r="C21" s="40"/>
      <c r="D21" s="16"/>
    </row>
    <row r="22">
      <c r="A22" s="16"/>
      <c r="B22" s="16"/>
      <c r="C22" s="40"/>
      <c r="D22" s="16"/>
    </row>
    <row r="23">
      <c r="A23" s="16"/>
      <c r="B23" s="16"/>
      <c r="C23" s="40"/>
      <c r="D23" s="16"/>
    </row>
    <row r="24">
      <c r="A24" s="16"/>
      <c r="B24" s="16"/>
      <c r="C24" s="40"/>
      <c r="D24" s="16"/>
    </row>
    <row r="25">
      <c r="A25" s="16"/>
      <c r="B25" s="16"/>
      <c r="C25" s="40"/>
      <c r="D25" s="16"/>
    </row>
    <row r="26">
      <c r="A26" s="16"/>
      <c r="B26" s="16"/>
      <c r="C26" s="40"/>
      <c r="D26" s="16"/>
    </row>
    <row r="27">
      <c r="A27" s="16"/>
      <c r="B27" s="16"/>
      <c r="C27" s="40"/>
      <c r="D27" s="16"/>
    </row>
    <row r="28">
      <c r="A28" s="16"/>
      <c r="B28" s="16"/>
      <c r="C28" s="40"/>
      <c r="D28" s="16"/>
    </row>
    <row r="29">
      <c r="A29" s="16"/>
      <c r="B29" s="16"/>
      <c r="C29" s="40"/>
      <c r="D29" s="16"/>
    </row>
    <row r="30">
      <c r="A30" s="16"/>
      <c r="B30" s="16"/>
      <c r="C30" s="40"/>
      <c r="D30" s="16"/>
    </row>
    <row r="31">
      <c r="A31" s="16"/>
      <c r="B31" s="16"/>
      <c r="C31" s="40"/>
      <c r="D31" s="16"/>
    </row>
    <row r="32">
      <c r="A32" s="16"/>
      <c r="B32" s="16"/>
      <c r="C32" s="16"/>
      <c r="D32" s="16"/>
    </row>
    <row r="33">
      <c r="A33" s="16"/>
      <c r="B33" s="16"/>
      <c r="C33" s="16"/>
      <c r="D33" s="16"/>
    </row>
    <row r="34">
      <c r="A34" s="16"/>
      <c r="B34" s="16"/>
      <c r="C34" s="16"/>
      <c r="D34" s="16"/>
    </row>
    <row r="35">
      <c r="A35" s="16"/>
      <c r="B35" s="16"/>
      <c r="C35" s="16"/>
      <c r="D35" s="16"/>
    </row>
    <row r="36">
      <c r="A36" s="16"/>
      <c r="B36" s="16"/>
      <c r="C36" s="16"/>
      <c r="D36" s="16"/>
    </row>
    <row r="37">
      <c r="A37" s="16"/>
      <c r="B37" s="16"/>
      <c r="C37" s="16"/>
      <c r="D37" s="16"/>
    </row>
    <row r="38">
      <c r="A38" s="16"/>
      <c r="B38" s="16"/>
      <c r="C38" s="16"/>
      <c r="D38" s="16"/>
    </row>
    <row r="39">
      <c r="A39" s="16"/>
      <c r="B39" s="16"/>
      <c r="C39" s="16"/>
      <c r="D39" s="16"/>
    </row>
    <row r="40">
      <c r="A40" s="16"/>
      <c r="B40" s="16"/>
      <c r="C40" s="16"/>
      <c r="D40" s="16"/>
    </row>
    <row r="41">
      <c r="A41" s="16"/>
      <c r="B41" s="16"/>
      <c r="C41" s="16"/>
      <c r="D41" s="16"/>
    </row>
    <row r="42">
      <c r="A42" s="16"/>
      <c r="B42" s="16"/>
      <c r="C42" s="16"/>
      <c r="D42" s="16"/>
    </row>
    <row r="43">
      <c r="A43" s="16"/>
      <c r="B43" s="16"/>
      <c r="C43" s="16"/>
      <c r="D43" s="16"/>
    </row>
    <row r="44">
      <c r="A44" s="16"/>
      <c r="B44" s="16"/>
      <c r="C44" s="16"/>
      <c r="D44" s="16"/>
    </row>
    <row r="45">
      <c r="A45" s="16"/>
      <c r="B45" s="16"/>
      <c r="C45" s="16"/>
      <c r="D45" s="16"/>
    </row>
    <row r="46">
      <c r="A46" s="16"/>
      <c r="B46" s="16"/>
      <c r="C46" s="16"/>
      <c r="D46" s="16"/>
    </row>
    <row r="47">
      <c r="A47" s="16"/>
      <c r="B47" s="16"/>
      <c r="C47" s="16"/>
      <c r="D47" s="16"/>
    </row>
    <row r="48">
      <c r="A48" s="16"/>
      <c r="B48" s="16"/>
      <c r="C48" s="16"/>
      <c r="D48" s="16"/>
    </row>
    <row r="49">
      <c r="A49" s="16"/>
      <c r="B49" s="16"/>
      <c r="C49" s="16"/>
      <c r="D49" s="16"/>
    </row>
    <row r="50">
      <c r="A50" s="16"/>
      <c r="B50" s="16"/>
      <c r="C50" s="16"/>
      <c r="D50" s="16"/>
    </row>
    <row r="51">
      <c r="A51" s="16"/>
      <c r="B51" s="16"/>
      <c r="C51" s="16"/>
      <c r="D51" s="16"/>
    </row>
    <row r="52">
      <c r="A52" s="16"/>
      <c r="B52" s="16"/>
      <c r="C52" s="16"/>
      <c r="D52" s="16"/>
    </row>
    <row r="53">
      <c r="A53" s="16"/>
      <c r="B53" s="16"/>
      <c r="C53" s="16"/>
      <c r="D53" s="16"/>
    </row>
    <row r="54">
      <c r="A54" s="16"/>
      <c r="B54" s="16"/>
      <c r="C54" s="16"/>
      <c r="D54" s="16"/>
    </row>
    <row r="55">
      <c r="A55" s="16"/>
      <c r="B55" s="16"/>
      <c r="C55" s="16"/>
      <c r="D55" s="16"/>
    </row>
    <row r="56">
      <c r="A56" s="16"/>
      <c r="B56" s="16"/>
      <c r="C56" s="16"/>
      <c r="D56" s="16"/>
    </row>
    <row r="57">
      <c r="A57" s="16"/>
      <c r="B57" s="16"/>
      <c r="C57" s="16"/>
      <c r="D57" s="16"/>
    </row>
    <row r="58">
      <c r="A58" s="16"/>
      <c r="B58" s="16"/>
      <c r="C58" s="16"/>
      <c r="D58" s="16"/>
    </row>
    <row r="59">
      <c r="A59" s="16"/>
      <c r="B59" s="16"/>
      <c r="C59" s="16"/>
      <c r="D59" s="16"/>
    </row>
    <row r="60">
      <c r="A60" s="16"/>
      <c r="B60" s="16"/>
      <c r="C60" s="16"/>
      <c r="D60" s="16"/>
    </row>
    <row r="61">
      <c r="A61" s="16"/>
      <c r="B61" s="16"/>
      <c r="C61" s="16"/>
      <c r="D61" s="16"/>
    </row>
    <row r="62">
      <c r="A62" s="16"/>
      <c r="B62" s="16"/>
      <c r="C62" s="16"/>
      <c r="D62" s="16"/>
    </row>
    <row r="63">
      <c r="A63" s="16"/>
      <c r="B63" s="16"/>
      <c r="C63" s="16"/>
      <c r="D63" s="16"/>
    </row>
    <row r="64">
      <c r="A64" s="16"/>
      <c r="B64" s="16"/>
      <c r="C64" s="16"/>
      <c r="D64" s="16"/>
    </row>
    <row r="65">
      <c r="A65" s="16"/>
      <c r="B65" s="16"/>
      <c r="C65" s="16"/>
      <c r="D65" s="16"/>
    </row>
    <row r="66">
      <c r="A66" s="16"/>
      <c r="B66" s="16"/>
      <c r="C66" s="16"/>
      <c r="D66" s="16"/>
    </row>
    <row r="67">
      <c r="A67" s="16"/>
      <c r="B67" s="16"/>
      <c r="C67" s="16"/>
      <c r="D67" s="16"/>
    </row>
    <row r="68">
      <c r="A68" s="16"/>
      <c r="B68" s="16"/>
      <c r="C68" s="16"/>
      <c r="D68" s="16"/>
    </row>
    <row r="69">
      <c r="A69" s="16"/>
      <c r="B69" s="16"/>
      <c r="C69" s="16"/>
      <c r="D69" s="16"/>
    </row>
    <row r="70">
      <c r="A70" s="16"/>
      <c r="B70" s="16"/>
      <c r="C70" s="16"/>
      <c r="D70" s="16"/>
    </row>
    <row r="71">
      <c r="A71" s="16"/>
      <c r="B71" s="16"/>
      <c r="C71" s="16"/>
      <c r="D71" s="16"/>
    </row>
    <row r="72">
      <c r="A72" s="16"/>
      <c r="B72" s="16"/>
      <c r="C72" s="16"/>
      <c r="D72" s="16"/>
    </row>
    <row r="73">
      <c r="A73" s="16"/>
      <c r="B73" s="16"/>
      <c r="C73" s="16"/>
      <c r="D73" s="16"/>
    </row>
    <row r="74">
      <c r="A74" s="16"/>
      <c r="B74" s="16"/>
      <c r="C74" s="16"/>
      <c r="D74" s="16"/>
    </row>
    <row r="75">
      <c r="A75" s="16"/>
      <c r="B75" s="16"/>
      <c r="C75" s="16"/>
      <c r="D75" s="16"/>
    </row>
    <row r="76">
      <c r="A76" s="16"/>
      <c r="B76" s="16"/>
      <c r="C76" s="16"/>
      <c r="D76" s="16"/>
    </row>
    <row r="77">
      <c r="A77" s="16"/>
      <c r="B77" s="16"/>
      <c r="C77" s="16"/>
      <c r="D77" s="16"/>
    </row>
    <row r="78">
      <c r="A78" s="16"/>
      <c r="B78" s="16"/>
      <c r="C78" s="16"/>
      <c r="D78" s="16"/>
    </row>
    <row r="79">
      <c r="A79" s="16"/>
      <c r="B79" s="16"/>
      <c r="C79" s="16"/>
      <c r="D79" s="16"/>
    </row>
    <row r="80">
      <c r="A80" s="16"/>
      <c r="B80" s="16"/>
      <c r="C80" s="16"/>
      <c r="D80" s="16"/>
    </row>
    <row r="81">
      <c r="A81" s="16"/>
      <c r="B81" s="16"/>
      <c r="C81" s="16"/>
      <c r="D81" s="16"/>
    </row>
    <row r="82">
      <c r="A82" s="16"/>
      <c r="B82" s="16"/>
      <c r="C82" s="16"/>
      <c r="D82" s="16"/>
    </row>
    <row r="83">
      <c r="A83" s="16"/>
      <c r="B83" s="16"/>
      <c r="C83" s="16"/>
      <c r="D83" s="16"/>
    </row>
    <row r="84">
      <c r="A84" s="16"/>
      <c r="B84" s="16"/>
      <c r="C84" s="16"/>
      <c r="D84" s="16"/>
    </row>
    <row r="85">
      <c r="A85" s="16"/>
      <c r="B85" s="16"/>
      <c r="C85" s="16"/>
      <c r="D85" s="16"/>
    </row>
    <row r="86">
      <c r="A86" s="16"/>
      <c r="B86" s="16"/>
      <c r="C86" s="16"/>
      <c r="D86" s="16"/>
    </row>
    <row r="87">
      <c r="A87" s="16"/>
      <c r="B87" s="16"/>
      <c r="C87" s="16"/>
      <c r="D87" s="16"/>
    </row>
    <row r="88">
      <c r="A88" s="16"/>
      <c r="B88" s="16"/>
      <c r="C88" s="16"/>
      <c r="D88" s="16"/>
    </row>
    <row r="89">
      <c r="A89" s="16"/>
      <c r="B89" s="16"/>
      <c r="C89" s="16"/>
      <c r="D89" s="16"/>
    </row>
    <row r="90">
      <c r="A90" s="16"/>
      <c r="B90" s="16"/>
      <c r="C90" s="16"/>
      <c r="D90" s="16"/>
    </row>
    <row r="91">
      <c r="A91" s="16"/>
      <c r="B91" s="16"/>
      <c r="C91" s="16"/>
      <c r="D91" s="16"/>
    </row>
    <row r="92">
      <c r="A92" s="16"/>
      <c r="B92" s="16"/>
      <c r="C92" s="16"/>
      <c r="D92" s="16"/>
    </row>
    <row r="93">
      <c r="A93" s="16"/>
      <c r="B93" s="16"/>
      <c r="C93" s="16"/>
      <c r="D93" s="16"/>
    </row>
    <row r="94">
      <c r="A94" s="16"/>
      <c r="B94" s="16"/>
      <c r="C94" s="16"/>
      <c r="D94" s="16"/>
    </row>
    <row r="95">
      <c r="A95" s="16"/>
      <c r="B95" s="16"/>
      <c r="C95" s="16"/>
      <c r="D95" s="16"/>
    </row>
    <row r="96">
      <c r="A96" s="16"/>
      <c r="B96" s="16"/>
      <c r="C96" s="16"/>
      <c r="D96" s="16"/>
    </row>
    <row r="97">
      <c r="A97" s="16"/>
      <c r="B97" s="16"/>
      <c r="C97" s="16"/>
      <c r="D97" s="16"/>
    </row>
    <row r="98">
      <c r="A98" s="16"/>
      <c r="B98" s="16"/>
      <c r="C98" s="16"/>
      <c r="D98" s="16"/>
    </row>
    <row r="99">
      <c r="A99" s="16"/>
      <c r="B99" s="16"/>
      <c r="C99" s="16"/>
      <c r="D99" s="16"/>
    </row>
    <row r="100">
      <c r="A100" s="16"/>
      <c r="B100" s="16"/>
      <c r="C100" s="16"/>
      <c r="D100" s="16"/>
    </row>
    <row r="101">
      <c r="A101" s="16"/>
      <c r="B101" s="16"/>
      <c r="C101" s="16"/>
      <c r="D101" s="16"/>
    </row>
    <row r="102">
      <c r="A102" s="16"/>
      <c r="B102" s="16"/>
      <c r="C102" s="16"/>
      <c r="D102" s="16"/>
    </row>
    <row r="103">
      <c r="A103" s="16"/>
      <c r="B103" s="16"/>
      <c r="C103" s="16"/>
      <c r="D103" s="16"/>
    </row>
    <row r="104">
      <c r="A104" s="16"/>
      <c r="B104" s="16"/>
      <c r="C104" s="16"/>
      <c r="D104" s="16"/>
    </row>
    <row r="105">
      <c r="A105" s="16"/>
      <c r="B105" s="16"/>
      <c r="C105" s="16"/>
      <c r="D105" s="16"/>
    </row>
    <row r="106">
      <c r="A106" s="16"/>
      <c r="B106" s="16"/>
      <c r="C106" s="16"/>
      <c r="D106" s="16"/>
    </row>
    <row r="107">
      <c r="A107" s="16"/>
      <c r="B107" s="16"/>
      <c r="C107" s="16"/>
      <c r="D107" s="16"/>
    </row>
    <row r="108">
      <c r="A108" s="16"/>
      <c r="B108" s="16"/>
      <c r="C108" s="16"/>
      <c r="D108" s="16"/>
    </row>
    <row r="109">
      <c r="A109" s="16"/>
      <c r="B109" s="16"/>
      <c r="C109" s="16"/>
      <c r="D109" s="16"/>
    </row>
    <row r="110">
      <c r="A110" s="16"/>
      <c r="B110" s="16"/>
      <c r="C110" s="16"/>
      <c r="D110" s="16"/>
    </row>
    <row r="111">
      <c r="A111" s="16"/>
      <c r="B111" s="16"/>
      <c r="C111" s="16"/>
      <c r="D111" s="16"/>
    </row>
    <row r="112">
      <c r="A112" s="16"/>
      <c r="B112" s="16"/>
      <c r="C112" s="16"/>
      <c r="D112" s="16"/>
    </row>
    <row r="113">
      <c r="A113" s="16"/>
      <c r="B113" s="16"/>
      <c r="C113" s="16"/>
      <c r="D113" s="16"/>
    </row>
    <row r="114">
      <c r="A114" s="16"/>
      <c r="B114" s="16"/>
      <c r="C114" s="16"/>
      <c r="D114" s="16"/>
    </row>
    <row r="115">
      <c r="A115" s="16"/>
      <c r="B115" s="16"/>
      <c r="C115" s="16"/>
      <c r="D115" s="16"/>
    </row>
    <row r="116">
      <c r="A116" s="16"/>
      <c r="B116" s="16"/>
      <c r="C116" s="16"/>
      <c r="D116" s="16"/>
    </row>
    <row r="117">
      <c r="A117" s="16"/>
      <c r="B117" s="16"/>
      <c r="C117" s="16"/>
      <c r="D117" s="16"/>
    </row>
    <row r="118">
      <c r="A118" s="16"/>
      <c r="B118" s="16"/>
      <c r="C118" s="16"/>
      <c r="D118" s="16"/>
    </row>
    <row r="119">
      <c r="A119" s="16"/>
      <c r="B119" s="16"/>
      <c r="C119" s="16"/>
      <c r="D119" s="16"/>
    </row>
    <row r="120">
      <c r="A120" s="16"/>
      <c r="B120" s="16"/>
      <c r="C120" s="16"/>
      <c r="D120" s="16"/>
    </row>
    <row r="121">
      <c r="A121" s="16"/>
      <c r="B121" s="16"/>
      <c r="C121" s="16"/>
      <c r="D121" s="16"/>
    </row>
    <row r="122">
      <c r="A122" s="16"/>
      <c r="B122" s="16"/>
      <c r="C122" s="16"/>
      <c r="D122" s="16"/>
    </row>
    <row r="123">
      <c r="A123" s="16"/>
      <c r="B123" s="16"/>
      <c r="C123" s="16"/>
      <c r="D123" s="16"/>
    </row>
    <row r="124">
      <c r="A124" s="16"/>
      <c r="B124" s="16"/>
      <c r="C124" s="16"/>
      <c r="D124" s="16"/>
    </row>
    <row r="125">
      <c r="A125" s="16"/>
      <c r="B125" s="16"/>
      <c r="C125" s="16"/>
      <c r="D125" s="16"/>
    </row>
    <row r="126">
      <c r="A126" s="16"/>
      <c r="B126" s="16"/>
      <c r="C126" s="16"/>
      <c r="D126" s="16"/>
    </row>
    <row r="127">
      <c r="A127" s="16"/>
      <c r="B127" s="16"/>
      <c r="C127" s="16"/>
      <c r="D127" s="16"/>
    </row>
    <row r="128">
      <c r="A128" s="16"/>
      <c r="B128" s="16"/>
      <c r="C128" s="16"/>
      <c r="D128" s="16"/>
    </row>
    <row r="129">
      <c r="A129" s="16"/>
      <c r="B129" s="16"/>
      <c r="C129" s="16"/>
      <c r="D129" s="16"/>
    </row>
    <row r="130">
      <c r="A130" s="16"/>
      <c r="B130" s="16"/>
      <c r="C130" s="16"/>
      <c r="D130" s="16"/>
    </row>
    <row r="131">
      <c r="A131" s="16"/>
      <c r="B131" s="16"/>
      <c r="C131" s="16"/>
      <c r="D131" s="16"/>
    </row>
    <row r="132">
      <c r="A132" s="16"/>
      <c r="B132" s="16"/>
      <c r="C132" s="16"/>
      <c r="D132" s="16"/>
    </row>
    <row r="133">
      <c r="A133" s="16"/>
      <c r="B133" s="16"/>
      <c r="C133" s="16"/>
      <c r="D133" s="16"/>
    </row>
    <row r="134">
      <c r="A134" s="16"/>
      <c r="B134" s="16"/>
      <c r="C134" s="16"/>
      <c r="D134" s="16"/>
    </row>
    <row r="135">
      <c r="A135" s="16"/>
      <c r="B135" s="16"/>
      <c r="C135" s="16"/>
      <c r="D135" s="16"/>
    </row>
    <row r="136">
      <c r="A136" s="16"/>
      <c r="B136" s="16"/>
      <c r="C136" s="16"/>
      <c r="D136" s="16"/>
    </row>
    <row r="137">
      <c r="A137" s="16"/>
      <c r="B137" s="16"/>
      <c r="C137" s="16"/>
      <c r="D137" s="16"/>
    </row>
    <row r="138">
      <c r="A138" s="16"/>
      <c r="B138" s="16"/>
      <c r="C138" s="16"/>
      <c r="D138" s="16"/>
    </row>
    <row r="139">
      <c r="A139" s="16"/>
      <c r="B139" s="16"/>
      <c r="C139" s="16"/>
      <c r="D139" s="16"/>
    </row>
    <row r="140">
      <c r="A140" s="16"/>
      <c r="B140" s="16"/>
      <c r="C140" s="16"/>
      <c r="D140" s="16"/>
    </row>
    <row r="141">
      <c r="A141" s="16"/>
      <c r="B141" s="16"/>
      <c r="C141" s="16"/>
      <c r="D141" s="16"/>
    </row>
    <row r="142">
      <c r="A142" s="16"/>
      <c r="B142" s="16"/>
      <c r="C142" s="16"/>
      <c r="D142" s="16"/>
    </row>
    <row r="143">
      <c r="A143" s="16"/>
      <c r="B143" s="16"/>
      <c r="C143" s="16"/>
      <c r="D143" s="16"/>
    </row>
    <row r="144">
      <c r="A144" s="16"/>
      <c r="B144" s="16"/>
      <c r="C144" s="16"/>
      <c r="D144" s="16"/>
    </row>
    <row r="145">
      <c r="A145" s="16"/>
      <c r="B145" s="16"/>
      <c r="C145" s="16"/>
      <c r="D145" s="16"/>
    </row>
    <row r="146">
      <c r="A146" s="16"/>
      <c r="B146" s="16"/>
      <c r="C146" s="16"/>
      <c r="D146" s="16"/>
    </row>
    <row r="147">
      <c r="A147" s="16"/>
      <c r="B147" s="16"/>
      <c r="C147" s="16"/>
      <c r="D147" s="16"/>
    </row>
    <row r="148">
      <c r="A148" s="16"/>
      <c r="B148" s="16"/>
      <c r="C148" s="16"/>
      <c r="D148" s="16"/>
    </row>
    <row r="149">
      <c r="A149" s="16"/>
      <c r="B149" s="16"/>
      <c r="C149" s="16"/>
      <c r="D149" s="16"/>
    </row>
    <row r="150">
      <c r="A150" s="16"/>
      <c r="B150" s="16"/>
      <c r="C150" s="16"/>
      <c r="D150" s="16"/>
    </row>
    <row r="151">
      <c r="A151" s="16"/>
      <c r="B151" s="16"/>
      <c r="C151" s="16"/>
      <c r="D151" s="16"/>
    </row>
    <row r="152">
      <c r="A152" s="16"/>
      <c r="B152" s="16"/>
      <c r="C152" s="16"/>
      <c r="D152" s="16"/>
    </row>
    <row r="153">
      <c r="A153" s="16"/>
      <c r="B153" s="16"/>
      <c r="C153" s="16"/>
      <c r="D153" s="16"/>
    </row>
    <row r="154">
      <c r="A154" s="16"/>
      <c r="B154" s="16"/>
      <c r="C154" s="16"/>
      <c r="D154" s="16"/>
    </row>
    <row r="155">
      <c r="A155" s="16"/>
      <c r="B155" s="16"/>
      <c r="C155" s="16"/>
      <c r="D155" s="16"/>
    </row>
    <row r="156">
      <c r="A156" s="16"/>
      <c r="B156" s="16"/>
      <c r="C156" s="16"/>
      <c r="D156" s="16"/>
    </row>
    <row r="157">
      <c r="A157" s="16"/>
      <c r="B157" s="16"/>
      <c r="C157" s="16"/>
      <c r="D157" s="16"/>
    </row>
    <row r="158">
      <c r="A158" s="16"/>
      <c r="B158" s="16"/>
      <c r="C158" s="16"/>
      <c r="D158" s="16"/>
    </row>
    <row r="159">
      <c r="A159" s="16"/>
      <c r="B159" s="16"/>
      <c r="C159" s="16"/>
      <c r="D159" s="16"/>
    </row>
    <row r="160">
      <c r="A160" s="16"/>
      <c r="B160" s="16"/>
      <c r="C160" s="16"/>
      <c r="D160" s="16"/>
    </row>
    <row r="161">
      <c r="A161" s="16"/>
      <c r="B161" s="16"/>
      <c r="C161" s="16"/>
      <c r="D161" s="16"/>
    </row>
    <row r="162">
      <c r="A162" s="16"/>
      <c r="B162" s="16"/>
      <c r="C162" s="16"/>
      <c r="D162" s="16"/>
    </row>
    <row r="163">
      <c r="A163" s="16"/>
      <c r="B163" s="16"/>
      <c r="C163" s="16"/>
      <c r="D163" s="16"/>
    </row>
    <row r="164">
      <c r="A164" s="16"/>
      <c r="B164" s="16"/>
      <c r="C164" s="16"/>
      <c r="D164" s="16"/>
    </row>
    <row r="165">
      <c r="A165" s="16"/>
      <c r="B165" s="16"/>
      <c r="C165" s="16"/>
      <c r="D165" s="16"/>
    </row>
    <row r="166">
      <c r="A166" s="16"/>
      <c r="B166" s="16"/>
      <c r="C166" s="16"/>
      <c r="D166" s="16"/>
    </row>
    <row r="167">
      <c r="A167" s="16"/>
      <c r="B167" s="16"/>
      <c r="C167" s="16"/>
      <c r="D167" s="16"/>
    </row>
    <row r="168">
      <c r="A168" s="16"/>
      <c r="B168" s="16"/>
      <c r="C168" s="16"/>
      <c r="D168" s="16"/>
    </row>
    <row r="169">
      <c r="A169" s="16"/>
      <c r="B169" s="16"/>
      <c r="C169" s="16"/>
      <c r="D169" s="16"/>
    </row>
    <row r="170">
      <c r="A170" s="16"/>
      <c r="B170" s="16"/>
      <c r="C170" s="16"/>
      <c r="D170" s="16"/>
    </row>
    <row r="171">
      <c r="A171" s="16"/>
      <c r="B171" s="16"/>
      <c r="C171" s="16"/>
      <c r="D171" s="16"/>
    </row>
    <row r="172">
      <c r="A172" s="16"/>
      <c r="B172" s="16"/>
      <c r="C172" s="16"/>
      <c r="D172" s="16"/>
    </row>
    <row r="173">
      <c r="A173" s="16"/>
      <c r="B173" s="16"/>
      <c r="C173" s="16"/>
      <c r="D173" s="16"/>
    </row>
    <row r="174">
      <c r="A174" s="16"/>
      <c r="B174" s="16"/>
      <c r="C174" s="16"/>
      <c r="D174" s="16"/>
    </row>
    <row r="175">
      <c r="A175" s="16"/>
      <c r="B175" s="16"/>
      <c r="C175" s="16"/>
      <c r="D175" s="16"/>
    </row>
    <row r="176">
      <c r="A176" s="16"/>
      <c r="B176" s="16"/>
      <c r="C176" s="16"/>
      <c r="D176" s="16"/>
    </row>
    <row r="177">
      <c r="A177" s="16"/>
      <c r="B177" s="16"/>
      <c r="C177" s="16"/>
      <c r="D177" s="16"/>
    </row>
    <row r="178">
      <c r="A178" s="16"/>
      <c r="B178" s="16"/>
      <c r="C178" s="16"/>
      <c r="D178" s="16"/>
    </row>
    <row r="179">
      <c r="A179" s="16"/>
      <c r="B179" s="16"/>
      <c r="C179" s="16"/>
      <c r="D179" s="16"/>
    </row>
    <row r="180">
      <c r="A180" s="16"/>
      <c r="B180" s="16"/>
      <c r="C180" s="16"/>
      <c r="D180" s="16"/>
    </row>
    <row r="181">
      <c r="A181" s="16"/>
      <c r="B181" s="16"/>
      <c r="C181" s="16"/>
      <c r="D181" s="16"/>
    </row>
    <row r="182">
      <c r="A182" s="16"/>
      <c r="B182" s="16"/>
      <c r="C182" s="16"/>
      <c r="D182" s="16"/>
    </row>
    <row r="183">
      <c r="A183" s="16"/>
      <c r="B183" s="16"/>
      <c r="C183" s="16"/>
      <c r="D183" s="16"/>
    </row>
    <row r="184">
      <c r="A184" s="16"/>
      <c r="B184" s="16"/>
      <c r="C184" s="16"/>
      <c r="D184" s="16"/>
    </row>
    <row r="185">
      <c r="A185" s="16"/>
      <c r="B185" s="16"/>
      <c r="C185" s="16"/>
      <c r="D185" s="16"/>
    </row>
    <row r="186">
      <c r="A186" s="16"/>
      <c r="B186" s="16"/>
      <c r="C186" s="16"/>
      <c r="D186" s="16"/>
    </row>
    <row r="187">
      <c r="A187" s="16"/>
      <c r="B187" s="16"/>
      <c r="C187" s="16"/>
      <c r="D187" s="16"/>
    </row>
    <row r="188">
      <c r="A188" s="16"/>
      <c r="B188" s="16"/>
      <c r="C188" s="16"/>
      <c r="D188" s="16"/>
    </row>
    <row r="189">
      <c r="A189" s="16"/>
      <c r="B189" s="16"/>
      <c r="C189" s="16"/>
      <c r="D189" s="16"/>
    </row>
    <row r="190">
      <c r="A190" s="16"/>
      <c r="B190" s="16"/>
      <c r="C190" s="16"/>
      <c r="D190" s="16"/>
    </row>
    <row r="191">
      <c r="A191" s="16"/>
      <c r="B191" s="16"/>
      <c r="C191" s="16"/>
      <c r="D191" s="16"/>
    </row>
    <row r="192">
      <c r="A192" s="16"/>
      <c r="B192" s="16"/>
      <c r="C192" s="16"/>
      <c r="D192" s="16"/>
    </row>
    <row r="193">
      <c r="A193" s="16"/>
      <c r="B193" s="16"/>
      <c r="C193" s="16"/>
      <c r="D193" s="16"/>
    </row>
    <row r="194">
      <c r="A194" s="16"/>
      <c r="B194" s="16"/>
      <c r="C194" s="16"/>
      <c r="D194" s="16"/>
    </row>
    <row r="195">
      <c r="A195" s="16"/>
      <c r="B195" s="16"/>
      <c r="C195" s="16"/>
      <c r="D195" s="16"/>
    </row>
    <row r="196">
      <c r="A196" s="16"/>
      <c r="B196" s="16"/>
      <c r="C196" s="16"/>
      <c r="D196" s="16"/>
    </row>
    <row r="197">
      <c r="A197" s="16"/>
      <c r="B197" s="16"/>
      <c r="C197" s="16"/>
      <c r="D197" s="16"/>
    </row>
    <row r="198">
      <c r="A198" s="16"/>
      <c r="B198" s="16"/>
      <c r="C198" s="16"/>
      <c r="D198" s="16"/>
    </row>
    <row r="199">
      <c r="A199" s="16"/>
      <c r="B199" s="16"/>
      <c r="C199" s="16"/>
      <c r="D199" s="16"/>
    </row>
    <row r="200">
      <c r="A200" s="16"/>
      <c r="B200" s="16"/>
      <c r="C200" s="16"/>
      <c r="D200" s="16"/>
    </row>
    <row r="201">
      <c r="A201" s="16"/>
      <c r="B201" s="16"/>
      <c r="C201" s="16"/>
      <c r="D201" s="16"/>
    </row>
    <row r="202">
      <c r="A202" s="16"/>
      <c r="B202" s="16"/>
      <c r="C202" s="16"/>
      <c r="D202" s="16"/>
    </row>
    <row r="203">
      <c r="A203" s="16"/>
      <c r="B203" s="16"/>
      <c r="C203" s="16"/>
      <c r="D203" s="16"/>
    </row>
    <row r="204">
      <c r="A204" s="16"/>
      <c r="B204" s="16"/>
      <c r="C204" s="16"/>
      <c r="D204" s="16"/>
    </row>
    <row r="205">
      <c r="A205" s="16"/>
      <c r="B205" s="16"/>
      <c r="C205" s="16"/>
      <c r="D205" s="16"/>
    </row>
    <row r="206">
      <c r="A206" s="16"/>
      <c r="B206" s="16"/>
      <c r="C206" s="16"/>
      <c r="D206" s="16"/>
    </row>
    <row r="207">
      <c r="A207" s="16"/>
      <c r="B207" s="16"/>
      <c r="C207" s="16"/>
      <c r="D207" s="16"/>
    </row>
    <row r="208">
      <c r="A208" s="16"/>
      <c r="B208" s="16"/>
      <c r="C208" s="16"/>
      <c r="D208" s="16"/>
    </row>
    <row r="209">
      <c r="A209" s="16"/>
      <c r="B209" s="16"/>
      <c r="C209" s="16"/>
      <c r="D209" s="16"/>
    </row>
    <row r="210">
      <c r="A210" s="16"/>
      <c r="B210" s="16"/>
      <c r="C210" s="16"/>
      <c r="D210" s="16"/>
    </row>
    <row r="211">
      <c r="A211" s="16"/>
      <c r="B211" s="16"/>
      <c r="C211" s="16"/>
      <c r="D211" s="16"/>
    </row>
    <row r="212">
      <c r="A212" s="16"/>
      <c r="B212" s="16"/>
      <c r="C212" s="16"/>
      <c r="D212" s="16"/>
    </row>
    <row r="213">
      <c r="A213" s="16"/>
      <c r="B213" s="16"/>
      <c r="C213" s="16"/>
      <c r="D213" s="16"/>
    </row>
    <row r="214">
      <c r="A214" s="16"/>
      <c r="B214" s="16"/>
      <c r="C214" s="16"/>
      <c r="D214" s="16"/>
    </row>
    <row r="215">
      <c r="A215" s="16"/>
      <c r="B215" s="16"/>
      <c r="C215" s="16"/>
      <c r="D215" s="16"/>
    </row>
    <row r="216">
      <c r="A216" s="16"/>
      <c r="B216" s="16"/>
      <c r="C216" s="16"/>
      <c r="D216" s="16"/>
    </row>
    <row r="217">
      <c r="A217" s="16"/>
      <c r="B217" s="16"/>
      <c r="C217" s="16"/>
      <c r="D217" s="16"/>
    </row>
    <row r="218">
      <c r="A218" s="16"/>
      <c r="B218" s="16"/>
      <c r="C218" s="16"/>
      <c r="D218" s="16"/>
    </row>
    <row r="219">
      <c r="A219" s="16"/>
      <c r="B219" s="16"/>
      <c r="C219" s="16"/>
      <c r="D219" s="16"/>
    </row>
    <row r="220">
      <c r="A220" s="16"/>
      <c r="B220" s="16"/>
      <c r="C220" s="16"/>
      <c r="D220" s="16"/>
    </row>
    <row r="221">
      <c r="A221" s="16"/>
      <c r="B221" s="16"/>
      <c r="C221" s="16"/>
      <c r="D221" s="16"/>
    </row>
    <row r="222">
      <c r="A222" s="16"/>
      <c r="B222" s="16"/>
      <c r="C222" s="16"/>
      <c r="D222" s="16"/>
    </row>
    <row r="223">
      <c r="A223" s="16"/>
      <c r="B223" s="16"/>
      <c r="C223" s="16"/>
      <c r="D223" s="16"/>
    </row>
    <row r="224">
      <c r="A224" s="16"/>
      <c r="B224" s="16"/>
      <c r="C224" s="16"/>
      <c r="D224" s="16"/>
    </row>
    <row r="225">
      <c r="A225" s="16"/>
      <c r="B225" s="16"/>
      <c r="C225" s="16"/>
      <c r="D225" s="16"/>
    </row>
    <row r="226">
      <c r="A226" s="16"/>
      <c r="B226" s="16"/>
      <c r="C226" s="16"/>
      <c r="D226" s="16"/>
    </row>
    <row r="227">
      <c r="A227" s="16"/>
      <c r="B227" s="16"/>
      <c r="C227" s="16"/>
      <c r="D227" s="16"/>
    </row>
    <row r="228">
      <c r="A228" s="16"/>
      <c r="B228" s="16"/>
      <c r="C228" s="16"/>
      <c r="D228" s="16"/>
    </row>
    <row r="229">
      <c r="A229" s="16"/>
      <c r="B229" s="16"/>
      <c r="C229" s="16"/>
      <c r="D229" s="16"/>
    </row>
    <row r="230">
      <c r="A230" s="16"/>
      <c r="B230" s="16"/>
      <c r="C230" s="16"/>
      <c r="D230" s="16"/>
    </row>
    <row r="231">
      <c r="A231" s="16"/>
      <c r="B231" s="16"/>
      <c r="C231" s="16"/>
      <c r="D231" s="16"/>
    </row>
    <row r="232">
      <c r="A232" s="16"/>
      <c r="B232" s="16"/>
      <c r="C232" s="16"/>
      <c r="D232" s="16"/>
    </row>
    <row r="233">
      <c r="A233" s="16"/>
      <c r="B233" s="16"/>
      <c r="C233" s="16"/>
      <c r="D233" s="16"/>
    </row>
    <row r="234">
      <c r="A234" s="16"/>
      <c r="B234" s="16"/>
      <c r="C234" s="16"/>
      <c r="D234" s="16"/>
    </row>
    <row r="235">
      <c r="A235" s="16"/>
      <c r="B235" s="16"/>
      <c r="C235" s="16"/>
      <c r="D235" s="16"/>
    </row>
    <row r="236">
      <c r="A236" s="16"/>
      <c r="B236" s="16"/>
      <c r="C236" s="16"/>
      <c r="D236" s="16"/>
    </row>
    <row r="237">
      <c r="A237" s="16"/>
      <c r="B237" s="16"/>
      <c r="C237" s="16"/>
      <c r="D237" s="16"/>
    </row>
    <row r="238">
      <c r="A238" s="16"/>
      <c r="B238" s="16"/>
      <c r="C238" s="16"/>
      <c r="D238" s="16"/>
    </row>
    <row r="239">
      <c r="A239" s="16"/>
      <c r="B239" s="16"/>
      <c r="C239" s="16"/>
      <c r="D239" s="16"/>
    </row>
    <row r="240">
      <c r="A240" s="16"/>
      <c r="B240" s="16"/>
      <c r="C240" s="16"/>
      <c r="D240" s="16"/>
    </row>
    <row r="241">
      <c r="A241" s="16"/>
      <c r="B241" s="16"/>
      <c r="C241" s="16"/>
      <c r="D241" s="16"/>
    </row>
    <row r="242">
      <c r="A242" s="16"/>
      <c r="B242" s="16"/>
      <c r="C242" s="16"/>
      <c r="D242" s="16"/>
    </row>
    <row r="243">
      <c r="A243" s="16"/>
      <c r="B243" s="16"/>
      <c r="C243" s="16"/>
      <c r="D243" s="16"/>
    </row>
    <row r="244">
      <c r="A244" s="16"/>
      <c r="B244" s="16"/>
      <c r="C244" s="16"/>
      <c r="D244" s="16"/>
    </row>
    <row r="245">
      <c r="A245" s="16"/>
      <c r="B245" s="16"/>
      <c r="C245" s="16"/>
      <c r="D245" s="16"/>
    </row>
    <row r="246">
      <c r="A246" s="16"/>
      <c r="B246" s="16"/>
      <c r="C246" s="16"/>
      <c r="D246" s="16"/>
    </row>
    <row r="247">
      <c r="A247" s="16"/>
      <c r="B247" s="16"/>
      <c r="C247" s="16"/>
      <c r="D247" s="16"/>
    </row>
    <row r="248">
      <c r="A248" s="16"/>
      <c r="B248" s="16"/>
      <c r="C248" s="16"/>
      <c r="D248" s="16"/>
    </row>
    <row r="249">
      <c r="A249" s="16"/>
      <c r="B249" s="16"/>
      <c r="C249" s="16"/>
      <c r="D249" s="16"/>
    </row>
    <row r="250">
      <c r="A250" s="16"/>
      <c r="B250" s="16"/>
      <c r="C250" s="16"/>
      <c r="D250" s="16"/>
    </row>
    <row r="251">
      <c r="A251" s="16"/>
      <c r="B251" s="16"/>
      <c r="C251" s="16"/>
      <c r="D251" s="16"/>
    </row>
    <row r="252">
      <c r="A252" s="16"/>
      <c r="B252" s="16"/>
      <c r="C252" s="16"/>
      <c r="D252" s="16"/>
    </row>
    <row r="253">
      <c r="A253" s="16"/>
      <c r="B253" s="16"/>
      <c r="C253" s="16"/>
      <c r="D253" s="16"/>
    </row>
    <row r="254">
      <c r="A254" s="16"/>
      <c r="B254" s="16"/>
      <c r="C254" s="16"/>
      <c r="D254" s="16"/>
    </row>
    <row r="255">
      <c r="A255" s="16"/>
      <c r="B255" s="16"/>
      <c r="C255" s="16"/>
      <c r="D255" s="16"/>
    </row>
    <row r="256">
      <c r="A256" s="16"/>
      <c r="B256" s="16"/>
      <c r="C256" s="16"/>
      <c r="D256" s="16"/>
    </row>
    <row r="257">
      <c r="A257" s="16"/>
      <c r="B257" s="16"/>
      <c r="C257" s="16"/>
      <c r="D257" s="16"/>
    </row>
    <row r="258">
      <c r="A258" s="16"/>
      <c r="B258" s="16"/>
      <c r="C258" s="16"/>
      <c r="D258" s="16"/>
    </row>
    <row r="259">
      <c r="A259" s="16"/>
      <c r="B259" s="16"/>
      <c r="C259" s="16"/>
      <c r="D259" s="16"/>
    </row>
    <row r="260">
      <c r="A260" s="16"/>
      <c r="B260" s="16"/>
      <c r="C260" s="16"/>
      <c r="D260" s="16"/>
    </row>
    <row r="261">
      <c r="A261" s="16"/>
      <c r="B261" s="16"/>
      <c r="C261" s="16"/>
      <c r="D261" s="16"/>
    </row>
    <row r="262">
      <c r="A262" s="16"/>
      <c r="B262" s="16"/>
      <c r="C262" s="16"/>
      <c r="D262" s="16"/>
    </row>
    <row r="263">
      <c r="A263" s="16"/>
      <c r="B263" s="16"/>
      <c r="C263" s="16"/>
      <c r="D263" s="16"/>
    </row>
    <row r="264">
      <c r="A264" s="16"/>
      <c r="B264" s="16"/>
      <c r="C264" s="16"/>
      <c r="D264" s="16"/>
    </row>
    <row r="265">
      <c r="A265" s="16"/>
      <c r="B265" s="16"/>
      <c r="C265" s="16"/>
      <c r="D265" s="16"/>
    </row>
    <row r="266">
      <c r="A266" s="16"/>
      <c r="B266" s="16"/>
      <c r="C266" s="16"/>
      <c r="D266" s="16"/>
    </row>
    <row r="267">
      <c r="A267" s="16"/>
      <c r="B267" s="16"/>
      <c r="C267" s="16"/>
      <c r="D267" s="16"/>
    </row>
    <row r="268">
      <c r="A268" s="16"/>
      <c r="B268" s="16"/>
      <c r="C268" s="16"/>
      <c r="D268" s="16"/>
    </row>
    <row r="269">
      <c r="A269" s="16"/>
      <c r="B269" s="16"/>
      <c r="C269" s="16"/>
      <c r="D269" s="16"/>
    </row>
    <row r="270">
      <c r="A270" s="16"/>
      <c r="B270" s="16"/>
      <c r="C270" s="16"/>
      <c r="D270" s="16"/>
    </row>
    <row r="271">
      <c r="A271" s="16"/>
      <c r="B271" s="16"/>
      <c r="C271" s="16"/>
      <c r="D271" s="16"/>
    </row>
    <row r="272">
      <c r="A272" s="16"/>
      <c r="B272" s="16"/>
      <c r="C272" s="16"/>
      <c r="D272" s="16"/>
    </row>
    <row r="273">
      <c r="A273" s="16"/>
      <c r="B273" s="16"/>
      <c r="C273" s="16"/>
      <c r="D273" s="16"/>
    </row>
    <row r="274">
      <c r="A274" s="16"/>
      <c r="B274" s="16"/>
      <c r="C274" s="16"/>
      <c r="D274" s="16"/>
    </row>
    <row r="275">
      <c r="A275" s="16"/>
      <c r="B275" s="16"/>
      <c r="C275" s="16"/>
      <c r="D275" s="16"/>
    </row>
    <row r="276">
      <c r="A276" s="16"/>
      <c r="B276" s="16"/>
      <c r="C276" s="16"/>
      <c r="D276" s="16"/>
    </row>
    <row r="277">
      <c r="A277" s="16"/>
      <c r="B277" s="16"/>
      <c r="C277" s="16"/>
      <c r="D277" s="16"/>
    </row>
    <row r="278">
      <c r="A278" s="16"/>
      <c r="B278" s="16"/>
      <c r="C278" s="16"/>
      <c r="D278" s="16"/>
    </row>
    <row r="279">
      <c r="A279" s="16"/>
      <c r="B279" s="16"/>
      <c r="C279" s="16"/>
      <c r="D279" s="16"/>
    </row>
    <row r="280">
      <c r="A280" s="16"/>
      <c r="B280" s="16"/>
      <c r="C280" s="16"/>
      <c r="D280" s="16"/>
    </row>
    <row r="281">
      <c r="A281" s="16"/>
      <c r="B281" s="16"/>
      <c r="C281" s="16"/>
      <c r="D281" s="16"/>
    </row>
    <row r="282">
      <c r="A282" s="16"/>
      <c r="B282" s="16"/>
      <c r="C282" s="16"/>
      <c r="D282" s="16"/>
    </row>
    <row r="283">
      <c r="A283" s="16"/>
      <c r="B283" s="16"/>
      <c r="C283" s="16"/>
      <c r="D283" s="16"/>
    </row>
    <row r="284">
      <c r="A284" s="16"/>
      <c r="B284" s="16"/>
      <c r="C284" s="16"/>
      <c r="D284" s="16"/>
    </row>
    <row r="285">
      <c r="A285" s="16"/>
      <c r="B285" s="16"/>
      <c r="C285" s="16"/>
      <c r="D285" s="16"/>
    </row>
    <row r="286">
      <c r="A286" s="16"/>
      <c r="B286" s="16"/>
      <c r="C286" s="16"/>
      <c r="D286" s="16"/>
    </row>
    <row r="287">
      <c r="A287" s="16"/>
      <c r="B287" s="16"/>
      <c r="C287" s="16"/>
      <c r="D287" s="16"/>
    </row>
    <row r="288">
      <c r="A288" s="16"/>
      <c r="B288" s="16"/>
      <c r="C288" s="16"/>
      <c r="D288" s="16"/>
    </row>
    <row r="289">
      <c r="A289" s="16"/>
      <c r="B289" s="16"/>
      <c r="C289" s="16"/>
      <c r="D289" s="16"/>
    </row>
    <row r="290">
      <c r="A290" s="16"/>
      <c r="B290" s="16"/>
      <c r="C290" s="16"/>
      <c r="D290" s="16"/>
    </row>
    <row r="291">
      <c r="A291" s="16"/>
      <c r="B291" s="16"/>
      <c r="C291" s="16"/>
      <c r="D291" s="16"/>
    </row>
    <row r="292">
      <c r="A292" s="16"/>
      <c r="B292" s="16"/>
      <c r="C292" s="16"/>
      <c r="D292" s="16"/>
    </row>
    <row r="293">
      <c r="A293" s="16"/>
      <c r="B293" s="16"/>
      <c r="C293" s="16"/>
      <c r="D293" s="16"/>
    </row>
    <row r="294">
      <c r="A294" s="16"/>
      <c r="B294" s="16"/>
      <c r="C294" s="16"/>
      <c r="D294" s="16"/>
    </row>
    <row r="295">
      <c r="A295" s="16"/>
      <c r="B295" s="16"/>
      <c r="C295" s="16"/>
      <c r="D295" s="16"/>
    </row>
    <row r="296">
      <c r="A296" s="16"/>
      <c r="B296" s="16"/>
      <c r="C296" s="16"/>
      <c r="D296" s="16"/>
    </row>
    <row r="297">
      <c r="A297" s="16"/>
      <c r="B297" s="16"/>
      <c r="C297" s="16"/>
      <c r="D297" s="16"/>
    </row>
    <row r="298">
      <c r="A298" s="16"/>
      <c r="B298" s="16"/>
      <c r="C298" s="16"/>
      <c r="D298" s="16"/>
    </row>
    <row r="299">
      <c r="A299" s="16"/>
      <c r="B299" s="16"/>
      <c r="C299" s="16"/>
      <c r="D299" s="16"/>
    </row>
    <row r="300">
      <c r="A300" s="16"/>
      <c r="B300" s="16"/>
      <c r="C300" s="16"/>
      <c r="D300" s="16"/>
    </row>
    <row r="301">
      <c r="A301" s="16"/>
      <c r="B301" s="16"/>
      <c r="C301" s="16"/>
      <c r="D301" s="16"/>
    </row>
    <row r="302">
      <c r="A302" s="16"/>
      <c r="B302" s="16"/>
      <c r="C302" s="16"/>
      <c r="D302" s="16"/>
    </row>
    <row r="303">
      <c r="A303" s="16"/>
      <c r="B303" s="16"/>
      <c r="C303" s="16"/>
      <c r="D303" s="16"/>
    </row>
    <row r="304">
      <c r="A304" s="16"/>
      <c r="B304" s="16"/>
      <c r="C304" s="16"/>
      <c r="D304" s="16"/>
    </row>
    <row r="305">
      <c r="A305" s="16"/>
      <c r="B305" s="16"/>
      <c r="C305" s="16"/>
      <c r="D305" s="16"/>
    </row>
    <row r="306">
      <c r="A306" s="16"/>
      <c r="B306" s="16"/>
      <c r="C306" s="16"/>
      <c r="D306" s="16"/>
    </row>
    <row r="307">
      <c r="A307" s="16"/>
      <c r="B307" s="16"/>
      <c r="C307" s="16"/>
      <c r="D307" s="16"/>
    </row>
    <row r="308">
      <c r="A308" s="16"/>
      <c r="B308" s="16"/>
      <c r="C308" s="16"/>
      <c r="D308" s="16"/>
    </row>
    <row r="309">
      <c r="A309" s="16"/>
      <c r="B309" s="16"/>
      <c r="C309" s="16"/>
      <c r="D309" s="16"/>
    </row>
    <row r="310">
      <c r="A310" s="16"/>
      <c r="B310" s="16"/>
      <c r="C310" s="16"/>
      <c r="D310" s="16"/>
    </row>
    <row r="311">
      <c r="A311" s="16"/>
      <c r="B311" s="16"/>
      <c r="C311" s="16"/>
      <c r="D311" s="16"/>
    </row>
    <row r="312">
      <c r="A312" s="16"/>
      <c r="B312" s="16"/>
      <c r="C312" s="16"/>
      <c r="D312" s="16"/>
    </row>
    <row r="313">
      <c r="A313" s="16"/>
      <c r="B313" s="16"/>
      <c r="C313" s="16"/>
      <c r="D313" s="16"/>
    </row>
    <row r="314">
      <c r="A314" s="16"/>
      <c r="B314" s="16"/>
      <c r="C314" s="16"/>
      <c r="D314" s="16"/>
    </row>
    <row r="315">
      <c r="A315" s="16"/>
      <c r="B315" s="16"/>
      <c r="C315" s="16"/>
      <c r="D315" s="16"/>
    </row>
    <row r="316">
      <c r="A316" s="16"/>
      <c r="B316" s="16"/>
      <c r="C316" s="16"/>
      <c r="D316" s="16"/>
    </row>
    <row r="317">
      <c r="A317" s="16"/>
      <c r="B317" s="16"/>
      <c r="C317" s="16"/>
      <c r="D317" s="16"/>
    </row>
    <row r="318">
      <c r="A318" s="16"/>
      <c r="B318" s="16"/>
      <c r="C318" s="16"/>
      <c r="D318" s="16"/>
    </row>
    <row r="319">
      <c r="A319" s="16"/>
      <c r="B319" s="16"/>
      <c r="C319" s="16"/>
      <c r="D319" s="16"/>
    </row>
    <row r="320">
      <c r="A320" s="16"/>
      <c r="B320" s="16"/>
      <c r="C320" s="16"/>
      <c r="D320" s="16"/>
    </row>
    <row r="321">
      <c r="A321" s="16"/>
      <c r="B321" s="16"/>
      <c r="C321" s="16"/>
      <c r="D321" s="16"/>
    </row>
    <row r="322">
      <c r="A322" s="16"/>
      <c r="B322" s="16"/>
      <c r="C322" s="16"/>
      <c r="D322" s="16"/>
    </row>
    <row r="323">
      <c r="A323" s="16"/>
      <c r="B323" s="16"/>
      <c r="C323" s="16"/>
      <c r="D323" s="16"/>
    </row>
    <row r="324">
      <c r="A324" s="16"/>
      <c r="B324" s="16"/>
      <c r="C324" s="16"/>
      <c r="D324" s="16"/>
    </row>
    <row r="325">
      <c r="A325" s="16"/>
      <c r="B325" s="16"/>
      <c r="C325" s="16"/>
      <c r="D325" s="16"/>
    </row>
    <row r="326">
      <c r="A326" s="16"/>
      <c r="B326" s="16"/>
      <c r="C326" s="16"/>
      <c r="D326" s="16"/>
    </row>
    <row r="327">
      <c r="A327" s="16"/>
      <c r="B327" s="16"/>
      <c r="C327" s="16"/>
      <c r="D327" s="16"/>
    </row>
    <row r="328">
      <c r="A328" s="16"/>
      <c r="B328" s="16"/>
      <c r="C328" s="16"/>
      <c r="D328" s="16"/>
    </row>
    <row r="329">
      <c r="A329" s="16"/>
      <c r="B329" s="16"/>
      <c r="C329" s="16"/>
      <c r="D329" s="16"/>
    </row>
    <row r="330">
      <c r="A330" s="16"/>
      <c r="B330" s="16"/>
      <c r="C330" s="16"/>
      <c r="D330" s="16"/>
    </row>
    <row r="331">
      <c r="A331" s="16"/>
      <c r="B331" s="16"/>
      <c r="C331" s="16"/>
      <c r="D331" s="16"/>
    </row>
    <row r="332">
      <c r="A332" s="16"/>
      <c r="B332" s="16"/>
      <c r="C332" s="16"/>
      <c r="D332" s="16"/>
    </row>
    <row r="333">
      <c r="A333" s="16"/>
      <c r="B333" s="16"/>
      <c r="C333" s="16"/>
      <c r="D333" s="16"/>
    </row>
    <row r="334">
      <c r="A334" s="16"/>
      <c r="B334" s="16"/>
      <c r="C334" s="16"/>
      <c r="D334" s="16"/>
    </row>
    <row r="335">
      <c r="A335" s="16"/>
      <c r="B335" s="16"/>
      <c r="C335" s="16"/>
      <c r="D335" s="16"/>
    </row>
    <row r="336">
      <c r="A336" s="16"/>
      <c r="B336" s="16"/>
      <c r="C336" s="16"/>
      <c r="D336" s="16"/>
    </row>
    <row r="337">
      <c r="A337" s="16"/>
      <c r="B337" s="16"/>
      <c r="C337" s="16"/>
      <c r="D337" s="16"/>
    </row>
    <row r="338">
      <c r="A338" s="16"/>
      <c r="B338" s="16"/>
      <c r="C338" s="16"/>
      <c r="D338" s="16"/>
    </row>
    <row r="339">
      <c r="A339" s="16"/>
      <c r="B339" s="16"/>
      <c r="C339" s="16"/>
      <c r="D339" s="16"/>
    </row>
    <row r="340">
      <c r="A340" s="16"/>
      <c r="B340" s="16"/>
      <c r="C340" s="16"/>
      <c r="D340" s="16"/>
    </row>
    <row r="341">
      <c r="A341" s="16"/>
      <c r="B341" s="16"/>
      <c r="C341" s="16"/>
      <c r="D341" s="16"/>
    </row>
    <row r="342">
      <c r="A342" s="16"/>
      <c r="B342" s="16"/>
      <c r="C342" s="16"/>
      <c r="D342" s="16"/>
    </row>
    <row r="343">
      <c r="A343" s="16"/>
      <c r="B343" s="16"/>
      <c r="C343" s="16"/>
      <c r="D343" s="16"/>
    </row>
    <row r="344">
      <c r="A344" s="16"/>
      <c r="B344" s="16"/>
      <c r="C344" s="16"/>
      <c r="D344" s="16"/>
    </row>
    <row r="345">
      <c r="A345" s="16"/>
      <c r="B345" s="16"/>
      <c r="C345" s="16"/>
      <c r="D345" s="16"/>
    </row>
    <row r="346">
      <c r="A346" s="16"/>
      <c r="B346" s="16"/>
      <c r="C346" s="16"/>
      <c r="D346" s="16"/>
    </row>
    <row r="347">
      <c r="A347" s="16"/>
      <c r="B347" s="16"/>
      <c r="C347" s="16"/>
      <c r="D347" s="16"/>
    </row>
    <row r="348">
      <c r="A348" s="16"/>
      <c r="B348" s="16"/>
      <c r="C348" s="16"/>
      <c r="D348" s="16"/>
    </row>
    <row r="349">
      <c r="A349" s="16"/>
      <c r="B349" s="16"/>
      <c r="C349" s="16"/>
      <c r="D349" s="16"/>
    </row>
    <row r="350">
      <c r="A350" s="16"/>
      <c r="B350" s="16"/>
      <c r="C350" s="16"/>
      <c r="D350" s="16"/>
    </row>
    <row r="351">
      <c r="A351" s="16"/>
      <c r="B351" s="16"/>
      <c r="C351" s="16"/>
      <c r="D351" s="16"/>
    </row>
    <row r="352">
      <c r="A352" s="16"/>
      <c r="B352" s="16"/>
      <c r="C352" s="16"/>
      <c r="D352" s="16"/>
    </row>
    <row r="353">
      <c r="A353" s="16"/>
      <c r="B353" s="16"/>
      <c r="C353" s="16"/>
      <c r="D353" s="16"/>
    </row>
    <row r="354">
      <c r="A354" s="16"/>
      <c r="B354" s="16"/>
      <c r="C354" s="16"/>
      <c r="D354" s="16"/>
    </row>
    <row r="355">
      <c r="A355" s="16"/>
      <c r="B355" s="16"/>
      <c r="C355" s="16"/>
      <c r="D355" s="16"/>
    </row>
    <row r="356">
      <c r="A356" s="16"/>
      <c r="B356" s="16"/>
      <c r="C356" s="16"/>
      <c r="D356" s="16"/>
    </row>
    <row r="357">
      <c r="A357" s="16"/>
      <c r="B357" s="16"/>
      <c r="C357" s="16"/>
      <c r="D357" s="16"/>
    </row>
    <row r="358">
      <c r="A358" s="16"/>
      <c r="B358" s="16"/>
      <c r="C358" s="16"/>
      <c r="D358" s="16"/>
    </row>
    <row r="359">
      <c r="A359" s="16"/>
      <c r="B359" s="16"/>
      <c r="C359" s="16"/>
      <c r="D359" s="16"/>
    </row>
    <row r="360">
      <c r="A360" s="16"/>
      <c r="B360" s="16"/>
      <c r="C360" s="16"/>
      <c r="D360" s="16"/>
    </row>
    <row r="361">
      <c r="A361" s="16"/>
      <c r="B361" s="16"/>
      <c r="C361" s="16"/>
      <c r="D361" s="16"/>
    </row>
    <row r="362">
      <c r="A362" s="16"/>
      <c r="B362" s="16"/>
      <c r="C362" s="16"/>
      <c r="D362" s="16"/>
    </row>
    <row r="363">
      <c r="A363" s="16"/>
      <c r="B363" s="16"/>
      <c r="C363" s="16"/>
      <c r="D363" s="16"/>
    </row>
    <row r="364">
      <c r="A364" s="16"/>
      <c r="B364" s="16"/>
      <c r="C364" s="16"/>
      <c r="D364" s="16"/>
    </row>
    <row r="365">
      <c r="A365" s="16"/>
      <c r="B365" s="16"/>
      <c r="C365" s="16"/>
      <c r="D365" s="16"/>
    </row>
    <row r="366">
      <c r="A366" s="16"/>
      <c r="B366" s="16"/>
      <c r="C366" s="16"/>
      <c r="D366" s="16"/>
    </row>
    <row r="367">
      <c r="A367" s="16"/>
      <c r="B367" s="16"/>
      <c r="C367" s="16"/>
      <c r="D367" s="16"/>
    </row>
    <row r="368">
      <c r="A368" s="16"/>
      <c r="B368" s="16"/>
      <c r="C368" s="16"/>
      <c r="D368" s="16"/>
    </row>
    <row r="369">
      <c r="A369" s="16"/>
      <c r="B369" s="16"/>
      <c r="C369" s="16"/>
      <c r="D369" s="16"/>
    </row>
    <row r="370">
      <c r="A370" s="16"/>
      <c r="B370" s="16"/>
      <c r="C370" s="16"/>
      <c r="D370" s="16"/>
    </row>
    <row r="371">
      <c r="A371" s="16"/>
      <c r="B371" s="16"/>
      <c r="C371" s="16"/>
      <c r="D371" s="16"/>
    </row>
    <row r="372">
      <c r="A372" s="16"/>
      <c r="B372" s="16"/>
      <c r="C372" s="16"/>
      <c r="D372" s="16"/>
    </row>
    <row r="373">
      <c r="A373" s="16"/>
      <c r="B373" s="16"/>
      <c r="C373" s="16"/>
      <c r="D373" s="16"/>
    </row>
    <row r="374">
      <c r="A374" s="16"/>
      <c r="B374" s="16"/>
      <c r="C374" s="16"/>
      <c r="D374" s="16"/>
    </row>
    <row r="375">
      <c r="A375" s="16"/>
      <c r="B375" s="16"/>
      <c r="C375" s="16"/>
      <c r="D375" s="16"/>
    </row>
    <row r="376">
      <c r="A376" s="16"/>
      <c r="B376" s="16"/>
      <c r="C376" s="16"/>
      <c r="D376" s="16"/>
    </row>
    <row r="377">
      <c r="A377" s="16"/>
      <c r="B377" s="16"/>
      <c r="C377" s="16"/>
      <c r="D377" s="16"/>
    </row>
    <row r="378">
      <c r="A378" s="16"/>
      <c r="B378" s="16"/>
      <c r="C378" s="16"/>
      <c r="D378" s="16"/>
    </row>
    <row r="379">
      <c r="A379" s="16"/>
      <c r="B379" s="16"/>
      <c r="C379" s="16"/>
      <c r="D379" s="16"/>
    </row>
    <row r="380">
      <c r="A380" s="16"/>
      <c r="B380" s="16"/>
      <c r="C380" s="16"/>
      <c r="D380" s="16"/>
    </row>
    <row r="381">
      <c r="A381" s="16"/>
      <c r="B381" s="16"/>
      <c r="C381" s="16"/>
      <c r="D381" s="16"/>
    </row>
    <row r="382">
      <c r="A382" s="16"/>
      <c r="B382" s="16"/>
      <c r="C382" s="16"/>
      <c r="D382" s="16"/>
    </row>
    <row r="383">
      <c r="A383" s="16"/>
      <c r="B383" s="16"/>
      <c r="C383" s="16"/>
      <c r="D383" s="16"/>
    </row>
    <row r="384">
      <c r="A384" s="16"/>
      <c r="B384" s="16"/>
      <c r="C384" s="16"/>
      <c r="D384" s="16"/>
    </row>
    <row r="385">
      <c r="A385" s="16"/>
      <c r="B385" s="16"/>
      <c r="C385" s="16"/>
      <c r="D385" s="16"/>
    </row>
    <row r="386">
      <c r="A386" s="16"/>
      <c r="B386" s="16"/>
      <c r="C386" s="16"/>
      <c r="D386" s="16"/>
    </row>
    <row r="387">
      <c r="A387" s="16"/>
      <c r="B387" s="16"/>
      <c r="C387" s="16"/>
      <c r="D387" s="16"/>
    </row>
    <row r="388">
      <c r="A388" s="16"/>
      <c r="B388" s="16"/>
      <c r="C388" s="16"/>
      <c r="D388" s="16"/>
    </row>
    <row r="389">
      <c r="A389" s="16"/>
      <c r="B389" s="16"/>
      <c r="C389" s="16"/>
      <c r="D389" s="16"/>
    </row>
    <row r="390">
      <c r="A390" s="16"/>
      <c r="B390" s="16"/>
      <c r="C390" s="16"/>
      <c r="D390" s="16"/>
    </row>
    <row r="391">
      <c r="A391" s="16"/>
      <c r="B391" s="16"/>
      <c r="C391" s="16"/>
      <c r="D391" s="16"/>
    </row>
    <row r="392">
      <c r="A392" s="16"/>
      <c r="B392" s="16"/>
      <c r="C392" s="16"/>
      <c r="D392" s="16"/>
    </row>
    <row r="393">
      <c r="A393" s="16"/>
      <c r="B393" s="16"/>
      <c r="C393" s="16"/>
      <c r="D393" s="16"/>
    </row>
    <row r="394">
      <c r="A394" s="16"/>
      <c r="B394" s="16"/>
      <c r="C394" s="16"/>
      <c r="D394" s="16"/>
    </row>
    <row r="395">
      <c r="A395" s="16"/>
      <c r="B395" s="16"/>
      <c r="C395" s="16"/>
      <c r="D395" s="16"/>
    </row>
    <row r="396">
      <c r="A396" s="16"/>
      <c r="B396" s="16"/>
      <c r="C396" s="16"/>
      <c r="D396" s="16"/>
    </row>
    <row r="397">
      <c r="A397" s="16"/>
      <c r="B397" s="16"/>
      <c r="C397" s="16"/>
      <c r="D397" s="16"/>
    </row>
    <row r="398">
      <c r="A398" s="16"/>
      <c r="B398" s="16"/>
      <c r="C398" s="16"/>
      <c r="D398" s="16"/>
    </row>
    <row r="399">
      <c r="A399" s="16"/>
      <c r="B399" s="16"/>
      <c r="C399" s="16"/>
      <c r="D399" s="16"/>
    </row>
    <row r="400">
      <c r="A400" s="16"/>
      <c r="B400" s="16"/>
      <c r="C400" s="16"/>
      <c r="D400" s="16"/>
    </row>
    <row r="401">
      <c r="A401" s="16"/>
      <c r="B401" s="16"/>
      <c r="C401" s="16"/>
      <c r="D401" s="16"/>
    </row>
    <row r="402">
      <c r="A402" s="16"/>
      <c r="B402" s="16"/>
      <c r="C402" s="16"/>
      <c r="D402" s="16"/>
    </row>
    <row r="403">
      <c r="A403" s="16"/>
      <c r="B403" s="16"/>
      <c r="C403" s="16"/>
      <c r="D403" s="16"/>
    </row>
    <row r="404">
      <c r="A404" s="16"/>
      <c r="B404" s="16"/>
      <c r="C404" s="16"/>
      <c r="D404" s="16"/>
    </row>
    <row r="405">
      <c r="A405" s="16"/>
      <c r="B405" s="16"/>
      <c r="C405" s="16"/>
      <c r="D405" s="16"/>
    </row>
    <row r="406">
      <c r="A406" s="16"/>
      <c r="B406" s="16"/>
      <c r="C406" s="16"/>
      <c r="D406" s="16"/>
    </row>
    <row r="407">
      <c r="A407" s="16"/>
      <c r="B407" s="16"/>
      <c r="C407" s="16"/>
      <c r="D407" s="16"/>
    </row>
    <row r="408">
      <c r="A408" s="16"/>
      <c r="B408" s="16"/>
      <c r="C408" s="16"/>
      <c r="D408" s="16"/>
    </row>
    <row r="409">
      <c r="A409" s="16"/>
      <c r="B409" s="16"/>
      <c r="C409" s="16"/>
      <c r="D409" s="16"/>
    </row>
    <row r="410">
      <c r="A410" s="16"/>
      <c r="B410" s="16"/>
      <c r="C410" s="16"/>
      <c r="D410" s="16"/>
    </row>
    <row r="411">
      <c r="A411" s="16"/>
      <c r="B411" s="16"/>
      <c r="C411" s="16"/>
      <c r="D411" s="16"/>
    </row>
    <row r="412">
      <c r="A412" s="16"/>
      <c r="B412" s="16"/>
      <c r="C412" s="16"/>
      <c r="D412" s="16"/>
    </row>
    <row r="413">
      <c r="A413" s="16"/>
      <c r="B413" s="16"/>
      <c r="C413" s="16"/>
      <c r="D413" s="16"/>
    </row>
    <row r="414">
      <c r="A414" s="16"/>
      <c r="B414" s="16"/>
      <c r="C414" s="16"/>
      <c r="D414" s="16"/>
    </row>
    <row r="415">
      <c r="A415" s="16"/>
      <c r="B415" s="16"/>
      <c r="C415" s="16"/>
      <c r="D415" s="16"/>
    </row>
    <row r="416">
      <c r="A416" s="16"/>
      <c r="B416" s="16"/>
      <c r="C416" s="16"/>
      <c r="D416" s="16"/>
    </row>
    <row r="417">
      <c r="A417" s="16"/>
      <c r="B417" s="16"/>
      <c r="C417" s="16"/>
      <c r="D417" s="16"/>
    </row>
    <row r="418">
      <c r="A418" s="16"/>
      <c r="B418" s="16"/>
      <c r="C418" s="16"/>
      <c r="D418" s="16"/>
    </row>
    <row r="419">
      <c r="A419" s="16"/>
      <c r="B419" s="16"/>
      <c r="C419" s="16"/>
      <c r="D419" s="16"/>
    </row>
    <row r="420">
      <c r="A420" s="16"/>
      <c r="B420" s="16"/>
      <c r="C420" s="16"/>
      <c r="D420" s="16"/>
    </row>
    <row r="421">
      <c r="A421" s="16"/>
      <c r="B421" s="16"/>
      <c r="C421" s="16"/>
      <c r="D421" s="16"/>
    </row>
    <row r="422">
      <c r="A422" s="16"/>
      <c r="B422" s="16"/>
      <c r="C422" s="16"/>
      <c r="D422" s="16"/>
    </row>
    <row r="423">
      <c r="A423" s="16"/>
      <c r="B423" s="16"/>
      <c r="C423" s="16"/>
      <c r="D423" s="16"/>
    </row>
    <row r="424">
      <c r="A424" s="16"/>
      <c r="B424" s="16"/>
      <c r="C424" s="16"/>
      <c r="D424" s="16"/>
    </row>
    <row r="425">
      <c r="A425" s="16"/>
      <c r="B425" s="16"/>
      <c r="C425" s="16"/>
      <c r="D425" s="16"/>
    </row>
    <row r="426">
      <c r="A426" s="16"/>
      <c r="B426" s="16"/>
      <c r="C426" s="16"/>
      <c r="D426" s="16"/>
    </row>
    <row r="427">
      <c r="A427" s="16"/>
      <c r="B427" s="16"/>
      <c r="C427" s="16"/>
      <c r="D427" s="16"/>
    </row>
    <row r="428">
      <c r="A428" s="16"/>
      <c r="B428" s="16"/>
      <c r="C428" s="16"/>
      <c r="D428" s="16"/>
    </row>
    <row r="429">
      <c r="A429" s="16"/>
      <c r="B429" s="16"/>
      <c r="C429" s="16"/>
      <c r="D429" s="16"/>
    </row>
    <row r="430">
      <c r="A430" s="16"/>
      <c r="B430" s="16"/>
      <c r="C430" s="16"/>
      <c r="D430" s="16"/>
    </row>
    <row r="431">
      <c r="A431" s="16"/>
      <c r="B431" s="16"/>
      <c r="C431" s="16"/>
      <c r="D431" s="16"/>
    </row>
    <row r="432">
      <c r="A432" s="16"/>
      <c r="B432" s="16"/>
      <c r="C432" s="16"/>
      <c r="D432" s="16"/>
    </row>
    <row r="433">
      <c r="A433" s="16"/>
      <c r="B433" s="16"/>
      <c r="C433" s="16"/>
      <c r="D433" s="16"/>
    </row>
    <row r="434">
      <c r="A434" s="16"/>
      <c r="B434" s="16"/>
      <c r="C434" s="16"/>
      <c r="D434" s="16"/>
    </row>
    <row r="435">
      <c r="A435" s="16"/>
      <c r="B435" s="16"/>
      <c r="C435" s="16"/>
      <c r="D435" s="16"/>
    </row>
    <row r="436">
      <c r="A436" s="16"/>
      <c r="B436" s="16"/>
      <c r="C436" s="16"/>
      <c r="D436" s="16"/>
    </row>
    <row r="437">
      <c r="A437" s="16"/>
      <c r="B437" s="16"/>
      <c r="C437" s="16"/>
      <c r="D437" s="16"/>
    </row>
    <row r="438">
      <c r="A438" s="16"/>
      <c r="B438" s="16"/>
      <c r="C438" s="16"/>
      <c r="D438" s="16"/>
    </row>
    <row r="439">
      <c r="A439" s="16"/>
      <c r="B439" s="16"/>
      <c r="C439" s="16"/>
      <c r="D439" s="16"/>
    </row>
    <row r="440">
      <c r="A440" s="16"/>
      <c r="B440" s="16"/>
      <c r="C440" s="16"/>
      <c r="D440" s="16"/>
    </row>
    <row r="441">
      <c r="A441" s="16"/>
      <c r="B441" s="16"/>
      <c r="C441" s="16"/>
      <c r="D441" s="16"/>
    </row>
    <row r="442">
      <c r="A442" s="16"/>
      <c r="B442" s="16"/>
      <c r="C442" s="16"/>
      <c r="D442" s="16"/>
    </row>
    <row r="443">
      <c r="A443" s="16"/>
      <c r="B443" s="16"/>
      <c r="C443" s="16"/>
      <c r="D443" s="16"/>
    </row>
    <row r="444">
      <c r="A444" s="16"/>
      <c r="B444" s="16"/>
      <c r="C444" s="16"/>
      <c r="D444" s="16"/>
    </row>
    <row r="445">
      <c r="A445" s="16"/>
      <c r="B445" s="16"/>
      <c r="C445" s="16"/>
      <c r="D445" s="16"/>
    </row>
    <row r="446">
      <c r="A446" s="16"/>
      <c r="B446" s="16"/>
      <c r="C446" s="16"/>
      <c r="D446" s="16"/>
    </row>
    <row r="447">
      <c r="A447" s="16"/>
      <c r="B447" s="16"/>
      <c r="C447" s="16"/>
      <c r="D447" s="16"/>
    </row>
    <row r="448">
      <c r="A448" s="16"/>
      <c r="B448" s="16"/>
      <c r="C448" s="16"/>
      <c r="D448" s="16"/>
    </row>
    <row r="449">
      <c r="A449" s="16"/>
      <c r="B449" s="16"/>
      <c r="C449" s="16"/>
      <c r="D449" s="16"/>
    </row>
    <row r="450">
      <c r="A450" s="16"/>
      <c r="B450" s="16"/>
      <c r="C450" s="16"/>
      <c r="D450" s="16"/>
    </row>
    <row r="451">
      <c r="A451" s="16"/>
      <c r="B451" s="16"/>
      <c r="C451" s="16"/>
      <c r="D451" s="16"/>
    </row>
    <row r="452">
      <c r="A452" s="16"/>
      <c r="B452" s="16"/>
      <c r="C452" s="16"/>
      <c r="D452" s="16"/>
    </row>
    <row r="453">
      <c r="A453" s="16"/>
      <c r="B453" s="16"/>
      <c r="C453" s="16"/>
      <c r="D453" s="16"/>
    </row>
    <row r="454">
      <c r="A454" s="16"/>
      <c r="B454" s="16"/>
      <c r="C454" s="16"/>
      <c r="D454" s="16"/>
    </row>
    <row r="455">
      <c r="A455" s="16"/>
      <c r="B455" s="16"/>
      <c r="C455" s="16"/>
      <c r="D455" s="16"/>
    </row>
    <row r="456">
      <c r="A456" s="16"/>
      <c r="B456" s="16"/>
      <c r="C456" s="16"/>
      <c r="D456" s="16"/>
    </row>
    <row r="457">
      <c r="A457" s="16"/>
      <c r="B457" s="16"/>
      <c r="C457" s="16"/>
      <c r="D457" s="16"/>
    </row>
    <row r="458">
      <c r="A458" s="16"/>
      <c r="B458" s="16"/>
      <c r="C458" s="16"/>
      <c r="D458" s="16"/>
    </row>
    <row r="459">
      <c r="A459" s="16"/>
      <c r="B459" s="16"/>
      <c r="C459" s="16"/>
      <c r="D459" s="16"/>
    </row>
    <row r="460">
      <c r="A460" s="16"/>
      <c r="B460" s="16"/>
      <c r="C460" s="16"/>
      <c r="D460" s="16"/>
    </row>
    <row r="461">
      <c r="A461" s="16"/>
      <c r="B461" s="16"/>
      <c r="C461" s="16"/>
      <c r="D461" s="16"/>
    </row>
    <row r="462">
      <c r="A462" s="16"/>
      <c r="B462" s="16"/>
      <c r="C462" s="16"/>
      <c r="D462" s="16"/>
    </row>
    <row r="463">
      <c r="A463" s="16"/>
      <c r="B463" s="16"/>
      <c r="C463" s="16"/>
      <c r="D463" s="16"/>
    </row>
    <row r="464">
      <c r="A464" s="16"/>
      <c r="B464" s="16"/>
      <c r="C464" s="16"/>
      <c r="D464" s="16"/>
    </row>
    <row r="465">
      <c r="A465" s="16"/>
      <c r="B465" s="16"/>
      <c r="C465" s="16"/>
      <c r="D465" s="16"/>
    </row>
    <row r="466">
      <c r="A466" s="16"/>
      <c r="B466" s="16"/>
      <c r="C466" s="16"/>
      <c r="D466" s="16"/>
    </row>
    <row r="467">
      <c r="A467" s="16"/>
      <c r="B467" s="16"/>
      <c r="C467" s="16"/>
      <c r="D467" s="16"/>
    </row>
    <row r="468">
      <c r="A468" s="16"/>
      <c r="B468" s="16"/>
      <c r="C468" s="16"/>
      <c r="D468" s="16"/>
    </row>
    <row r="469">
      <c r="A469" s="16"/>
      <c r="B469" s="16"/>
      <c r="C469" s="16"/>
      <c r="D469" s="16"/>
    </row>
    <row r="470">
      <c r="A470" s="16"/>
      <c r="B470" s="16"/>
      <c r="C470" s="16"/>
      <c r="D470" s="16"/>
    </row>
    <row r="471">
      <c r="A471" s="16"/>
      <c r="B471" s="16"/>
      <c r="C471" s="16"/>
      <c r="D471" s="16"/>
    </row>
    <row r="472">
      <c r="A472" s="16"/>
      <c r="B472" s="16"/>
      <c r="C472" s="16"/>
      <c r="D472" s="16"/>
    </row>
    <row r="473">
      <c r="A473" s="16"/>
      <c r="B473" s="16"/>
      <c r="C473" s="16"/>
      <c r="D473" s="16"/>
    </row>
    <row r="474">
      <c r="A474" s="16"/>
      <c r="B474" s="16"/>
      <c r="C474" s="16"/>
      <c r="D474" s="16"/>
    </row>
    <row r="475">
      <c r="A475" s="16"/>
      <c r="B475" s="16"/>
      <c r="C475" s="16"/>
      <c r="D475" s="16"/>
    </row>
    <row r="476">
      <c r="A476" s="16"/>
      <c r="B476" s="16"/>
      <c r="C476" s="16"/>
      <c r="D476" s="16"/>
    </row>
    <row r="477">
      <c r="A477" s="16"/>
      <c r="B477" s="16"/>
      <c r="C477" s="16"/>
      <c r="D477" s="16"/>
    </row>
    <row r="478">
      <c r="A478" s="16"/>
      <c r="B478" s="16"/>
      <c r="C478" s="16"/>
      <c r="D478" s="16"/>
    </row>
    <row r="479">
      <c r="A479" s="16"/>
      <c r="B479" s="16"/>
      <c r="C479" s="16"/>
      <c r="D479" s="16"/>
    </row>
    <row r="480">
      <c r="A480" s="16"/>
      <c r="B480" s="16"/>
      <c r="C480" s="16"/>
      <c r="D480" s="16"/>
    </row>
    <row r="481">
      <c r="A481" s="16"/>
      <c r="B481" s="16"/>
      <c r="C481" s="16"/>
      <c r="D481" s="16"/>
    </row>
    <row r="482">
      <c r="A482" s="16"/>
      <c r="B482" s="16"/>
      <c r="C482" s="16"/>
      <c r="D482" s="16"/>
    </row>
    <row r="483">
      <c r="A483" s="16"/>
      <c r="B483" s="16"/>
      <c r="C483" s="16"/>
      <c r="D483" s="16"/>
    </row>
    <row r="484">
      <c r="A484" s="16"/>
      <c r="B484" s="16"/>
      <c r="C484" s="16"/>
      <c r="D484" s="16"/>
    </row>
    <row r="485">
      <c r="A485" s="16"/>
      <c r="B485" s="16"/>
      <c r="C485" s="16"/>
      <c r="D485" s="16"/>
    </row>
    <row r="486">
      <c r="A486" s="16"/>
      <c r="B486" s="16"/>
      <c r="C486" s="16"/>
      <c r="D486" s="16"/>
    </row>
    <row r="487">
      <c r="A487" s="16"/>
      <c r="B487" s="16"/>
      <c r="C487" s="16"/>
      <c r="D487" s="16"/>
    </row>
    <row r="488">
      <c r="A488" s="16"/>
      <c r="B488" s="16"/>
      <c r="C488" s="16"/>
      <c r="D488" s="16"/>
    </row>
    <row r="489">
      <c r="A489" s="16"/>
      <c r="B489" s="16"/>
      <c r="C489" s="16"/>
      <c r="D489" s="16"/>
    </row>
    <row r="490">
      <c r="A490" s="16"/>
      <c r="B490" s="16"/>
      <c r="C490" s="16"/>
      <c r="D490" s="16"/>
    </row>
    <row r="491">
      <c r="A491" s="16"/>
      <c r="B491" s="16"/>
      <c r="C491" s="16"/>
      <c r="D491" s="16"/>
    </row>
    <row r="492">
      <c r="A492" s="16"/>
      <c r="B492" s="16"/>
      <c r="C492" s="16"/>
      <c r="D492" s="16"/>
    </row>
    <row r="493">
      <c r="A493" s="16"/>
      <c r="B493" s="16"/>
      <c r="C493" s="16"/>
      <c r="D493" s="16"/>
    </row>
    <row r="494">
      <c r="A494" s="16"/>
      <c r="B494" s="16"/>
      <c r="C494" s="16"/>
      <c r="D494" s="16"/>
    </row>
    <row r="495">
      <c r="A495" s="16"/>
      <c r="B495" s="16"/>
      <c r="C495" s="16"/>
      <c r="D495" s="16"/>
    </row>
    <row r="496">
      <c r="A496" s="16"/>
      <c r="B496" s="16"/>
      <c r="C496" s="16"/>
      <c r="D496" s="16"/>
    </row>
    <row r="497">
      <c r="A497" s="16"/>
      <c r="B497" s="16"/>
      <c r="C497" s="16"/>
      <c r="D497" s="16"/>
    </row>
    <row r="498">
      <c r="A498" s="16"/>
      <c r="B498" s="16"/>
      <c r="C498" s="16"/>
      <c r="D498" s="16"/>
    </row>
    <row r="499">
      <c r="A499" s="16"/>
      <c r="B499" s="16"/>
      <c r="C499" s="16"/>
      <c r="D499" s="16"/>
    </row>
    <row r="500">
      <c r="A500" s="16"/>
      <c r="B500" s="16"/>
      <c r="C500" s="16"/>
      <c r="D500" s="16"/>
    </row>
    <row r="501">
      <c r="A501" s="16"/>
      <c r="B501" s="16"/>
      <c r="C501" s="16"/>
      <c r="D501" s="16"/>
    </row>
    <row r="502">
      <c r="A502" s="16"/>
      <c r="B502" s="16"/>
      <c r="C502" s="16"/>
      <c r="D502" s="16"/>
    </row>
    <row r="503">
      <c r="A503" s="16"/>
      <c r="B503" s="16"/>
      <c r="C503" s="16"/>
      <c r="D503" s="16"/>
    </row>
    <row r="504">
      <c r="A504" s="16"/>
      <c r="B504" s="16"/>
      <c r="C504" s="16"/>
      <c r="D504" s="16"/>
    </row>
    <row r="505">
      <c r="A505" s="16"/>
      <c r="B505" s="16"/>
      <c r="C505" s="16"/>
      <c r="D505" s="16"/>
    </row>
    <row r="506">
      <c r="A506" s="16"/>
      <c r="B506" s="16"/>
      <c r="C506" s="16"/>
      <c r="D506" s="16"/>
    </row>
    <row r="507">
      <c r="A507" s="16"/>
      <c r="B507" s="16"/>
      <c r="C507" s="16"/>
      <c r="D507" s="16"/>
    </row>
    <row r="508">
      <c r="A508" s="16"/>
      <c r="B508" s="16"/>
      <c r="C508" s="16"/>
      <c r="D508" s="16"/>
    </row>
    <row r="509">
      <c r="A509" s="16"/>
      <c r="B509" s="16"/>
      <c r="C509" s="16"/>
      <c r="D509" s="16"/>
    </row>
    <row r="510">
      <c r="A510" s="16"/>
      <c r="B510" s="16"/>
      <c r="C510" s="16"/>
      <c r="D510" s="16"/>
    </row>
    <row r="511">
      <c r="A511" s="16"/>
      <c r="B511" s="16"/>
      <c r="C511" s="16"/>
      <c r="D511" s="16"/>
    </row>
    <row r="512">
      <c r="A512" s="16"/>
      <c r="B512" s="16"/>
      <c r="C512" s="16"/>
      <c r="D512" s="16"/>
    </row>
    <row r="513">
      <c r="A513" s="16"/>
      <c r="B513" s="16"/>
      <c r="C513" s="16"/>
      <c r="D513" s="16"/>
    </row>
    <row r="514">
      <c r="A514" s="16"/>
      <c r="B514" s="16"/>
      <c r="C514" s="16"/>
      <c r="D514" s="16"/>
    </row>
    <row r="515">
      <c r="A515" s="16"/>
      <c r="B515" s="16"/>
      <c r="C515" s="16"/>
      <c r="D515" s="16"/>
    </row>
    <row r="516">
      <c r="A516" s="16"/>
      <c r="B516" s="16"/>
      <c r="C516" s="16"/>
      <c r="D516" s="16"/>
    </row>
    <row r="517">
      <c r="A517" s="16"/>
      <c r="B517" s="16"/>
      <c r="C517" s="16"/>
      <c r="D517" s="16"/>
    </row>
    <row r="518">
      <c r="A518" s="16"/>
      <c r="B518" s="16"/>
      <c r="C518" s="16"/>
      <c r="D518" s="16"/>
    </row>
    <row r="519">
      <c r="A519" s="16"/>
      <c r="B519" s="16"/>
      <c r="C519" s="16"/>
      <c r="D519" s="16"/>
    </row>
    <row r="520">
      <c r="A520" s="16"/>
      <c r="B520" s="16"/>
      <c r="C520" s="16"/>
      <c r="D520" s="16"/>
    </row>
    <row r="521">
      <c r="A521" s="16"/>
      <c r="B521" s="16"/>
      <c r="C521" s="16"/>
      <c r="D521" s="16"/>
    </row>
    <row r="522">
      <c r="A522" s="16"/>
      <c r="B522" s="16"/>
      <c r="C522" s="16"/>
      <c r="D522" s="16"/>
    </row>
    <row r="523">
      <c r="A523" s="16"/>
      <c r="B523" s="16"/>
      <c r="C523" s="16"/>
      <c r="D523" s="16"/>
    </row>
    <row r="524">
      <c r="A524" s="16"/>
      <c r="B524" s="16"/>
      <c r="C524" s="16"/>
      <c r="D524" s="16"/>
    </row>
    <row r="525">
      <c r="A525" s="16"/>
      <c r="B525" s="16"/>
      <c r="C525" s="16"/>
      <c r="D525" s="16"/>
    </row>
    <row r="526">
      <c r="A526" s="16"/>
      <c r="B526" s="16"/>
      <c r="C526" s="16"/>
      <c r="D526" s="16"/>
    </row>
    <row r="527">
      <c r="A527" s="16"/>
      <c r="B527" s="16"/>
      <c r="C527" s="16"/>
      <c r="D527" s="16"/>
    </row>
    <row r="528">
      <c r="A528" s="16"/>
      <c r="B528" s="16"/>
      <c r="C528" s="16"/>
      <c r="D528" s="16"/>
    </row>
    <row r="529">
      <c r="A529" s="16"/>
      <c r="B529" s="16"/>
      <c r="C529" s="16"/>
      <c r="D529" s="16"/>
    </row>
    <row r="530">
      <c r="A530" s="16"/>
      <c r="B530" s="16"/>
      <c r="C530" s="16"/>
      <c r="D530" s="16"/>
    </row>
    <row r="531">
      <c r="A531" s="16"/>
      <c r="B531" s="16"/>
      <c r="C531" s="16"/>
      <c r="D531" s="16"/>
    </row>
    <row r="532">
      <c r="A532" s="16"/>
      <c r="B532" s="16"/>
      <c r="C532" s="16"/>
      <c r="D532" s="16"/>
    </row>
    <row r="533">
      <c r="A533" s="16"/>
      <c r="B533" s="16"/>
      <c r="C533" s="16"/>
      <c r="D533" s="16"/>
    </row>
    <row r="534">
      <c r="A534" s="16"/>
      <c r="B534" s="16"/>
      <c r="C534" s="16"/>
      <c r="D534" s="16"/>
    </row>
    <row r="535">
      <c r="A535" s="16"/>
      <c r="B535" s="16"/>
      <c r="C535" s="16"/>
      <c r="D535" s="16"/>
    </row>
    <row r="536">
      <c r="A536" s="16"/>
      <c r="B536" s="16"/>
      <c r="C536" s="16"/>
      <c r="D536" s="16"/>
    </row>
    <row r="537">
      <c r="A537" s="16"/>
      <c r="B537" s="16"/>
      <c r="C537" s="16"/>
      <c r="D537" s="16"/>
    </row>
    <row r="538">
      <c r="A538" s="16"/>
      <c r="B538" s="16"/>
      <c r="C538" s="16"/>
      <c r="D538" s="16"/>
    </row>
    <row r="539">
      <c r="A539" s="16"/>
      <c r="B539" s="16"/>
      <c r="C539" s="16"/>
      <c r="D539" s="16"/>
    </row>
    <row r="540">
      <c r="A540" s="16"/>
      <c r="B540" s="16"/>
      <c r="C540" s="16"/>
      <c r="D540" s="16"/>
    </row>
    <row r="541">
      <c r="A541" s="16"/>
      <c r="B541" s="16"/>
      <c r="C541" s="16"/>
      <c r="D541" s="16"/>
    </row>
    <row r="542">
      <c r="A542" s="16"/>
      <c r="B542" s="16"/>
      <c r="C542" s="16"/>
      <c r="D542" s="16"/>
    </row>
    <row r="543">
      <c r="A543" s="16"/>
      <c r="B543" s="16"/>
      <c r="C543" s="16"/>
      <c r="D543" s="16"/>
    </row>
    <row r="544">
      <c r="A544" s="16"/>
      <c r="B544" s="16"/>
      <c r="C544" s="16"/>
      <c r="D544" s="16"/>
    </row>
    <row r="545">
      <c r="A545" s="16"/>
      <c r="B545" s="16"/>
      <c r="C545" s="16"/>
      <c r="D545" s="16"/>
    </row>
    <row r="546">
      <c r="A546" s="16"/>
      <c r="B546" s="16"/>
      <c r="C546" s="16"/>
      <c r="D546" s="16"/>
    </row>
    <row r="547">
      <c r="A547" s="16"/>
      <c r="B547" s="16"/>
      <c r="C547" s="16"/>
      <c r="D547" s="16"/>
    </row>
    <row r="548">
      <c r="A548" s="16"/>
      <c r="B548" s="16"/>
      <c r="C548" s="16"/>
      <c r="D548" s="16"/>
    </row>
    <row r="549">
      <c r="A549" s="16"/>
      <c r="B549" s="16"/>
      <c r="C549" s="16"/>
      <c r="D549" s="1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Arif Shakil</v>
      </c>
      <c r="E4" s="57"/>
      <c r="F4" s="58" t="s">
        <v>1</v>
      </c>
      <c r="G4" s="59" t="s">
        <v>19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arif.shakil@bracu.ac.bd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
(from 12 Noon; If earlier, DM)")</f>
        <v>Consultation
(from 12 Noon; If earlier, DM)</v>
      </c>
      <c r="E11" s="90" t="str">
        <f>IFERROR(__xludf.DUMMYFUNCTION("""COMPUTED_VALUE"""),"CSE421-01
10A-04C")</f>
        <v>CSE421-01
10A-04C</v>
      </c>
      <c r="F11" s="90" t="str">
        <f>IFERROR(__xludf.DUMMYFUNCTION("""COMPUTED_VALUE"""),"CSE421-02
10A-04C")</f>
        <v>CSE421-02
10A-04C</v>
      </c>
      <c r="G11" s="90" t="str">
        <f>IFERROR(__xludf.DUMMYFUNCTION("""COMPUTED_VALUE"""),"Consultation")</f>
        <v>Consultation</v>
      </c>
      <c r="H11" s="90" t="str">
        <f>IFERROR(__xludf.DUMMYFUNCTION("""COMPUTED_VALUE"""),"Consultation
(by Appointment)")</f>
        <v>Consultation
(by Appointment)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
(from 12 Noon; If earlier, DM)")</f>
        <v>Consultation
(from 12 Noon; If earlier, DM)</v>
      </c>
      <c r="E13" s="90" t="str">
        <f>IFERROR(__xludf.DUMMYFUNCTION("""COMPUTED_VALUE"""),"CSE421-01
10A-04C")</f>
        <v>CSE421-01
10A-04C</v>
      </c>
      <c r="F13" s="90" t="str">
        <f>IFERROR(__xludf.DUMMYFUNCTION("""COMPUTED_VALUE"""),"CSE421-02
10A-04C")</f>
        <v>CSE421-02
10A-04C</v>
      </c>
      <c r="G13" s="90" t="str">
        <f>IFERROR(__xludf.DUMMYFUNCTION("""COMPUTED_VALUE"""),"Consultation")</f>
        <v>Consultation</v>
      </c>
      <c r="H13" s="90" t="str">
        <f>IFERROR(__xludf.DUMMYFUNCTION("""COMPUTED_VALUE"""),"Consultation
(by Appointment)")</f>
        <v>Consultation
(by Appointment)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come to 10A-4C in between my classes. At 5, you may find me on the 13th floor in the Sports Gym.")</f>
        <v>**You can come to 10A-4C in between my classes. At 5, you may find me on the 13th floor in the Sports Gym.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25</v>
      </c>
      <c r="B1" s="103">
        <v>1.961467487E9</v>
      </c>
    </row>
    <row r="2">
      <c r="A2" s="102" t="s">
        <v>26</v>
      </c>
      <c r="B2" s="103">
        <v>1.707772838E9</v>
      </c>
    </row>
    <row r="3">
      <c r="A3" s="102" t="s">
        <v>27</v>
      </c>
      <c r="B3" s="103">
        <v>1.661698862E9</v>
      </c>
    </row>
    <row r="4">
      <c r="A4" s="102" t="s">
        <v>28</v>
      </c>
      <c r="B4" s="103">
        <v>1.61945156E9</v>
      </c>
    </row>
    <row r="5">
      <c r="A5" s="102" t="s">
        <v>29</v>
      </c>
      <c r="B5" s="103">
        <v>4.37001309E8</v>
      </c>
    </row>
    <row r="6">
      <c r="A6" s="102" t="s">
        <v>30</v>
      </c>
      <c r="B6" s="103">
        <v>6.34121312E8</v>
      </c>
    </row>
    <row r="7">
      <c r="A7" s="102" t="s">
        <v>31</v>
      </c>
      <c r="B7" s="103">
        <v>1.172784048E9</v>
      </c>
    </row>
    <row r="8">
      <c r="A8" s="102" t="s">
        <v>32</v>
      </c>
      <c r="B8" s="103">
        <v>1.360445348E9</v>
      </c>
    </row>
    <row r="9">
      <c r="A9" s="102" t="s">
        <v>33</v>
      </c>
      <c r="B9" s="103">
        <v>1.916969275E9</v>
      </c>
    </row>
    <row r="10">
      <c r="A10" s="102" t="s">
        <v>34</v>
      </c>
      <c r="B10" s="103">
        <v>1.216457952E9</v>
      </c>
    </row>
    <row r="11">
      <c r="A11" s="102" t="s">
        <v>35</v>
      </c>
      <c r="B11" s="103">
        <v>1.309417001E9</v>
      </c>
    </row>
    <row r="12">
      <c r="A12" s="102" t="s">
        <v>36</v>
      </c>
      <c r="B12" s="103">
        <v>1.859286232E9</v>
      </c>
    </row>
    <row r="13">
      <c r="A13" s="102" t="s">
        <v>37</v>
      </c>
      <c r="B13" s="103">
        <v>1.37885715E8</v>
      </c>
    </row>
    <row r="14">
      <c r="A14" s="102" t="s">
        <v>38</v>
      </c>
      <c r="B14" s="103">
        <v>2.094216392E9</v>
      </c>
    </row>
    <row r="15">
      <c r="A15" s="102" t="s">
        <v>39</v>
      </c>
      <c r="B15" s="103">
        <v>2.008464471E9</v>
      </c>
    </row>
    <row r="16">
      <c r="A16" s="102" t="s">
        <v>40</v>
      </c>
      <c r="B16" s="103">
        <v>1.365115967E9</v>
      </c>
    </row>
    <row r="17">
      <c r="A17" s="102" t="s">
        <v>41</v>
      </c>
      <c r="B17" s="103">
        <v>6.88743105E8</v>
      </c>
    </row>
    <row r="18">
      <c r="A18" s="102" t="s">
        <v>19</v>
      </c>
      <c r="B18" s="103">
        <v>1.537300011E9</v>
      </c>
    </row>
    <row r="19">
      <c r="A19" s="102" t="s">
        <v>42</v>
      </c>
      <c r="B19" s="103">
        <v>1.576160881E9</v>
      </c>
    </row>
    <row r="20">
      <c r="A20" s="102" t="s">
        <v>43</v>
      </c>
      <c r="B20" s="103">
        <v>1.669638263E9</v>
      </c>
    </row>
    <row r="21">
      <c r="A21" s="102" t="s">
        <v>44</v>
      </c>
      <c r="B21" s="103">
        <v>4.45492192E8</v>
      </c>
    </row>
    <row r="22">
      <c r="A22" s="102" t="s">
        <v>45</v>
      </c>
      <c r="B22" s="103">
        <v>1.685095678E9</v>
      </c>
    </row>
    <row r="23">
      <c r="A23" s="102" t="s">
        <v>46</v>
      </c>
      <c r="B23" s="103">
        <v>1.887975361E9</v>
      </c>
    </row>
    <row r="24">
      <c r="A24" s="102" t="s">
        <v>47</v>
      </c>
      <c r="B24" s="103">
        <v>8.92512479E8</v>
      </c>
    </row>
    <row r="25">
      <c r="A25" s="102" t="s">
        <v>48</v>
      </c>
      <c r="B25" s="103">
        <v>6.411469E7</v>
      </c>
    </row>
    <row r="26">
      <c r="A26" s="102" t="s">
        <v>49</v>
      </c>
      <c r="B26" s="103">
        <v>6.821686E7</v>
      </c>
    </row>
    <row r="27">
      <c r="A27" s="102" t="s">
        <v>50</v>
      </c>
      <c r="B27" s="103">
        <v>5.69004978E8</v>
      </c>
    </row>
    <row r="28">
      <c r="A28" s="102" t="s">
        <v>51</v>
      </c>
      <c r="B28" s="103">
        <v>6.22953369E8</v>
      </c>
    </row>
    <row r="29">
      <c r="A29" s="102" t="s">
        <v>52</v>
      </c>
      <c r="B29" s="103">
        <v>1.82318645E8</v>
      </c>
    </row>
    <row r="30">
      <c r="A30" s="102" t="s">
        <v>53</v>
      </c>
      <c r="B30" s="103">
        <v>5.36064231E8</v>
      </c>
    </row>
    <row r="31">
      <c r="A31" s="102" t="s">
        <v>54</v>
      </c>
      <c r="B31" s="103">
        <v>3.10188915E8</v>
      </c>
    </row>
    <row r="32">
      <c r="A32" s="102" t="s">
        <v>55</v>
      </c>
      <c r="B32" s="103">
        <v>1.576761475E9</v>
      </c>
    </row>
    <row r="33">
      <c r="A33" s="102" t="s">
        <v>56</v>
      </c>
      <c r="B33" s="103">
        <v>7.94550138E8</v>
      </c>
    </row>
    <row r="34">
      <c r="A34" s="102" t="s">
        <v>57</v>
      </c>
      <c r="B34" s="103">
        <v>2.131220266E9</v>
      </c>
    </row>
    <row r="35">
      <c r="A35" s="102" t="s">
        <v>58</v>
      </c>
      <c r="B35" s="103">
        <v>1.330306081E9</v>
      </c>
    </row>
    <row r="36">
      <c r="A36" s="102" t="s">
        <v>59</v>
      </c>
      <c r="B36" s="103">
        <v>6.8077516E8</v>
      </c>
    </row>
    <row r="37">
      <c r="A37" s="102" t="s">
        <v>60</v>
      </c>
      <c r="B37" s="103">
        <v>1.943487884E9</v>
      </c>
    </row>
    <row r="38">
      <c r="A38" s="102" t="s">
        <v>61</v>
      </c>
      <c r="B38" s="103">
        <v>8.97102254E8</v>
      </c>
    </row>
    <row r="39">
      <c r="A39" s="102" t="s">
        <v>62</v>
      </c>
      <c r="B39" s="103">
        <v>1.144006373E9</v>
      </c>
    </row>
    <row r="40">
      <c r="A40" s="102" t="s">
        <v>63</v>
      </c>
      <c r="B40" s="103">
        <v>1.537036222E9</v>
      </c>
    </row>
    <row r="41">
      <c r="A41" s="102" t="s">
        <v>64</v>
      </c>
      <c r="B41" s="103">
        <v>8.80912605E8</v>
      </c>
    </row>
    <row r="42">
      <c r="A42" s="102" t="s">
        <v>65</v>
      </c>
      <c r="B42" s="103">
        <v>1.753656877E9</v>
      </c>
    </row>
    <row r="43">
      <c r="A43" s="102" t="s">
        <v>66</v>
      </c>
      <c r="B43" s="103">
        <v>1.442218919E9</v>
      </c>
    </row>
    <row r="44">
      <c r="A44" s="102" t="s">
        <v>67</v>
      </c>
      <c r="B44" s="103">
        <v>1.146698698E9</v>
      </c>
    </row>
    <row r="45">
      <c r="A45" s="102" t="s">
        <v>68</v>
      </c>
      <c r="B45" s="103">
        <v>3.95617113E8</v>
      </c>
    </row>
    <row r="46">
      <c r="A46" s="102" t="s">
        <v>69</v>
      </c>
      <c r="B46" s="103">
        <v>1.893881351E9</v>
      </c>
    </row>
    <row r="47">
      <c r="A47" s="102" t="s">
        <v>70</v>
      </c>
      <c r="B47" s="103">
        <v>9.54401801E8</v>
      </c>
    </row>
    <row r="48">
      <c r="A48" s="102" t="s">
        <v>71</v>
      </c>
      <c r="B48" s="103">
        <v>5.86027914E8</v>
      </c>
    </row>
    <row r="49">
      <c r="A49" s="102" t="s">
        <v>72</v>
      </c>
      <c r="B49" s="103">
        <v>1.614715377E9</v>
      </c>
    </row>
    <row r="50">
      <c r="A50" s="102" t="s">
        <v>73</v>
      </c>
      <c r="B50" s="103">
        <v>6.54935131E8</v>
      </c>
    </row>
    <row r="51">
      <c r="A51" s="102" t="s">
        <v>74</v>
      </c>
      <c r="B51" s="103">
        <v>4.19173749E8</v>
      </c>
    </row>
    <row r="52">
      <c r="A52" s="102" t="s">
        <v>75</v>
      </c>
      <c r="B52" s="103">
        <v>9.28587297E8</v>
      </c>
    </row>
    <row r="53">
      <c r="A53" s="102" t="s">
        <v>76</v>
      </c>
      <c r="B53" s="103">
        <v>1.331732448E9</v>
      </c>
    </row>
    <row r="54">
      <c r="A54" s="102" t="s">
        <v>77</v>
      </c>
      <c r="B54" s="103">
        <v>6.68802845E8</v>
      </c>
    </row>
    <row r="55">
      <c r="A55" s="102" t="s">
        <v>78</v>
      </c>
      <c r="B55" s="103">
        <v>4.88487345E8</v>
      </c>
    </row>
    <row r="56">
      <c r="A56" s="102" t="s">
        <v>79</v>
      </c>
      <c r="B56" s="103">
        <v>1.322613099E9</v>
      </c>
    </row>
    <row r="57">
      <c r="A57" s="102" t="s">
        <v>80</v>
      </c>
      <c r="B57" s="103">
        <v>1.609637009E9</v>
      </c>
    </row>
    <row r="58">
      <c r="A58" s="102" t="s">
        <v>81</v>
      </c>
      <c r="B58" s="103">
        <v>1.105998663E9</v>
      </c>
    </row>
    <row r="59">
      <c r="A59" s="102" t="s">
        <v>82</v>
      </c>
      <c r="B59" s="103">
        <v>3.61849243E8</v>
      </c>
    </row>
    <row r="60">
      <c r="A60" s="102" t="s">
        <v>83</v>
      </c>
      <c r="B60" s="103">
        <v>1.252615786E9</v>
      </c>
    </row>
    <row r="61">
      <c r="A61" s="102" t="s">
        <v>84</v>
      </c>
      <c r="B61" s="103">
        <v>5.06533516E8</v>
      </c>
    </row>
    <row r="62">
      <c r="A62" s="102" t="s">
        <v>85</v>
      </c>
      <c r="B62" s="103">
        <v>2.08045848E9</v>
      </c>
    </row>
    <row r="63">
      <c r="A63" s="102" t="s">
        <v>86</v>
      </c>
      <c r="B63" s="103">
        <v>1.738058735E9</v>
      </c>
    </row>
    <row r="64">
      <c r="A64" s="102" t="s">
        <v>87</v>
      </c>
      <c r="B64" s="103">
        <v>1.429131873E9</v>
      </c>
    </row>
    <row r="65">
      <c r="A65" s="102" t="s">
        <v>88</v>
      </c>
      <c r="B65" s="103">
        <v>2.005418787E9</v>
      </c>
    </row>
    <row r="66">
      <c r="A66" s="102" t="s">
        <v>89</v>
      </c>
      <c r="B66" s="103">
        <v>1.510030715E9</v>
      </c>
    </row>
    <row r="67">
      <c r="A67" s="102" t="s">
        <v>90</v>
      </c>
      <c r="B67" s="103">
        <v>2.54436325E8</v>
      </c>
    </row>
    <row r="68">
      <c r="A68" s="102" t="s">
        <v>91</v>
      </c>
      <c r="B68" s="103">
        <v>8.47619855E8</v>
      </c>
    </row>
    <row r="69">
      <c r="A69" s="102" t="s">
        <v>92</v>
      </c>
      <c r="B69" s="103">
        <v>1.334126807E9</v>
      </c>
    </row>
    <row r="70">
      <c r="A70" s="102" t="s">
        <v>93</v>
      </c>
      <c r="B70" s="103">
        <v>1.130928462E9</v>
      </c>
    </row>
    <row r="71">
      <c r="A71" s="102" t="s">
        <v>94</v>
      </c>
      <c r="B71" s="103">
        <v>1.568938774E9</v>
      </c>
    </row>
    <row r="72">
      <c r="A72" s="102" t="s">
        <v>95</v>
      </c>
      <c r="B72" s="103">
        <v>1.783646346E9</v>
      </c>
    </row>
    <row r="73">
      <c r="A73" s="102" t="s">
        <v>96</v>
      </c>
      <c r="B73" s="103">
        <v>7.23950876E8</v>
      </c>
    </row>
    <row r="74">
      <c r="A74" s="102" t="s">
        <v>97</v>
      </c>
      <c r="B74" s="103">
        <v>5.4570298E7</v>
      </c>
    </row>
    <row r="75">
      <c r="A75" s="102" t="s">
        <v>98</v>
      </c>
      <c r="B75" s="103">
        <v>2.078590742E9</v>
      </c>
    </row>
    <row r="76">
      <c r="A76" s="102" t="s">
        <v>99</v>
      </c>
      <c r="B76" s="103">
        <v>1.110758456E9</v>
      </c>
    </row>
    <row r="77">
      <c r="A77" s="102" t="s">
        <v>100</v>
      </c>
      <c r="B77" s="103">
        <v>1.306861979E9</v>
      </c>
    </row>
    <row r="78">
      <c r="A78" s="102" t="s">
        <v>101</v>
      </c>
      <c r="B78" s="103">
        <v>5.47727914E8</v>
      </c>
    </row>
    <row r="79">
      <c r="A79" s="102" t="s">
        <v>102</v>
      </c>
      <c r="B79" s="103">
        <v>3.2900201E7</v>
      </c>
    </row>
    <row r="80">
      <c r="A80" s="102" t="s">
        <v>103</v>
      </c>
      <c r="B80" s="103">
        <v>1.323478473E9</v>
      </c>
    </row>
    <row r="81">
      <c r="A81" s="102" t="s">
        <v>104</v>
      </c>
      <c r="B81" s="103">
        <v>8.7185242E8</v>
      </c>
    </row>
    <row r="82">
      <c r="A82" s="102" t="s">
        <v>105</v>
      </c>
      <c r="B82" s="103">
        <v>1.773257233E9</v>
      </c>
    </row>
    <row r="83">
      <c r="A83" s="102" t="s">
        <v>106</v>
      </c>
      <c r="B83" s="103">
        <v>2.092307397E9</v>
      </c>
    </row>
    <row r="84">
      <c r="A84" s="102" t="s">
        <v>107</v>
      </c>
      <c r="B84" s="103">
        <v>7.92684568E8</v>
      </c>
    </row>
    <row r="85">
      <c r="A85" s="102" t="s">
        <v>108</v>
      </c>
      <c r="B85" s="103">
        <v>1.208637772E9</v>
      </c>
    </row>
    <row r="86">
      <c r="A86" s="102" t="s">
        <v>109</v>
      </c>
      <c r="B86" s="103">
        <v>4.62413779E8</v>
      </c>
    </row>
    <row r="87">
      <c r="A87" s="102" t="s">
        <v>110</v>
      </c>
      <c r="B87" s="103">
        <v>4.59849114E8</v>
      </c>
    </row>
    <row r="88">
      <c r="A88" s="102" t="s">
        <v>111</v>
      </c>
      <c r="B88" s="103">
        <v>1.7006992E9</v>
      </c>
    </row>
    <row r="89">
      <c r="A89" s="102" t="s">
        <v>112</v>
      </c>
      <c r="B89" s="103">
        <v>3.19745197E8</v>
      </c>
    </row>
    <row r="90">
      <c r="A90" s="102" t="s">
        <v>113</v>
      </c>
      <c r="B90" s="103">
        <v>1.998551518E9</v>
      </c>
    </row>
    <row r="91">
      <c r="A91" s="102" t="s">
        <v>114</v>
      </c>
      <c r="B91" s="103">
        <v>1.006006455E9</v>
      </c>
    </row>
    <row r="92">
      <c r="A92" s="102" t="s">
        <v>115</v>
      </c>
      <c r="B92" s="103">
        <v>4.26372084E8</v>
      </c>
    </row>
    <row r="93">
      <c r="A93" s="102" t="s">
        <v>116</v>
      </c>
      <c r="B93" s="103">
        <v>1.67935737E9</v>
      </c>
    </row>
    <row r="94">
      <c r="A94" s="102" t="s">
        <v>117</v>
      </c>
      <c r="B94" s="103">
        <v>5.18112439E8</v>
      </c>
    </row>
    <row r="95">
      <c r="A95" s="102" t="s">
        <v>118</v>
      </c>
      <c r="B95" s="103">
        <v>1.879123951E9</v>
      </c>
    </row>
    <row r="96">
      <c r="A96" s="102" t="s">
        <v>119</v>
      </c>
      <c r="B96" s="103">
        <v>5.56528412E8</v>
      </c>
    </row>
    <row r="97">
      <c r="A97" s="102" t="s">
        <v>120</v>
      </c>
      <c r="B97" s="103">
        <v>2.102640613E9</v>
      </c>
    </row>
    <row r="98">
      <c r="A98" s="102" t="s">
        <v>121</v>
      </c>
      <c r="B98" s="103">
        <v>4.83339963E8</v>
      </c>
    </row>
    <row r="99">
      <c r="A99" s="102" t="s">
        <v>122</v>
      </c>
      <c r="B99" s="103">
        <v>1.231863399E9</v>
      </c>
    </row>
    <row r="100">
      <c r="A100" s="102" t="s">
        <v>123</v>
      </c>
      <c r="B100" s="103">
        <v>1.507805514E9</v>
      </c>
    </row>
    <row r="101">
      <c r="A101" s="102" t="s">
        <v>124</v>
      </c>
      <c r="B101" s="103">
        <v>4.29424152E8</v>
      </c>
    </row>
    <row r="102">
      <c r="A102" s="102" t="s">
        <v>125</v>
      </c>
      <c r="B102" s="103">
        <v>6.48676854E8</v>
      </c>
    </row>
    <row r="103">
      <c r="A103" s="102" t="s">
        <v>126</v>
      </c>
      <c r="B103" s="103">
        <v>1.112491397E9</v>
      </c>
    </row>
    <row r="104">
      <c r="A104" s="102" t="s">
        <v>127</v>
      </c>
      <c r="B104" s="103">
        <v>1.08955544E9</v>
      </c>
    </row>
    <row r="105">
      <c r="A105" s="102" t="s">
        <v>128</v>
      </c>
      <c r="B105" s="103">
        <v>1.776206124E9</v>
      </c>
    </row>
    <row r="106">
      <c r="A106" s="102" t="s">
        <v>129</v>
      </c>
      <c r="B106" s="103">
        <v>5.75948491E8</v>
      </c>
    </row>
    <row r="107">
      <c r="A107" s="102" t="s">
        <v>130</v>
      </c>
      <c r="B107" s="103">
        <v>2.137704618E9</v>
      </c>
    </row>
    <row r="108">
      <c r="A108" s="102" t="s">
        <v>131</v>
      </c>
      <c r="B108" s="103">
        <v>1.537397472E9</v>
      </c>
    </row>
    <row r="109">
      <c r="A109" s="102" t="s">
        <v>132</v>
      </c>
      <c r="B109" s="103">
        <v>1.360429856E9</v>
      </c>
    </row>
    <row r="110">
      <c r="A110" s="102" t="s">
        <v>133</v>
      </c>
      <c r="B110" s="103">
        <v>8.17476442E8</v>
      </c>
    </row>
    <row r="111">
      <c r="A111" s="102" t="s">
        <v>134</v>
      </c>
      <c r="B111" s="103">
        <v>1.854811244E9</v>
      </c>
    </row>
    <row r="112">
      <c r="A112" s="102" t="s">
        <v>135</v>
      </c>
      <c r="B112" s="103">
        <v>9.39324423E8</v>
      </c>
    </row>
    <row r="113">
      <c r="A113" s="102" t="s">
        <v>136</v>
      </c>
      <c r="B113" s="103">
        <v>1.46314724E9</v>
      </c>
    </row>
    <row r="114">
      <c r="A114" s="102" t="s">
        <v>137</v>
      </c>
      <c r="B114" s="103">
        <v>8.78042943E8</v>
      </c>
    </row>
    <row r="115">
      <c r="A115" s="102" t="s">
        <v>138</v>
      </c>
      <c r="B115" s="103">
        <v>1.258843556E9</v>
      </c>
    </row>
    <row r="116">
      <c r="A116" s="102" t="s">
        <v>139</v>
      </c>
      <c r="B116" s="103">
        <v>1.922956615E9</v>
      </c>
    </row>
    <row r="117">
      <c r="A117" s="102" t="s">
        <v>140</v>
      </c>
      <c r="B117" s="103">
        <v>1.292036398E9</v>
      </c>
    </row>
    <row r="118">
      <c r="A118" s="102" t="s">
        <v>141</v>
      </c>
      <c r="B118" s="103">
        <v>1.069199569E9</v>
      </c>
    </row>
    <row r="119">
      <c r="A119" s="102" t="s">
        <v>142</v>
      </c>
      <c r="B119" s="103">
        <v>1.977887574E9</v>
      </c>
    </row>
    <row r="120">
      <c r="A120" s="102" t="s">
        <v>143</v>
      </c>
      <c r="B120" s="103">
        <v>1.64546081E9</v>
      </c>
    </row>
    <row r="121">
      <c r="A121" s="102" t="s">
        <v>144</v>
      </c>
      <c r="B121" s="103">
        <v>1.74183457E9</v>
      </c>
    </row>
    <row r="122">
      <c r="A122" s="102" t="s">
        <v>145</v>
      </c>
      <c r="B122" s="103">
        <v>8.90374717E8</v>
      </c>
    </row>
    <row r="123">
      <c r="A123" s="102" t="s">
        <v>146</v>
      </c>
      <c r="B123" s="103">
        <v>6.0983291E7</v>
      </c>
    </row>
    <row r="124">
      <c r="A124" s="102" t="s">
        <v>147</v>
      </c>
      <c r="B124" s="103">
        <v>4.80183644E8</v>
      </c>
    </row>
    <row r="125">
      <c r="A125" s="102" t="s">
        <v>148</v>
      </c>
      <c r="B125" s="103">
        <v>1.565600636E9</v>
      </c>
    </row>
    <row r="126">
      <c r="A126" s="102" t="s">
        <v>149</v>
      </c>
      <c r="B126" s="103">
        <v>7.62779289E8</v>
      </c>
    </row>
    <row r="127">
      <c r="A127" s="102" t="s">
        <v>150</v>
      </c>
      <c r="B127" s="103">
        <v>1.002784183E9</v>
      </c>
    </row>
    <row r="128">
      <c r="A128" s="102" t="s">
        <v>151</v>
      </c>
      <c r="B128" s="103">
        <v>3.36474505E8</v>
      </c>
    </row>
    <row r="129">
      <c r="A129" s="102" t="s">
        <v>152</v>
      </c>
      <c r="B129" s="103">
        <v>2.84352431E8</v>
      </c>
    </row>
    <row r="130">
      <c r="A130" s="102" t="s">
        <v>153</v>
      </c>
      <c r="B130" s="103">
        <v>1.287214843E9</v>
      </c>
    </row>
    <row r="131">
      <c r="A131" s="102" t="s">
        <v>154</v>
      </c>
      <c r="B131" s="103">
        <v>2.027160935E9</v>
      </c>
    </row>
    <row r="132">
      <c r="A132" s="102" t="s">
        <v>155</v>
      </c>
      <c r="B132" s="103">
        <v>2.3726004E7</v>
      </c>
    </row>
    <row r="133">
      <c r="A133" s="102" t="s">
        <v>156</v>
      </c>
      <c r="B133" s="103">
        <v>1.653752934E9</v>
      </c>
    </row>
    <row r="134">
      <c r="A134" s="102" t="s">
        <v>157</v>
      </c>
      <c r="B134" s="103">
        <v>3.21938087E8</v>
      </c>
    </row>
    <row r="135">
      <c r="A135" s="102" t="s">
        <v>158</v>
      </c>
      <c r="B135" s="103">
        <v>2.31942083E8</v>
      </c>
    </row>
    <row r="136">
      <c r="A136" s="102" t="s">
        <v>159</v>
      </c>
      <c r="B136" s="103">
        <v>3.49775441E8</v>
      </c>
    </row>
    <row r="137">
      <c r="A137" s="102" t="s">
        <v>160</v>
      </c>
      <c r="B137" s="103">
        <v>1.160778315E9</v>
      </c>
    </row>
    <row r="138">
      <c r="A138" s="102" t="s">
        <v>161</v>
      </c>
      <c r="B138" s="103">
        <v>4.6150591E8</v>
      </c>
    </row>
    <row r="139">
      <c r="A139" s="102" t="s">
        <v>162</v>
      </c>
      <c r="B139" s="103">
        <v>2.074316746E9</v>
      </c>
    </row>
    <row r="140">
      <c r="A140" s="102" t="s">
        <v>163</v>
      </c>
      <c r="B140" s="103">
        <v>3.50867378E8</v>
      </c>
    </row>
    <row r="141">
      <c r="A141" s="102" t="s">
        <v>164</v>
      </c>
      <c r="B141" s="103">
        <v>1.730552527E9</v>
      </c>
    </row>
    <row r="142">
      <c r="A142" s="102" t="s">
        <v>165</v>
      </c>
      <c r="B142" s="103">
        <v>1.604859195E9</v>
      </c>
    </row>
    <row r="143">
      <c r="A143" s="102" t="s">
        <v>166</v>
      </c>
      <c r="B143" s="103">
        <v>1.205406903E9</v>
      </c>
    </row>
    <row r="144">
      <c r="A144" s="102" t="s">
        <v>167</v>
      </c>
      <c r="B144" s="103">
        <v>3.4858912E7</v>
      </c>
    </row>
    <row r="145">
      <c r="A145" s="102" t="s">
        <v>168</v>
      </c>
      <c r="B145" s="103">
        <v>2.019910037E9</v>
      </c>
    </row>
    <row r="146">
      <c r="A146" s="102" t="s">
        <v>169</v>
      </c>
      <c r="B146" s="103">
        <v>1.10842505E8</v>
      </c>
    </row>
    <row r="147">
      <c r="A147" s="102" t="s">
        <v>170</v>
      </c>
      <c r="B147" s="103">
        <v>4.5578426E7</v>
      </c>
    </row>
    <row r="148">
      <c r="A148" s="102" t="s">
        <v>171</v>
      </c>
      <c r="B148" s="103">
        <v>5.45112864E8</v>
      </c>
    </row>
    <row r="149">
      <c r="A149" s="102" t="s">
        <v>172</v>
      </c>
      <c r="B149" s="103">
        <v>1.710592579E9</v>
      </c>
    </row>
    <row r="150">
      <c r="A150" s="102" t="s">
        <v>173</v>
      </c>
      <c r="B150" s="103">
        <v>5.678819E8</v>
      </c>
    </row>
    <row r="151">
      <c r="A151" s="102" t="s">
        <v>174</v>
      </c>
      <c r="B151" s="103">
        <v>1.718404138E9</v>
      </c>
    </row>
    <row r="152">
      <c r="A152" s="102" t="s">
        <v>175</v>
      </c>
      <c r="B152" s="103">
        <v>4.77468893E8</v>
      </c>
    </row>
    <row r="153">
      <c r="A153" s="102" t="s">
        <v>176</v>
      </c>
      <c r="B153" s="103">
        <v>1.699227335E9</v>
      </c>
    </row>
    <row r="154">
      <c r="A154" s="102" t="s">
        <v>177</v>
      </c>
      <c r="B154" s="103">
        <v>2.061708655E9</v>
      </c>
    </row>
    <row r="155">
      <c r="A155" s="102" t="s">
        <v>178</v>
      </c>
      <c r="B155" s="103">
        <v>1.327781248E9</v>
      </c>
    </row>
    <row r="156">
      <c r="A156" s="102" t="s">
        <v>179</v>
      </c>
      <c r="B156" s="103">
        <v>5.24323281E8</v>
      </c>
    </row>
    <row r="157">
      <c r="A157" s="102" t="s">
        <v>180</v>
      </c>
      <c r="B157" s="103">
        <v>4.23751037E8</v>
      </c>
    </row>
    <row r="158">
      <c r="A158" s="102" t="s">
        <v>181</v>
      </c>
      <c r="B158" s="103">
        <v>1.73785789E9</v>
      </c>
    </row>
    <row r="159">
      <c r="A159" s="102" t="s">
        <v>182</v>
      </c>
      <c r="B159" s="103">
        <v>4.11774063E8</v>
      </c>
    </row>
    <row r="160">
      <c r="A160" s="102" t="s">
        <v>183</v>
      </c>
      <c r="B160" s="103">
        <v>1.719179739E9</v>
      </c>
    </row>
    <row r="161">
      <c r="A161" s="102" t="s">
        <v>184</v>
      </c>
      <c r="B161" s="103">
        <v>1.044836932E9</v>
      </c>
    </row>
    <row r="162">
      <c r="A162" s="102" t="s">
        <v>185</v>
      </c>
      <c r="B162" s="103">
        <v>7.55801326E8</v>
      </c>
    </row>
    <row r="163">
      <c r="A163" s="102" t="s">
        <v>186</v>
      </c>
      <c r="B163" s="103">
        <v>1.176017229E9</v>
      </c>
    </row>
    <row r="164">
      <c r="A164" s="102" t="s">
        <v>187</v>
      </c>
      <c r="B164" s="103">
        <v>1.042144552E9</v>
      </c>
    </row>
    <row r="165">
      <c r="A165" s="102" t="s">
        <v>188</v>
      </c>
      <c r="B165" s="103">
        <v>1.407368825E9</v>
      </c>
    </row>
    <row r="166">
      <c r="A166" s="102" t="s">
        <v>189</v>
      </c>
      <c r="B166" s="103">
        <v>1.02401848E9</v>
      </c>
    </row>
    <row r="167">
      <c r="A167" s="102" t="s">
        <v>190</v>
      </c>
      <c r="B167" s="103">
        <v>1.801180982E9</v>
      </c>
    </row>
    <row r="168">
      <c r="A168" s="102" t="s">
        <v>191</v>
      </c>
      <c r="B168" s="103">
        <v>1.310976948E9</v>
      </c>
    </row>
    <row r="169">
      <c r="A169" s="102" t="s">
        <v>192</v>
      </c>
      <c r="B169" s="103">
        <v>2.00505406E9</v>
      </c>
    </row>
    <row r="170">
      <c r="A170" s="102" t="s">
        <v>193</v>
      </c>
      <c r="B170" s="103">
        <v>1.93498385E9</v>
      </c>
    </row>
    <row r="171">
      <c r="A171" s="102" t="s">
        <v>194</v>
      </c>
      <c r="B171" s="103">
        <v>7.23335477E8</v>
      </c>
    </row>
    <row r="172">
      <c r="A172" s="102" t="s">
        <v>195</v>
      </c>
      <c r="B172" s="103">
        <v>1.400299154E9</v>
      </c>
    </row>
    <row r="173">
      <c r="A173" s="102" t="s">
        <v>196</v>
      </c>
      <c r="B173" s="103">
        <v>2.100734507E9</v>
      </c>
    </row>
    <row r="174">
      <c r="A174" s="102" t="s">
        <v>197</v>
      </c>
      <c r="B174" s="103">
        <v>1.046878241E9</v>
      </c>
    </row>
    <row r="175">
      <c r="A175" s="102" t="s">
        <v>198</v>
      </c>
      <c r="B175" s="103">
        <v>7.52468043E8</v>
      </c>
    </row>
    <row r="176">
      <c r="A176" s="102" t="s">
        <v>199</v>
      </c>
      <c r="B176" s="103">
        <v>1.846045442E9</v>
      </c>
    </row>
    <row r="177">
      <c r="A177" s="102" t="s">
        <v>200</v>
      </c>
      <c r="B177" s="103">
        <v>1.680199115E9</v>
      </c>
    </row>
    <row r="178">
      <c r="A178" s="102" t="s">
        <v>201</v>
      </c>
      <c r="B178" s="103">
        <v>2.04417489E9</v>
      </c>
    </row>
    <row r="179">
      <c r="A179" s="102" t="s">
        <v>202</v>
      </c>
      <c r="B179" s="103">
        <v>1.941789588E9</v>
      </c>
    </row>
    <row r="180">
      <c r="A180" s="102" t="s">
        <v>203</v>
      </c>
      <c r="B180" s="103">
        <v>1.488738656E9</v>
      </c>
    </row>
    <row r="181">
      <c r="A181" s="102" t="s">
        <v>204</v>
      </c>
      <c r="B181" s="103">
        <v>1.90071282E8</v>
      </c>
    </row>
    <row r="182">
      <c r="A182" s="102" t="s">
        <v>205</v>
      </c>
      <c r="B182" s="103">
        <v>2.108623466E9</v>
      </c>
    </row>
    <row r="183">
      <c r="A183" s="102" t="s">
        <v>206</v>
      </c>
      <c r="B183" s="103">
        <v>1.545765403E9</v>
      </c>
    </row>
    <row r="184">
      <c r="A184" s="102" t="s">
        <v>207</v>
      </c>
      <c r="B184" s="103">
        <v>1.588551324E9</v>
      </c>
    </row>
    <row r="185">
      <c r="A185" s="102" t="s">
        <v>208</v>
      </c>
      <c r="B185" s="103">
        <v>8.1240576E8</v>
      </c>
    </row>
    <row r="186">
      <c r="A186" s="102" t="s">
        <v>209</v>
      </c>
      <c r="B186" s="103">
        <v>1.087595096E9</v>
      </c>
    </row>
    <row r="187">
      <c r="A187" s="102" t="s">
        <v>210</v>
      </c>
      <c r="B187" s="103">
        <v>1.982959032E9</v>
      </c>
    </row>
    <row r="188">
      <c r="A188" s="102" t="s">
        <v>211</v>
      </c>
      <c r="B188" s="103">
        <v>1.13154835E9</v>
      </c>
    </row>
    <row r="189">
      <c r="A189" s="102" t="s">
        <v>212</v>
      </c>
      <c r="B189" s="103">
        <v>7.79107793E8</v>
      </c>
    </row>
    <row r="190">
      <c r="A190" s="102" t="s">
        <v>213</v>
      </c>
      <c r="B190" s="103">
        <v>1.283029789E9</v>
      </c>
    </row>
    <row r="191">
      <c r="A191" s="102" t="s">
        <v>214</v>
      </c>
      <c r="B191" s="103">
        <v>1.767025591E9</v>
      </c>
    </row>
    <row r="192">
      <c r="A192" s="102" t="s">
        <v>215</v>
      </c>
      <c r="B192" s="103">
        <v>1.012334102E9</v>
      </c>
    </row>
    <row r="193">
      <c r="A193" s="102" t="s">
        <v>216</v>
      </c>
      <c r="B193" s="103">
        <v>1.65079434E9</v>
      </c>
    </row>
    <row r="194">
      <c r="A194" s="102" t="s">
        <v>217</v>
      </c>
      <c r="B194" s="103">
        <v>5.83180598E8</v>
      </c>
    </row>
    <row r="195">
      <c r="A195" s="102" t="s">
        <v>218</v>
      </c>
      <c r="B195" s="103">
        <v>1.981914683E9</v>
      </c>
    </row>
    <row r="196">
      <c r="A196" s="102" t="s">
        <v>219</v>
      </c>
      <c r="B196" s="103">
        <v>1.212340163E9</v>
      </c>
    </row>
    <row r="197">
      <c r="A197" s="102" t="s">
        <v>220</v>
      </c>
      <c r="B197" s="103">
        <v>8.41566532E8</v>
      </c>
    </row>
    <row r="198">
      <c r="A198" s="102" t="s">
        <v>221</v>
      </c>
      <c r="B198" s="103">
        <v>1.256177553E9</v>
      </c>
    </row>
    <row r="199">
      <c r="A199" s="102" t="s">
        <v>222</v>
      </c>
      <c r="B199" s="103">
        <v>1.67028298E8</v>
      </c>
    </row>
    <row r="200">
      <c r="A200" s="102" t="s">
        <v>223</v>
      </c>
      <c r="B200" s="103">
        <v>1.817886865E9</v>
      </c>
    </row>
    <row r="201">
      <c r="A201" s="102" t="s">
        <v>224</v>
      </c>
      <c r="B201" s="103">
        <v>1.654196207E9</v>
      </c>
    </row>
    <row r="202">
      <c r="A202" s="102" t="s">
        <v>225</v>
      </c>
      <c r="B202" s="103">
        <v>5.32467958E8</v>
      </c>
    </row>
    <row r="203">
      <c r="A203" s="102" t="s">
        <v>226</v>
      </c>
      <c r="B203" s="103">
        <v>4.97498373E8</v>
      </c>
    </row>
    <row r="204">
      <c r="A204" s="102" t="s">
        <v>227</v>
      </c>
      <c r="B204" s="103">
        <v>3.06649708E8</v>
      </c>
    </row>
    <row r="205">
      <c r="A205" s="102" t="s">
        <v>228</v>
      </c>
      <c r="B205" s="103">
        <v>4.42978378E8</v>
      </c>
    </row>
    <row r="206">
      <c r="A206" s="102" t="s">
        <v>229</v>
      </c>
      <c r="B206" s="103">
        <v>9.02438942E8</v>
      </c>
    </row>
    <row r="207">
      <c r="A207" s="102" t="s">
        <v>230</v>
      </c>
      <c r="B207" s="103">
        <v>1.831076036E9</v>
      </c>
    </row>
    <row r="208">
      <c r="A208" s="102" t="s">
        <v>231</v>
      </c>
      <c r="B208" s="103">
        <v>1.777677527E9</v>
      </c>
    </row>
    <row r="209">
      <c r="A209" s="102" t="s">
        <v>232</v>
      </c>
      <c r="B209" s="103">
        <v>1.498587254E9</v>
      </c>
    </row>
    <row r="210">
      <c r="A210" s="102" t="s">
        <v>233</v>
      </c>
      <c r="B210" s="103">
        <v>1.908153713E9</v>
      </c>
    </row>
    <row r="211">
      <c r="A211" s="102" t="s">
        <v>234</v>
      </c>
      <c r="B211" s="103">
        <v>1.918439399E9</v>
      </c>
    </row>
    <row r="212">
      <c r="A212" s="102" t="s">
        <v>235</v>
      </c>
      <c r="B212" s="103">
        <v>1.037241344E9</v>
      </c>
    </row>
    <row r="213">
      <c r="A213" s="102" t="s">
        <v>236</v>
      </c>
      <c r="B213" s="103">
        <v>8.44345459E8</v>
      </c>
    </row>
    <row r="214">
      <c r="A214" s="102" t="s">
        <v>237</v>
      </c>
      <c r="B214" s="103">
        <v>1.343216079E9</v>
      </c>
    </row>
    <row r="215">
      <c r="A215" s="102" t="s">
        <v>238</v>
      </c>
      <c r="B215" s="103">
        <v>1.592994674E9</v>
      </c>
    </row>
    <row r="216">
      <c r="A216" s="102" t="s">
        <v>239</v>
      </c>
      <c r="B216" s="103">
        <v>2.39488097E8</v>
      </c>
    </row>
    <row r="217">
      <c r="A217" s="102" t="s">
        <v>240</v>
      </c>
      <c r="B217" s="103">
        <v>1.309473382E9</v>
      </c>
    </row>
    <row r="218">
      <c r="A218" s="102" t="s">
        <v>241</v>
      </c>
      <c r="B218" s="103">
        <v>5.32445329E8</v>
      </c>
    </row>
    <row r="219">
      <c r="A219" s="102" t="s">
        <v>242</v>
      </c>
      <c r="B219" s="103">
        <v>1.126184577E9</v>
      </c>
    </row>
    <row r="220">
      <c r="A220" s="102" t="s">
        <v>243</v>
      </c>
      <c r="B220" s="103">
        <v>1.179564067E9</v>
      </c>
    </row>
    <row r="221">
      <c r="A221" s="102" t="s">
        <v>244</v>
      </c>
      <c r="B221" s="103">
        <v>7.18335075E8</v>
      </c>
    </row>
    <row r="222">
      <c r="A222" s="102" t="s">
        <v>245</v>
      </c>
      <c r="B222" s="103">
        <v>1.699683779E9</v>
      </c>
    </row>
    <row r="223">
      <c r="A223" s="102" t="s">
        <v>246</v>
      </c>
      <c r="B223" s="103">
        <v>3.8899324E7</v>
      </c>
    </row>
    <row r="224">
      <c r="A224" s="102" t="s">
        <v>247</v>
      </c>
      <c r="B224" s="103">
        <v>9.14906364E8</v>
      </c>
    </row>
    <row r="225">
      <c r="A225" s="102" t="s">
        <v>248</v>
      </c>
      <c r="B225" s="103">
        <v>7.36742746E8</v>
      </c>
    </row>
    <row r="226">
      <c r="A226" s="102" t="s">
        <v>249</v>
      </c>
      <c r="B226" s="103">
        <v>2.8813828E8</v>
      </c>
    </row>
    <row r="227">
      <c r="A227" s="102" t="s">
        <v>250</v>
      </c>
      <c r="B227" s="103">
        <v>1.87056623E8</v>
      </c>
    </row>
    <row r="228">
      <c r="A228" s="102" t="s">
        <v>251</v>
      </c>
      <c r="B228" s="103">
        <v>1.530255625E9</v>
      </c>
    </row>
    <row r="229">
      <c r="A229" s="102" t="s">
        <v>252</v>
      </c>
      <c r="B229" s="103">
        <v>5.20576478E8</v>
      </c>
    </row>
    <row r="230">
      <c r="A230" s="102" t="s">
        <v>253</v>
      </c>
      <c r="B230" s="103">
        <v>9.59941172E8</v>
      </c>
    </row>
    <row r="231">
      <c r="A231" s="102" t="s">
        <v>254</v>
      </c>
      <c r="B231" s="103">
        <v>6.77443231E8</v>
      </c>
    </row>
    <row r="232">
      <c r="A232" s="102" t="s">
        <v>240</v>
      </c>
      <c r="B232" s="103">
        <v>1.068208064E9</v>
      </c>
    </row>
    <row r="233">
      <c r="A233" s="102" t="s">
        <v>255</v>
      </c>
      <c r="B233" s="103">
        <v>2.010911397E9</v>
      </c>
    </row>
    <row r="234">
      <c r="A234" s="102" t="s">
        <v>256</v>
      </c>
      <c r="B234" s="103">
        <v>1.886834216E9</v>
      </c>
    </row>
    <row r="235">
      <c r="A235" s="102" t="s">
        <v>244</v>
      </c>
      <c r="B235" s="103">
        <v>1.351024697E9</v>
      </c>
    </row>
    <row r="236">
      <c r="A236" s="102" t="s">
        <v>245</v>
      </c>
      <c r="B236" s="103">
        <v>6.37869639E8</v>
      </c>
    </row>
    <row r="237">
      <c r="A237" s="102" t="s">
        <v>246</v>
      </c>
      <c r="B237" s="103">
        <v>1.49632142E9</v>
      </c>
    </row>
    <row r="238">
      <c r="A238" s="102" t="s">
        <v>247</v>
      </c>
      <c r="B238" s="103">
        <v>1.03911584E9</v>
      </c>
    </row>
    <row r="239">
      <c r="A239" s="102" t="s">
        <v>248</v>
      </c>
      <c r="B239" s="103">
        <v>7.4263396E8</v>
      </c>
    </row>
    <row r="240">
      <c r="A240" s="102" t="s">
        <v>257</v>
      </c>
      <c r="B240" s="103">
        <v>5.47050545E8</v>
      </c>
    </row>
    <row r="241">
      <c r="A241" s="102" t="s">
        <v>249</v>
      </c>
      <c r="B241" s="103">
        <v>5.02736388E8</v>
      </c>
    </row>
    <row r="242">
      <c r="A242" s="102" t="s">
        <v>258</v>
      </c>
      <c r="B242" s="103">
        <v>7.70872033E8</v>
      </c>
    </row>
    <row r="243">
      <c r="A243" s="102" t="s">
        <v>259</v>
      </c>
      <c r="B243" s="103">
        <v>7.53448889E8</v>
      </c>
    </row>
    <row r="244">
      <c r="A244" s="102" t="s">
        <v>250</v>
      </c>
      <c r="B244" s="103">
        <v>5.06910472E8</v>
      </c>
    </row>
    <row r="245">
      <c r="A245" s="102" t="s">
        <v>260</v>
      </c>
      <c r="B245" s="103">
        <v>2.009164476E9</v>
      </c>
    </row>
    <row r="246">
      <c r="A246" s="102" t="s">
        <v>251</v>
      </c>
      <c r="B246" s="103">
        <v>1.304333775E9</v>
      </c>
    </row>
    <row r="247">
      <c r="A247" s="102" t="s">
        <v>252</v>
      </c>
      <c r="B247" s="103">
        <v>2.012076677E9</v>
      </c>
    </row>
    <row r="248">
      <c r="A248" s="102" t="s">
        <v>143</v>
      </c>
      <c r="B248" s="103">
        <v>9.73533803E8</v>
      </c>
    </row>
    <row r="249">
      <c r="A249" s="102" t="s">
        <v>248</v>
      </c>
      <c r="B249" s="103">
        <v>7.98975692E8</v>
      </c>
    </row>
    <row r="250">
      <c r="A250" s="102" t="s">
        <v>261</v>
      </c>
      <c r="B250" s="103">
        <v>1.032482059E9</v>
      </c>
    </row>
    <row r="251">
      <c r="A251" s="102" t="s">
        <v>257</v>
      </c>
      <c r="B251" s="103">
        <v>1.049686894E9</v>
      </c>
    </row>
    <row r="252">
      <c r="A252" s="102" t="s">
        <v>158</v>
      </c>
      <c r="B252" s="103">
        <v>1.364754835E9</v>
      </c>
    </row>
    <row r="253">
      <c r="A253" s="102" t="s">
        <v>249</v>
      </c>
      <c r="B253" s="103">
        <v>1.918214971E9</v>
      </c>
    </row>
    <row r="254">
      <c r="A254" s="102" t="s">
        <v>258</v>
      </c>
      <c r="B254" s="103">
        <v>1.879333055E9</v>
      </c>
    </row>
    <row r="255">
      <c r="A255" s="102" t="s">
        <v>259</v>
      </c>
      <c r="B255" s="103">
        <v>8.69662579E8</v>
      </c>
    </row>
    <row r="256">
      <c r="A256" s="102" t="s">
        <v>250</v>
      </c>
      <c r="B256" s="103">
        <v>2.87153133E8</v>
      </c>
    </row>
    <row r="257">
      <c r="A257" s="102" t="s">
        <v>166</v>
      </c>
      <c r="B257" s="103">
        <v>6.68918715E8</v>
      </c>
    </row>
    <row r="258">
      <c r="A258" s="102" t="s">
        <v>260</v>
      </c>
      <c r="B258" s="103">
        <v>8.7839386E8</v>
      </c>
    </row>
    <row r="259">
      <c r="A259" s="102" t="s">
        <v>251</v>
      </c>
      <c r="B259" s="103">
        <v>2.133800304E9</v>
      </c>
    </row>
    <row r="260">
      <c r="A260" s="102" t="s">
        <v>252</v>
      </c>
      <c r="B260" s="103">
        <v>1.234222365E9</v>
      </c>
    </row>
    <row r="261">
      <c r="A261" s="102" t="s">
        <v>175</v>
      </c>
      <c r="B261" s="103">
        <v>2.11627955E9</v>
      </c>
    </row>
    <row r="262">
      <c r="A262" s="102" t="s">
        <v>176</v>
      </c>
      <c r="B262" s="103">
        <v>1.813977955E9</v>
      </c>
    </row>
    <row r="263">
      <c r="A263" s="102" t="s">
        <v>253</v>
      </c>
      <c r="B263" s="103">
        <v>1.376695379E9</v>
      </c>
    </row>
    <row r="264">
      <c r="A264" s="102" t="s">
        <v>75</v>
      </c>
      <c r="B264" s="102">
        <v>1.69613597E9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tr">
        <f>IFERROR(__xludf.DUMMYFUNCTION("IMPORTRANGE(""https://docs.google.com/spreadsheets/d/1r2y83rVfaPr4LyN9DKL0EzpyDW1O70pr54trowPl9Cc/edit#gid=2136680741"",""Links_S26!A:B"")"),"Spring")</f>
        <v>Spring</v>
      </c>
      <c r="B1" s="20">
        <f>IFERROR(__xludf.DUMMYFUNCTION("""COMPUTED_VALUE"""),2026.0)</f>
        <v>2026</v>
      </c>
    </row>
    <row r="2">
      <c r="A2" s="20" t="str">
        <f>IFERROR(__xludf.DUMMYFUNCTION("""COMPUTED_VALUE"""),"Spring2026")</f>
        <v>Spring2026</v>
      </c>
      <c r="B2" s="20" t="str">
        <f>IFERROR(__xludf.DUMMYFUNCTION("""COMPUTED_VALUE"""),"S26")</f>
        <v>S26</v>
      </c>
    </row>
    <row r="3">
      <c r="A3" s="20" t="str">
        <f>IFERROR(__xludf.DUMMYFUNCTION("""COMPUTED_VALUE"""),"Class Room")</f>
        <v>Class Room</v>
      </c>
      <c r="B3" s="104" t="str">
        <f>IFERROR(__xludf.DUMMYFUNCTION("""COMPUTED_VALUE"""),"https://docs.google.com/spreadsheets/d/1iCppLD-GrI1XOp_niPmB_0MLwoju698PmvUiEvvGEYM/edit?usp=drivesdk")</f>
        <v>https://docs.google.com/spreadsheets/d/1iCppLD-GrI1XOp_niPmB_0MLwoju698PmvUiEvvGEYM/edit?usp=drivesdk</v>
      </c>
    </row>
    <row r="4">
      <c r="A4" s="20" t="str">
        <f>IFERROR(__xludf.DUMMYFUNCTION("""COMPUTED_VALUE"""),"Faculty Contact")</f>
        <v>Faculty Contact</v>
      </c>
      <c r="B4" s="104" t="str">
        <f>IFERROR(__xludf.DUMMYFUNCTION("""COMPUTED_VALUE"""),"https://docs.google.com/spreadsheets/d/1SuEMkbHknElA7RJfCzr-w8vM-qm1KDf2hFbF_KtAGgY/edit?gid=0#gid=0")</f>
        <v>https://docs.google.com/spreadsheets/d/1SuEMkbHknElA7RJfCzr-w8vM-qm1KDf2hFbF_KtAGgY/edit?gid=0#gid=0</v>
      </c>
    </row>
    <row r="5">
      <c r="A5" s="20" t="str">
        <f>IFERROR(__xludf.DUMMYFUNCTION("""COMPUTED_VALUE"""),"Per Course Data")</f>
        <v>Per Course Data</v>
      </c>
      <c r="B5" s="104" t="str">
        <f>IFERROR(__xludf.DUMMYFUNCTION("""COMPUTED_VALUE"""),"https://docs.google.com/spreadsheets/d/1x4fOaAU5IIzLVLzBAHYePA8IgFfhTQq_4HKEnLNDRNc/edit?usp=drivesdk")</f>
        <v>https://docs.google.com/spreadsheets/d/1x4fOaAU5IIzLVLzBAHYePA8IgFfhTQq_4HKEnLNDRNc/edit?usp=drivesdk</v>
      </c>
    </row>
    <row r="6">
      <c r="A6" s="20" t="str">
        <f>IFERROR(__xludf.DUMMYFUNCTION("""COMPUTED_VALUE"""),"Routine Manager")</f>
        <v>Routine Manager</v>
      </c>
      <c r="B6" s="104" t="str">
        <f>IFERROR(__xludf.DUMMYFUNCTION("""COMPUTED_VALUE"""),"https://docs.google.com/spreadsheets/d/1r2y83rVfaPr4LyN9DKL0EzpyDW1O70pr54trowPl9Cc/edit?gid=1424409450#gid=1424409450")</f>
        <v>https://docs.google.com/spreadsheets/d/1r2y83rVfaPr4LyN9DKL0EzpyDW1O70pr54trowPl9Cc/edit?gid=1424409450#gid=1424409450</v>
      </c>
    </row>
    <row r="7">
      <c r="A7" s="20" t="str">
        <f>IFERROR(__xludf.DUMMYFUNCTION("""COMPUTED_VALUE"""),"Proxy/Meta")</f>
        <v>Proxy/Meta</v>
      </c>
      <c r="B7" s="104" t="str">
        <f>IFERROR(__xludf.DUMMYFUNCTION("""COMPUTED_VALUE"""),"https://docs.google.com/spreadsheets/d/18taRSsF79DxwpFdJF-X88hBWUI5brOA1ODZwl5m02as/edit?usp=drivesdk")</f>
        <v>https://docs.google.com/spreadsheets/d/18taRSsF79DxwpFdJF-X88hBWUI5brOA1ODZwl5m02as/edit?usp=drivesdk</v>
      </c>
    </row>
    <row r="8">
      <c r="A8" s="20" t="str">
        <f>IFERROR(__xludf.DUMMYFUNCTION("""COMPUTED_VALUE"""),"Load File")</f>
        <v>Load File</v>
      </c>
      <c r="B8" s="104" t="str">
        <f>IFERROR(__xludf.DUMMYFUNCTION("""COMPUTED_VALUE"""),"https://docs.google.com/spreadsheets/d/1F82n5dmwfad3GXrmrLoAH7mJy83fSxCmdDEfA0nbn1o/edit?usp=drivesdk")</f>
        <v>https://docs.google.com/spreadsheets/d/1F82n5dmwfad3GXrmrLoAH7mJy83fSxCmdDEfA0nbn1o/edit?usp=drivesdk</v>
      </c>
    </row>
    <row r="9">
      <c r="A9" s="20" t="str">
        <f>IFERROR(__xludf.DUMMYFUNCTION("""COMPUTED_VALUE"""),"EEE File")</f>
        <v>EEE File</v>
      </c>
      <c r="B9" s="20"/>
    </row>
    <row r="10">
      <c r="A10" s="20" t="str">
        <f>IFERROR(__xludf.DUMMYFUNCTION("""COMPUTED_VALUE"""),"Routine View")</f>
        <v>Routine View</v>
      </c>
      <c r="B10" s="104" t="str">
        <f>IFERROR(__xludf.DUMMYFUNCTION("""COMPUTED_VALUE"""),"https://docs.google.com/spreadsheets/d/1iPrUDgZ4Ayf1xU-mcmYLk1YqnSD-2Y0zhPQaAGZIJc0/edit?usp=drivesdk")</f>
        <v>https://docs.google.com/spreadsheets/d/1iPrUDgZ4Ayf1xU-mcmYLk1YqnSD-2Y0zhPQaAGZIJc0/edit?usp=drivesdk</v>
      </c>
    </row>
    <row r="11">
      <c r="A11" s="20" t="str">
        <f>IFERROR(__xludf.DUMMYFUNCTION("""COMPUTED_VALUE"""),"Faculty Stats")</f>
        <v>Faculty Stats</v>
      </c>
      <c r="B11" s="104" t="str">
        <f>IFERROR(__xludf.DUMMYFUNCTION("""COMPUTED_VALUE"""),"https://docs.google.com/spreadsheets/d/1fqVW09z3yx0_mBz4hByag55wEEknTUFSA40qusygFDQ/edit?usp=drivesdk")</f>
        <v>https://docs.google.com/spreadsheets/d/1fqVW09z3yx0_mBz4hByag55wEEknTUFSA40qusygFDQ/edit?usp=drivesdk</v>
      </c>
    </row>
    <row r="12">
      <c r="A12" s="20" t="str">
        <f>IFERROR(__xludf.DUMMYFUNCTION("""COMPUTED_VALUE"""),"Faculty Routine")</f>
        <v>Faculty Routine</v>
      </c>
      <c r="B12" s="104" t="str">
        <f>IFERROR(__xludf.DUMMYFUNCTION("""COMPUTED_VALUE"""),"https://docs.google.com/spreadsheets/d/1kFB8emrTBqWDf_NPXYzunXZ-UvgbtwCPUKNVeXZiolY/edit?usp=sharing")</f>
        <v>https://docs.google.com/spreadsheets/d/1kFB8emrTBqWDf_NPXYzunXZ-UvgbtwCPUKNVeXZiolY/edit?usp=sharing</v>
      </c>
    </row>
    <row r="13">
      <c r="A13" s="20" t="str">
        <f>IFERROR(__xludf.DUMMYFUNCTION("""COMPUTED_VALUE"""),"Central OBE")</f>
        <v>Central OBE</v>
      </c>
      <c r="B13" s="20"/>
    </row>
    <row r="14">
      <c r="A14" s="20" t="str">
        <f>IFERROR(__xludf.DUMMYFUNCTION("""COMPUTED_VALUE"""),"OBE Gradesheet Manager")</f>
        <v>OBE Gradesheet Manager</v>
      </c>
      <c r="B14" s="20"/>
    </row>
    <row r="15">
      <c r="A15" s="20" t="str">
        <f>IFERROR(__xludf.DUMMYFUNCTION("""COMPUTED_VALUE"""),"Distribution Files")</f>
        <v>Distribution Files</v>
      </c>
      <c r="B15" s="104" t="str">
        <f>IFERROR(__xludf.DUMMYFUNCTION("""COMPUTED_VALUE"""),"https://drive.google.com/drive/folders/1XDgy1uhT1E3jiUtsQHiUxRHADGVHjuS6")</f>
        <v>https://drive.google.com/drive/folders/1XDgy1uhT1E3jiUtsQHiUxRHADGVHjuS6</v>
      </c>
    </row>
    <row r="16">
      <c r="A16" s="20" t="str">
        <f>IFERROR(__xludf.DUMMYFUNCTION("""COMPUTED_VALUE"""),"Exams")</f>
        <v>Exams</v>
      </c>
      <c r="B16" s="104" t="str">
        <f>IFERROR(__xludf.DUMMYFUNCTION("""COMPUTED_VALUE"""),"https://drive.google.com/drive/folders/1rwa8-dbqfD1LR-4nAHY5HNJpnMhQ1apP")</f>
        <v>https://drive.google.com/drive/folders/1rwa8-dbqfD1LR-4nAHY5HNJpnMhQ1apP</v>
      </c>
    </row>
    <row r="17">
      <c r="A17" s="20" t="str">
        <f>IFERROR(__xludf.DUMMYFUNCTION("""COMPUTED_VALUE"""),"Free Slot Finder")</f>
        <v>Free Slot Finder</v>
      </c>
      <c r="B17" s="104" t="str">
        <f>IFERROR(__xludf.DUMMYFUNCTION("""COMPUTED_VALUE"""),"https://drive.google.com/drive/folders/1kkrYmW_cKCgVnpcBcWoI-KiF3FY2GZ7v")</f>
        <v>https://drive.google.com/drive/folders/1kkrYmW_cKCgVnpcBcWoI-KiF3FY2GZ7v</v>
      </c>
    </row>
    <row r="18">
      <c r="A18" s="20" t="str">
        <f>IFERROR(__xludf.DUMMYFUNCTION("""COMPUTED_VALUE"""),"Per Day Data")</f>
        <v>Per Day Data</v>
      </c>
      <c r="B18" s="104" t="str">
        <f>IFERROR(__xludf.DUMMYFUNCTION("""COMPUTED_VALUE"""),"https://docs.google.com/spreadsheets/d/1gMDa9KMbcy6Kht9rZ0WzW1s7OJPHAkY1Ji6Ei7h9Hsg/edit?usp=drivesdk")</f>
        <v>https://docs.google.com/spreadsheets/d/1gMDa9KMbcy6Kht9rZ0WzW1s7OJPHAkY1Ji6Ei7h9Hsg/edit?usp=drivesdk</v>
      </c>
    </row>
    <row r="19">
      <c r="A19" s="20" t="str">
        <f>IFERROR(__xludf.DUMMYFUNCTION("""COMPUTED_VALUE"""),"Room Utilization")</f>
        <v>Room Utilization</v>
      </c>
      <c r="B19" s="104" t="str">
        <f>IFERROR(__xludf.DUMMYFUNCTION("""COMPUTED_VALUE"""),"https://docs.google.com/spreadsheets/d/1Jjhkc6aJi31bLM5_yKHtFYFPrD7LoHHCPtgGCEKMYyE/edit?usp=drivesdk")</f>
        <v>https://docs.google.com/spreadsheets/d/1Jjhkc6aJi31bLM5_yKHtFYFPrD7LoHHCPtgGCEKMYyE/edit?usp=drivesdk</v>
      </c>
    </row>
    <row r="20">
      <c r="A20" s="20" t="str">
        <f>IFERROR(__xludf.DUMMYFUNCTION("""COMPUTED_VALUE"""),"Cross Checker")</f>
        <v>Cross Checker</v>
      </c>
      <c r="B20" s="20"/>
    </row>
    <row r="21">
      <c r="A21" s="20"/>
      <c r="B21" s="20"/>
    </row>
    <row r="22">
      <c r="A22" s="20"/>
      <c r="B22" s="20"/>
    </row>
    <row r="23">
      <c r="A23" s="20"/>
      <c r="B23" s="20"/>
    </row>
    <row r="24">
      <c r="A24" s="20"/>
      <c r="B24" s="20"/>
    </row>
    <row r="25">
      <c r="A25" s="20"/>
      <c r="B25" s="20"/>
    </row>
    <row r="26">
      <c r="A26" s="20"/>
      <c r="B26" s="20"/>
    </row>
    <row r="27">
      <c r="A27" s="20"/>
      <c r="B27" s="20"/>
    </row>
    <row r="28">
      <c r="A28" s="20"/>
      <c r="B28" s="20"/>
    </row>
    <row r="29">
      <c r="A29" s="20"/>
      <c r="B29" s="20"/>
    </row>
    <row r="30">
      <c r="A30" s="20"/>
      <c r="B30" s="20"/>
    </row>
    <row r="31">
      <c r="A31" s="20"/>
      <c r="B31" s="20"/>
    </row>
    <row r="32">
      <c r="A32" s="20"/>
      <c r="B32" s="20"/>
    </row>
    <row r="33">
      <c r="A33" s="20"/>
      <c r="B33" s="20"/>
    </row>
    <row r="34">
      <c r="A34" s="20"/>
      <c r="B34" s="20"/>
    </row>
    <row r="35">
      <c r="A35" s="20"/>
      <c r="B35" s="20"/>
    </row>
    <row r="36">
      <c r="A36" s="20"/>
      <c r="B36" s="20"/>
    </row>
    <row r="37">
      <c r="A37" s="20"/>
      <c r="B37" s="20"/>
    </row>
    <row r="38">
      <c r="A38" s="20"/>
      <c r="B38" s="20"/>
    </row>
    <row r="39">
      <c r="A39" s="20"/>
      <c r="B39" s="20"/>
    </row>
    <row r="40">
      <c r="A40" s="20"/>
      <c r="B40" s="20"/>
    </row>
    <row r="41">
      <c r="A41" s="20"/>
      <c r="B41" s="20"/>
    </row>
    <row r="42">
      <c r="A42" s="20"/>
      <c r="B42" s="20"/>
    </row>
    <row r="43">
      <c r="A43" s="20"/>
      <c r="B43" s="20"/>
    </row>
    <row r="44">
      <c r="A44" s="20"/>
      <c r="B44" s="20"/>
    </row>
    <row r="45">
      <c r="A45" s="20"/>
      <c r="B45" s="20"/>
    </row>
    <row r="46">
      <c r="A46" s="20"/>
      <c r="B46" s="20"/>
    </row>
    <row r="47">
      <c r="A47" s="20"/>
      <c r="B47" s="20"/>
    </row>
    <row r="48">
      <c r="A48" s="20"/>
      <c r="B48" s="20"/>
    </row>
    <row r="49">
      <c r="A49" s="20"/>
      <c r="B49" s="20"/>
    </row>
    <row r="50">
      <c r="A50" s="20"/>
      <c r="B50" s="20"/>
    </row>
    <row r="51">
      <c r="A51" s="20"/>
      <c r="B51" s="20"/>
    </row>
    <row r="52">
      <c r="A52" s="20"/>
      <c r="B52" s="20"/>
    </row>
    <row r="53">
      <c r="A53" s="20"/>
      <c r="B53" s="20"/>
    </row>
    <row r="54">
      <c r="A54" s="20"/>
      <c r="B54" s="20"/>
    </row>
    <row r="55">
      <c r="A55" s="20"/>
      <c r="B55" s="20"/>
    </row>
    <row r="56">
      <c r="A56" s="20"/>
      <c r="B56" s="20"/>
    </row>
    <row r="57">
      <c r="A57" s="20"/>
      <c r="B57" s="20"/>
    </row>
    <row r="58">
      <c r="A58" s="20"/>
      <c r="B58" s="20"/>
    </row>
    <row r="59">
      <c r="A59" s="20"/>
      <c r="B59" s="20"/>
    </row>
    <row r="60">
      <c r="A60" s="20"/>
      <c r="B60" s="20"/>
    </row>
    <row r="61">
      <c r="A61" s="20"/>
      <c r="B61" s="20"/>
    </row>
    <row r="62">
      <c r="A62" s="20"/>
      <c r="B62" s="20"/>
    </row>
    <row r="63">
      <c r="A63" s="20"/>
      <c r="B63" s="20"/>
    </row>
    <row r="64">
      <c r="A64" s="20"/>
      <c r="B64" s="20"/>
    </row>
    <row r="65">
      <c r="A65" s="20"/>
      <c r="B65" s="20"/>
    </row>
    <row r="66">
      <c r="A66" s="20"/>
      <c r="B66" s="20"/>
    </row>
    <row r="67">
      <c r="A67" s="20"/>
      <c r="B67" s="20"/>
    </row>
    <row r="68">
      <c r="A68" s="20"/>
      <c r="B68" s="20"/>
    </row>
    <row r="69">
      <c r="A69" s="20"/>
      <c r="B69" s="20"/>
    </row>
    <row r="70">
      <c r="A70" s="20"/>
      <c r="B70" s="20"/>
    </row>
    <row r="71">
      <c r="A71" s="20"/>
      <c r="B71" s="20"/>
    </row>
    <row r="72">
      <c r="A72" s="20"/>
      <c r="B72" s="20"/>
    </row>
    <row r="73">
      <c r="A73" s="20"/>
      <c r="B73" s="20"/>
    </row>
    <row r="74">
      <c r="A74" s="20"/>
      <c r="B74" s="20"/>
    </row>
    <row r="75">
      <c r="A75" s="20"/>
      <c r="B75" s="20"/>
    </row>
    <row r="76">
      <c r="A76" s="20"/>
      <c r="B76" s="20"/>
    </row>
    <row r="77">
      <c r="A77" s="20"/>
      <c r="B77" s="20"/>
    </row>
    <row r="78">
      <c r="A78" s="20"/>
      <c r="B78" s="20"/>
    </row>
    <row r="79">
      <c r="A79" s="20"/>
      <c r="B79" s="20"/>
    </row>
    <row r="80">
      <c r="A80" s="20"/>
      <c r="B80" s="20"/>
    </row>
    <row r="81">
      <c r="A81" s="20"/>
      <c r="B81" s="20"/>
    </row>
    <row r="82">
      <c r="A82" s="20"/>
      <c r="B82" s="20"/>
    </row>
    <row r="83">
      <c r="A83" s="20"/>
      <c r="B83" s="20"/>
    </row>
    <row r="84">
      <c r="A84" s="20"/>
      <c r="B84" s="20"/>
    </row>
    <row r="85">
      <c r="A85" s="20"/>
      <c r="B85" s="20"/>
    </row>
    <row r="86">
      <c r="A86" s="20"/>
      <c r="B86" s="20"/>
    </row>
    <row r="87">
      <c r="A87" s="20"/>
      <c r="B87" s="20"/>
    </row>
    <row r="88">
      <c r="A88" s="20"/>
      <c r="B88" s="20"/>
    </row>
    <row r="89">
      <c r="A89" s="20"/>
      <c r="B89" s="20"/>
    </row>
    <row r="90">
      <c r="A90" s="20"/>
      <c r="B90" s="20"/>
    </row>
    <row r="91">
      <c r="A91" s="20"/>
      <c r="B91" s="20"/>
    </row>
    <row r="92">
      <c r="A92" s="20"/>
      <c r="B92" s="20"/>
    </row>
    <row r="93">
      <c r="A93" s="20"/>
      <c r="B93" s="20"/>
    </row>
    <row r="94">
      <c r="A94" s="20"/>
      <c r="B94" s="20"/>
    </row>
    <row r="95">
      <c r="A95" s="20"/>
      <c r="B95" s="20"/>
    </row>
    <row r="96">
      <c r="A96" s="20"/>
      <c r="B96" s="20"/>
    </row>
    <row r="97">
      <c r="A97" s="20"/>
      <c r="B97" s="20"/>
    </row>
    <row r="98">
      <c r="A98" s="20"/>
      <c r="B98" s="20"/>
    </row>
    <row r="99">
      <c r="A99" s="20"/>
      <c r="B99" s="20"/>
    </row>
    <row r="100">
      <c r="A100" s="20"/>
      <c r="B100" s="20"/>
    </row>
    <row r="101">
      <c r="A101" s="20"/>
      <c r="B101" s="20"/>
    </row>
    <row r="102">
      <c r="A102" s="20"/>
      <c r="B102" s="20"/>
    </row>
    <row r="103">
      <c r="A103" s="20"/>
      <c r="B103" s="20"/>
    </row>
    <row r="104">
      <c r="A104" s="20"/>
      <c r="B104" s="20"/>
    </row>
    <row r="105">
      <c r="A105" s="20"/>
      <c r="B105" s="20"/>
    </row>
    <row r="106">
      <c r="A106" s="20"/>
      <c r="B106" s="20"/>
    </row>
    <row r="107">
      <c r="A107" s="20"/>
      <c r="B107" s="20"/>
    </row>
    <row r="108">
      <c r="A108" s="20"/>
      <c r="B108" s="20"/>
    </row>
    <row r="109">
      <c r="A109" s="20"/>
      <c r="B109" s="20"/>
    </row>
    <row r="110">
      <c r="A110" s="20"/>
      <c r="B110" s="20"/>
    </row>
    <row r="111">
      <c r="A111" s="20"/>
      <c r="B111" s="20"/>
    </row>
    <row r="112">
      <c r="A112" s="20"/>
      <c r="B112" s="20"/>
    </row>
    <row r="113">
      <c r="A113" s="20"/>
      <c r="B113" s="20"/>
    </row>
    <row r="114">
      <c r="A114" s="20"/>
      <c r="B114" s="20"/>
    </row>
    <row r="115">
      <c r="A115" s="20"/>
      <c r="B115" s="20"/>
    </row>
    <row r="116">
      <c r="A116" s="20"/>
      <c r="B116" s="20"/>
    </row>
    <row r="117">
      <c r="A117" s="20"/>
      <c r="B117" s="20"/>
    </row>
    <row r="118">
      <c r="A118" s="20"/>
      <c r="B118" s="20"/>
    </row>
    <row r="119">
      <c r="A119" s="20"/>
      <c r="B119" s="20"/>
    </row>
    <row r="120">
      <c r="A120" s="20"/>
      <c r="B120" s="20"/>
    </row>
    <row r="121">
      <c r="A121" s="20"/>
      <c r="B121" s="20"/>
    </row>
    <row r="122">
      <c r="A122" s="20"/>
      <c r="B122" s="20"/>
    </row>
    <row r="123">
      <c r="A123" s="20"/>
      <c r="B123" s="20"/>
    </row>
    <row r="124">
      <c r="A124" s="20"/>
      <c r="B124" s="20"/>
    </row>
    <row r="125">
      <c r="A125" s="20"/>
      <c r="B125" s="20"/>
    </row>
    <row r="126">
      <c r="A126" s="20"/>
      <c r="B126" s="20"/>
    </row>
    <row r="127">
      <c r="A127" s="20"/>
      <c r="B127" s="20"/>
    </row>
    <row r="128">
      <c r="A128" s="20"/>
      <c r="B128" s="20"/>
    </row>
    <row r="129">
      <c r="A129" s="20"/>
      <c r="B129" s="20"/>
    </row>
    <row r="130">
      <c r="A130" s="20"/>
      <c r="B130" s="20"/>
    </row>
    <row r="131">
      <c r="A131" s="20"/>
      <c r="B131" s="20"/>
    </row>
    <row r="132">
      <c r="A132" s="20"/>
      <c r="B132" s="20"/>
    </row>
    <row r="133">
      <c r="A133" s="20"/>
      <c r="B133" s="20"/>
    </row>
    <row r="134">
      <c r="A134" s="20"/>
      <c r="B134" s="20"/>
    </row>
    <row r="135">
      <c r="A135" s="20"/>
      <c r="B135" s="20"/>
    </row>
    <row r="136">
      <c r="A136" s="20"/>
      <c r="B136" s="20"/>
    </row>
    <row r="137">
      <c r="A137" s="20"/>
      <c r="B137" s="20"/>
    </row>
    <row r="138">
      <c r="A138" s="20"/>
      <c r="B138" s="20"/>
    </row>
    <row r="139">
      <c r="A139" s="20"/>
      <c r="B139" s="20"/>
    </row>
    <row r="140">
      <c r="A140" s="20"/>
      <c r="B140" s="20"/>
    </row>
    <row r="141">
      <c r="A141" s="20"/>
      <c r="B141" s="20"/>
    </row>
    <row r="142">
      <c r="A142" s="20"/>
      <c r="B142" s="20"/>
    </row>
    <row r="143">
      <c r="A143" s="20"/>
      <c r="B143" s="20"/>
    </row>
    <row r="144">
      <c r="A144" s="20"/>
      <c r="B144" s="20"/>
    </row>
    <row r="145">
      <c r="A145" s="20"/>
      <c r="B145" s="20"/>
    </row>
    <row r="146">
      <c r="A146" s="20"/>
      <c r="B146" s="20"/>
    </row>
    <row r="147">
      <c r="A147" s="20"/>
      <c r="B147" s="20"/>
    </row>
    <row r="148">
      <c r="A148" s="20"/>
      <c r="B148" s="20"/>
    </row>
    <row r="149">
      <c r="A149" s="20"/>
      <c r="B149" s="20"/>
    </row>
    <row r="150">
      <c r="A150" s="20"/>
      <c r="B150" s="20"/>
    </row>
    <row r="151">
      <c r="A151" s="20"/>
      <c r="B151" s="20"/>
    </row>
    <row r="152">
      <c r="A152" s="20"/>
      <c r="B152" s="20"/>
    </row>
    <row r="153">
      <c r="A153" s="20"/>
      <c r="B153" s="20"/>
    </row>
    <row r="154">
      <c r="A154" s="20"/>
      <c r="B154" s="20"/>
    </row>
    <row r="155">
      <c r="A155" s="20"/>
      <c r="B155" s="20"/>
    </row>
    <row r="156">
      <c r="A156" s="20"/>
      <c r="B156" s="20"/>
    </row>
    <row r="157">
      <c r="A157" s="20"/>
      <c r="B157" s="20"/>
    </row>
    <row r="158">
      <c r="A158" s="20"/>
      <c r="B158" s="20"/>
    </row>
    <row r="159">
      <c r="A159" s="20"/>
      <c r="B159" s="20"/>
    </row>
    <row r="160">
      <c r="A160" s="20"/>
      <c r="B160" s="20"/>
    </row>
    <row r="161">
      <c r="A161" s="20"/>
      <c r="B161" s="20"/>
    </row>
    <row r="162">
      <c r="A162" s="20"/>
      <c r="B162" s="20"/>
    </row>
    <row r="163">
      <c r="A163" s="20"/>
      <c r="B163" s="20"/>
    </row>
    <row r="164">
      <c r="A164" s="20"/>
      <c r="B164" s="20"/>
    </row>
    <row r="165">
      <c r="A165" s="20"/>
      <c r="B165" s="20"/>
    </row>
    <row r="166">
      <c r="A166" s="20"/>
      <c r="B166" s="20"/>
    </row>
    <row r="167">
      <c r="A167" s="20"/>
      <c r="B167" s="20"/>
    </row>
    <row r="168">
      <c r="A168" s="20"/>
      <c r="B168" s="20"/>
    </row>
    <row r="169">
      <c r="A169" s="20"/>
      <c r="B169" s="20"/>
    </row>
    <row r="170">
      <c r="A170" s="20"/>
      <c r="B170" s="20"/>
    </row>
    <row r="171">
      <c r="A171" s="20"/>
      <c r="B171" s="20"/>
    </row>
    <row r="172">
      <c r="A172" s="20"/>
      <c r="B172" s="20"/>
    </row>
    <row r="173">
      <c r="A173" s="20"/>
      <c r="B173" s="20"/>
    </row>
    <row r="174">
      <c r="A174" s="20"/>
      <c r="B174" s="20"/>
    </row>
    <row r="175">
      <c r="A175" s="20"/>
      <c r="B175" s="20"/>
    </row>
    <row r="176">
      <c r="A176" s="20"/>
      <c r="B176" s="20"/>
    </row>
    <row r="177">
      <c r="A177" s="20"/>
      <c r="B177" s="20"/>
    </row>
    <row r="178">
      <c r="A178" s="20"/>
      <c r="B178" s="20"/>
    </row>
    <row r="179">
      <c r="A179" s="20"/>
      <c r="B179" s="20"/>
    </row>
    <row r="180">
      <c r="A180" s="20"/>
      <c r="B180" s="20"/>
    </row>
    <row r="181">
      <c r="A181" s="20"/>
      <c r="B181" s="20"/>
    </row>
    <row r="182">
      <c r="A182" s="20"/>
      <c r="B182" s="20"/>
    </row>
    <row r="183">
      <c r="A183" s="20"/>
      <c r="B183" s="20"/>
    </row>
    <row r="184">
      <c r="A184" s="20"/>
      <c r="B184" s="20"/>
    </row>
    <row r="185">
      <c r="A185" s="20"/>
      <c r="B185" s="20"/>
    </row>
    <row r="186">
      <c r="A186" s="20"/>
      <c r="B186" s="20"/>
    </row>
    <row r="187">
      <c r="A187" s="20"/>
      <c r="B187" s="20"/>
    </row>
    <row r="188">
      <c r="A188" s="20"/>
      <c r="B188" s="20"/>
    </row>
    <row r="189">
      <c r="A189" s="20"/>
      <c r="B189" s="20"/>
    </row>
    <row r="190">
      <c r="A190" s="20"/>
      <c r="B190" s="20"/>
    </row>
    <row r="191">
      <c r="A191" s="20"/>
      <c r="B191" s="20"/>
    </row>
    <row r="192">
      <c r="A192" s="20"/>
      <c r="B192" s="20"/>
    </row>
    <row r="193">
      <c r="A193" s="20"/>
      <c r="B193" s="20"/>
    </row>
    <row r="194">
      <c r="A194" s="20"/>
      <c r="B194" s="20"/>
    </row>
    <row r="195">
      <c r="A195" s="20"/>
      <c r="B195" s="20"/>
    </row>
    <row r="196">
      <c r="A196" s="20"/>
      <c r="B196" s="20"/>
    </row>
    <row r="197">
      <c r="A197" s="20"/>
      <c r="B197" s="20"/>
    </row>
    <row r="198">
      <c r="A198" s="20"/>
      <c r="B198" s="20"/>
    </row>
    <row r="199">
      <c r="A199" s="20"/>
      <c r="B199" s="20"/>
    </row>
    <row r="200">
      <c r="A200" s="20"/>
      <c r="B200" s="20"/>
    </row>
    <row r="201">
      <c r="A201" s="20"/>
      <c r="B201" s="20"/>
    </row>
    <row r="202">
      <c r="A202" s="20"/>
      <c r="B202" s="20"/>
    </row>
    <row r="203">
      <c r="A203" s="20"/>
      <c r="B203" s="20"/>
    </row>
    <row r="204">
      <c r="A204" s="20"/>
      <c r="B204" s="20"/>
    </row>
    <row r="205">
      <c r="A205" s="20"/>
      <c r="B205" s="20"/>
    </row>
    <row r="206">
      <c r="A206" s="20"/>
      <c r="B206" s="20"/>
    </row>
    <row r="207">
      <c r="A207" s="20"/>
      <c r="B207" s="20"/>
    </row>
    <row r="208">
      <c r="A208" s="20"/>
      <c r="B208" s="20"/>
    </row>
    <row r="209">
      <c r="A209" s="20"/>
      <c r="B209" s="20"/>
    </row>
    <row r="210">
      <c r="A210" s="20"/>
      <c r="B210" s="20"/>
    </row>
    <row r="211">
      <c r="A211" s="20"/>
      <c r="B211" s="20"/>
    </row>
    <row r="212">
      <c r="A212" s="20"/>
      <c r="B212" s="20"/>
    </row>
    <row r="213">
      <c r="A213" s="20"/>
      <c r="B213" s="20"/>
    </row>
    <row r="214">
      <c r="A214" s="20"/>
      <c r="B214" s="20"/>
    </row>
    <row r="215">
      <c r="A215" s="20"/>
      <c r="B215" s="20"/>
    </row>
    <row r="216">
      <c r="A216" s="20"/>
      <c r="B216" s="20"/>
    </row>
    <row r="217">
      <c r="A217" s="20"/>
      <c r="B217" s="20"/>
    </row>
    <row r="218">
      <c r="A218" s="20"/>
      <c r="B218" s="20"/>
    </row>
    <row r="219">
      <c r="A219" s="20"/>
      <c r="B219" s="20"/>
    </row>
    <row r="220">
      <c r="A220" s="20"/>
      <c r="B220" s="20"/>
    </row>
    <row r="221">
      <c r="A221" s="20"/>
      <c r="B221" s="20"/>
    </row>
    <row r="222">
      <c r="A222" s="20"/>
      <c r="B222" s="20"/>
    </row>
    <row r="223">
      <c r="A223" s="20"/>
      <c r="B223" s="20"/>
    </row>
    <row r="224">
      <c r="A224" s="20"/>
      <c r="B224" s="20"/>
    </row>
    <row r="225">
      <c r="A225" s="20"/>
      <c r="B225" s="20"/>
    </row>
    <row r="226">
      <c r="A226" s="20"/>
      <c r="B226" s="20"/>
    </row>
    <row r="227">
      <c r="A227" s="20"/>
      <c r="B227" s="20"/>
    </row>
    <row r="228">
      <c r="A228" s="20"/>
      <c r="B228" s="20"/>
    </row>
    <row r="229">
      <c r="A229" s="20"/>
      <c r="B229" s="20"/>
    </row>
    <row r="230">
      <c r="A230" s="20"/>
      <c r="B230" s="20"/>
    </row>
    <row r="231">
      <c r="A231" s="20"/>
      <c r="B231" s="20"/>
    </row>
    <row r="232">
      <c r="A232" s="20"/>
      <c r="B232" s="20"/>
    </row>
    <row r="233">
      <c r="A233" s="20"/>
      <c r="B233" s="20"/>
    </row>
    <row r="234">
      <c r="A234" s="20"/>
      <c r="B234" s="20"/>
    </row>
    <row r="235">
      <c r="A235" s="20"/>
      <c r="B235" s="20"/>
    </row>
    <row r="236">
      <c r="A236" s="20"/>
      <c r="B236" s="20"/>
    </row>
    <row r="237">
      <c r="A237" s="20"/>
      <c r="B237" s="20"/>
    </row>
    <row r="238">
      <c r="A238" s="20"/>
      <c r="B238" s="20"/>
    </row>
    <row r="239">
      <c r="A239" s="20"/>
      <c r="B239" s="20"/>
    </row>
    <row r="240">
      <c r="A240" s="20"/>
      <c r="B240" s="20"/>
    </row>
    <row r="241">
      <c r="A241" s="20"/>
      <c r="B241" s="20"/>
    </row>
    <row r="242">
      <c r="A242" s="20"/>
      <c r="B242" s="20"/>
    </row>
    <row r="243">
      <c r="A243" s="20"/>
      <c r="B243" s="20"/>
    </row>
    <row r="244">
      <c r="A244" s="20"/>
      <c r="B244" s="20"/>
    </row>
    <row r="245">
      <c r="A245" s="20"/>
      <c r="B245" s="20"/>
    </row>
    <row r="246">
      <c r="A246" s="20"/>
      <c r="B246" s="20"/>
    </row>
    <row r="247">
      <c r="A247" s="20"/>
      <c r="B247" s="20"/>
    </row>
    <row r="248">
      <c r="A248" s="20"/>
      <c r="B248" s="20"/>
    </row>
    <row r="249">
      <c r="A249" s="20"/>
      <c r="B249" s="20"/>
    </row>
    <row r="250">
      <c r="A250" s="20"/>
      <c r="B250" s="20"/>
    </row>
    <row r="251">
      <c r="A251" s="20"/>
      <c r="B251" s="20"/>
    </row>
    <row r="252">
      <c r="A252" s="20"/>
      <c r="B252" s="20"/>
    </row>
    <row r="253">
      <c r="A253" s="20"/>
      <c r="B253" s="20"/>
    </row>
    <row r="254">
      <c r="A254" s="20"/>
      <c r="B254" s="20"/>
    </row>
    <row r="255">
      <c r="A255" s="20"/>
      <c r="B255" s="20"/>
    </row>
    <row r="256">
      <c r="A256" s="20"/>
      <c r="B256" s="20"/>
    </row>
    <row r="257">
      <c r="A257" s="20"/>
      <c r="B257" s="20"/>
    </row>
    <row r="258">
      <c r="A258" s="20"/>
      <c r="B258" s="20"/>
    </row>
    <row r="259">
      <c r="A259" s="20"/>
      <c r="B259" s="20"/>
    </row>
    <row r="260">
      <c r="A260" s="20"/>
      <c r="B260" s="20"/>
    </row>
    <row r="261">
      <c r="A261" s="20"/>
      <c r="B261" s="20"/>
    </row>
    <row r="262">
      <c r="A262" s="20"/>
      <c r="B262" s="20"/>
    </row>
    <row r="263">
      <c r="A263" s="20"/>
      <c r="B263" s="20"/>
    </row>
    <row r="264">
      <c r="A264" s="20"/>
      <c r="B264" s="20"/>
    </row>
    <row r="265">
      <c r="A265" s="20"/>
      <c r="B265" s="20"/>
    </row>
    <row r="266">
      <c r="A266" s="20"/>
      <c r="B266" s="20"/>
    </row>
    <row r="267">
      <c r="A267" s="20"/>
      <c r="B267" s="20"/>
    </row>
    <row r="268">
      <c r="A268" s="20"/>
      <c r="B268" s="20"/>
    </row>
    <row r="269">
      <c r="A269" s="20"/>
      <c r="B269" s="20"/>
    </row>
    <row r="270">
      <c r="A270" s="20"/>
      <c r="B270" s="20"/>
    </row>
    <row r="271">
      <c r="A271" s="20"/>
      <c r="B271" s="20"/>
    </row>
    <row r="272">
      <c r="A272" s="20"/>
      <c r="B272" s="20"/>
    </row>
    <row r="273">
      <c r="A273" s="20"/>
      <c r="B273" s="20"/>
    </row>
    <row r="274">
      <c r="A274" s="20"/>
      <c r="B274" s="20"/>
    </row>
    <row r="275">
      <c r="A275" s="20"/>
      <c r="B275" s="20"/>
    </row>
    <row r="276">
      <c r="A276" s="20"/>
      <c r="B276" s="20"/>
    </row>
    <row r="277">
      <c r="A277" s="20"/>
      <c r="B277" s="20"/>
    </row>
    <row r="278">
      <c r="A278" s="20"/>
      <c r="B278" s="20"/>
    </row>
    <row r="279">
      <c r="A279" s="20"/>
      <c r="B279" s="20"/>
    </row>
    <row r="280">
      <c r="A280" s="20"/>
      <c r="B280" s="20"/>
    </row>
    <row r="281">
      <c r="A281" s="20"/>
      <c r="B281" s="20"/>
    </row>
    <row r="282">
      <c r="A282" s="20"/>
      <c r="B282" s="20"/>
    </row>
    <row r="283">
      <c r="A283" s="20"/>
      <c r="B283" s="20"/>
    </row>
    <row r="284">
      <c r="A284" s="20"/>
      <c r="B284" s="20"/>
    </row>
    <row r="285">
      <c r="A285" s="20"/>
      <c r="B285" s="20"/>
    </row>
    <row r="286">
      <c r="A286" s="20"/>
      <c r="B286" s="20"/>
    </row>
    <row r="287">
      <c r="A287" s="20"/>
      <c r="B287" s="20"/>
    </row>
    <row r="288">
      <c r="A288" s="20"/>
      <c r="B288" s="20"/>
    </row>
    <row r="289">
      <c r="A289" s="20"/>
      <c r="B289" s="20"/>
    </row>
    <row r="290">
      <c r="A290" s="20"/>
      <c r="B290" s="20"/>
    </row>
    <row r="291">
      <c r="A291" s="20"/>
      <c r="B291" s="20"/>
    </row>
    <row r="292">
      <c r="A292" s="20"/>
      <c r="B292" s="20"/>
    </row>
    <row r="293">
      <c r="A293" s="20"/>
      <c r="B293" s="20"/>
    </row>
    <row r="294">
      <c r="A294" s="20"/>
      <c r="B294" s="20"/>
    </row>
    <row r="295">
      <c r="A295" s="20"/>
      <c r="B295" s="20"/>
    </row>
    <row r="296">
      <c r="A296" s="20"/>
      <c r="B296" s="20"/>
    </row>
    <row r="297">
      <c r="A297" s="20"/>
      <c r="B297" s="20"/>
    </row>
    <row r="298">
      <c r="A298" s="20"/>
      <c r="B298" s="20"/>
    </row>
    <row r="299">
      <c r="A299" s="20"/>
      <c r="B299" s="20"/>
    </row>
    <row r="300">
      <c r="A300" s="20"/>
      <c r="B300" s="20"/>
    </row>
    <row r="301">
      <c r="A301" s="20"/>
      <c r="B301" s="20"/>
    </row>
    <row r="302">
      <c r="A302" s="20"/>
      <c r="B302" s="20"/>
    </row>
    <row r="303">
      <c r="A303" s="20"/>
      <c r="B303" s="20"/>
    </row>
    <row r="304">
      <c r="A304" s="20"/>
      <c r="B304" s="20"/>
    </row>
    <row r="305">
      <c r="A305" s="20"/>
      <c r="B305" s="20"/>
    </row>
    <row r="306">
      <c r="A306" s="20"/>
      <c r="B306" s="20"/>
    </row>
    <row r="307">
      <c r="A307" s="20"/>
      <c r="B307" s="20"/>
    </row>
    <row r="308">
      <c r="A308" s="20"/>
      <c r="B308" s="20"/>
    </row>
    <row r="309">
      <c r="A309" s="20"/>
      <c r="B309" s="20"/>
    </row>
    <row r="310">
      <c r="A310" s="20"/>
      <c r="B310" s="20"/>
    </row>
    <row r="311">
      <c r="A311" s="20"/>
      <c r="B311" s="20"/>
    </row>
    <row r="312">
      <c r="A312" s="20"/>
      <c r="B312" s="20"/>
    </row>
    <row r="313">
      <c r="A313" s="20"/>
      <c r="B313" s="20"/>
    </row>
    <row r="314">
      <c r="A314" s="20"/>
      <c r="B314" s="20"/>
    </row>
    <row r="315">
      <c r="A315" s="20"/>
      <c r="B315" s="20"/>
    </row>
    <row r="316">
      <c r="A316" s="20"/>
      <c r="B316" s="20"/>
    </row>
    <row r="317">
      <c r="A317" s="20"/>
      <c r="B317" s="20"/>
    </row>
    <row r="318">
      <c r="A318" s="20"/>
      <c r="B318" s="20"/>
    </row>
    <row r="319">
      <c r="A319" s="20"/>
      <c r="B319" s="20"/>
    </row>
    <row r="320">
      <c r="A320" s="20"/>
      <c r="B320" s="20"/>
    </row>
    <row r="321">
      <c r="A321" s="20"/>
      <c r="B321" s="20"/>
    </row>
    <row r="322">
      <c r="A322" s="20"/>
      <c r="B322" s="20"/>
    </row>
    <row r="323">
      <c r="A323" s="20"/>
      <c r="B323" s="20"/>
    </row>
    <row r="324">
      <c r="A324" s="20"/>
      <c r="B324" s="20"/>
    </row>
    <row r="325">
      <c r="A325" s="20"/>
      <c r="B325" s="20"/>
    </row>
    <row r="326">
      <c r="A326" s="20"/>
      <c r="B326" s="20"/>
    </row>
    <row r="327">
      <c r="A327" s="20"/>
      <c r="B327" s="20"/>
    </row>
    <row r="328">
      <c r="A328" s="20"/>
      <c r="B328" s="20"/>
    </row>
    <row r="329">
      <c r="A329" s="20"/>
      <c r="B329" s="20"/>
    </row>
    <row r="330">
      <c r="A330" s="20"/>
      <c r="B330" s="20"/>
    </row>
    <row r="331">
      <c r="A331" s="20"/>
      <c r="B331" s="20"/>
    </row>
    <row r="332">
      <c r="A332" s="20"/>
      <c r="B332" s="20"/>
    </row>
    <row r="333">
      <c r="A333" s="20"/>
      <c r="B333" s="20"/>
    </row>
    <row r="334">
      <c r="A334" s="20"/>
      <c r="B334" s="20"/>
    </row>
    <row r="335">
      <c r="A335" s="20"/>
      <c r="B335" s="20"/>
    </row>
    <row r="336">
      <c r="A336" s="20"/>
      <c r="B336" s="20"/>
    </row>
    <row r="337">
      <c r="A337" s="20"/>
      <c r="B337" s="20"/>
    </row>
    <row r="338">
      <c r="A338" s="20"/>
      <c r="B338" s="20"/>
    </row>
    <row r="339">
      <c r="A339" s="20"/>
      <c r="B339" s="20"/>
    </row>
    <row r="340">
      <c r="A340" s="20"/>
      <c r="B340" s="20"/>
    </row>
    <row r="341">
      <c r="A341" s="20"/>
      <c r="B341" s="20"/>
    </row>
    <row r="342">
      <c r="A342" s="20"/>
      <c r="B342" s="20"/>
    </row>
    <row r="343">
      <c r="A343" s="20"/>
      <c r="B343" s="20"/>
    </row>
    <row r="344">
      <c r="A344" s="20"/>
      <c r="B344" s="20"/>
    </row>
    <row r="345">
      <c r="A345" s="20"/>
      <c r="B345" s="20"/>
    </row>
    <row r="346">
      <c r="A346" s="20"/>
      <c r="B346" s="20"/>
    </row>
    <row r="347">
      <c r="A347" s="20"/>
      <c r="B347" s="20"/>
    </row>
    <row r="348">
      <c r="A348" s="20"/>
      <c r="B348" s="20"/>
    </row>
    <row r="349">
      <c r="A349" s="20"/>
      <c r="B349" s="20"/>
    </row>
    <row r="350">
      <c r="A350" s="20"/>
      <c r="B350" s="20"/>
    </row>
    <row r="351">
      <c r="A351" s="20"/>
      <c r="B351" s="20"/>
    </row>
    <row r="352">
      <c r="A352" s="20"/>
      <c r="B352" s="20"/>
    </row>
    <row r="353">
      <c r="A353" s="20"/>
      <c r="B353" s="20"/>
    </row>
    <row r="354">
      <c r="A354" s="20"/>
      <c r="B354" s="20"/>
    </row>
    <row r="355">
      <c r="A355" s="20"/>
      <c r="B355" s="20"/>
    </row>
    <row r="356">
      <c r="A356" s="20"/>
      <c r="B356" s="20"/>
    </row>
    <row r="357">
      <c r="A357" s="20"/>
      <c r="B357" s="20"/>
    </row>
    <row r="358">
      <c r="A358" s="20"/>
      <c r="B358" s="20"/>
    </row>
    <row r="359">
      <c r="A359" s="20"/>
      <c r="B359" s="20"/>
    </row>
    <row r="360">
      <c r="A360" s="20"/>
      <c r="B360" s="20"/>
    </row>
    <row r="361">
      <c r="A361" s="20"/>
      <c r="B361" s="20"/>
    </row>
    <row r="362">
      <c r="A362" s="20"/>
      <c r="B362" s="20"/>
    </row>
    <row r="363">
      <c r="A363" s="20"/>
      <c r="B363" s="20"/>
    </row>
    <row r="364">
      <c r="A364" s="20"/>
      <c r="B364" s="20"/>
    </row>
    <row r="365">
      <c r="A365" s="20"/>
      <c r="B365" s="20"/>
    </row>
    <row r="366">
      <c r="A366" s="20"/>
      <c r="B366" s="20"/>
    </row>
    <row r="367">
      <c r="A367" s="20"/>
      <c r="B367" s="20"/>
    </row>
    <row r="368">
      <c r="A368" s="20"/>
      <c r="B368" s="20"/>
    </row>
    <row r="369">
      <c r="A369" s="20"/>
      <c r="B369" s="20"/>
    </row>
    <row r="370">
      <c r="A370" s="20"/>
      <c r="B370" s="20"/>
    </row>
    <row r="371">
      <c r="A371" s="20"/>
      <c r="B371" s="20"/>
    </row>
    <row r="372">
      <c r="A372" s="20"/>
      <c r="B372" s="20"/>
    </row>
    <row r="373">
      <c r="A373" s="20"/>
      <c r="B373" s="20"/>
    </row>
    <row r="374">
      <c r="A374" s="20"/>
      <c r="B374" s="20"/>
    </row>
    <row r="375">
      <c r="A375" s="20"/>
      <c r="B375" s="20"/>
    </row>
    <row r="376">
      <c r="A376" s="20"/>
      <c r="B376" s="20"/>
    </row>
    <row r="377">
      <c r="A377" s="20"/>
      <c r="B377" s="20"/>
    </row>
    <row r="378">
      <c r="A378" s="20"/>
      <c r="B378" s="20"/>
    </row>
    <row r="379">
      <c r="A379" s="20"/>
      <c r="B379" s="20"/>
    </row>
    <row r="380">
      <c r="A380" s="20"/>
      <c r="B380" s="20"/>
    </row>
    <row r="381">
      <c r="A381" s="20"/>
      <c r="B381" s="20"/>
    </row>
    <row r="382">
      <c r="A382" s="20"/>
      <c r="B382" s="20"/>
    </row>
    <row r="383">
      <c r="A383" s="20"/>
      <c r="B383" s="20"/>
    </row>
    <row r="384">
      <c r="A384" s="20"/>
      <c r="B384" s="20"/>
    </row>
    <row r="385">
      <c r="A385" s="20"/>
      <c r="B385" s="20"/>
    </row>
    <row r="386">
      <c r="A386" s="20"/>
      <c r="B386" s="20"/>
    </row>
    <row r="387">
      <c r="A387" s="20"/>
      <c r="B387" s="20"/>
    </row>
    <row r="388">
      <c r="A388" s="20"/>
      <c r="B388" s="20"/>
    </row>
    <row r="389">
      <c r="A389" s="20"/>
      <c r="B389" s="20"/>
    </row>
    <row r="390">
      <c r="A390" s="20"/>
      <c r="B390" s="20"/>
    </row>
    <row r="391">
      <c r="A391" s="20"/>
      <c r="B391" s="20"/>
    </row>
    <row r="392">
      <c r="A392" s="20"/>
      <c r="B392" s="20"/>
    </row>
    <row r="393">
      <c r="A393" s="20"/>
      <c r="B393" s="20"/>
    </row>
    <row r="394">
      <c r="A394" s="20"/>
      <c r="B394" s="20"/>
    </row>
    <row r="395">
      <c r="A395" s="20"/>
      <c r="B395" s="20"/>
    </row>
    <row r="396">
      <c r="A396" s="20"/>
      <c r="B396" s="20"/>
    </row>
    <row r="397">
      <c r="A397" s="20"/>
      <c r="B397" s="20"/>
    </row>
    <row r="398">
      <c r="A398" s="20"/>
      <c r="B398" s="20"/>
    </row>
    <row r="399">
      <c r="A399" s="20"/>
      <c r="B399" s="20"/>
    </row>
    <row r="400">
      <c r="A400" s="20"/>
      <c r="B400" s="20"/>
    </row>
    <row r="401">
      <c r="A401" s="20"/>
      <c r="B401" s="20"/>
    </row>
    <row r="402">
      <c r="A402" s="20"/>
      <c r="B402" s="20"/>
    </row>
    <row r="403">
      <c r="A403" s="20"/>
      <c r="B403" s="20"/>
    </row>
    <row r="404">
      <c r="A404" s="20"/>
      <c r="B404" s="20"/>
    </row>
    <row r="405">
      <c r="A405" s="20"/>
      <c r="B405" s="20"/>
    </row>
    <row r="406">
      <c r="A406" s="20"/>
      <c r="B406" s="20"/>
    </row>
    <row r="407">
      <c r="A407" s="20"/>
      <c r="B407" s="20"/>
    </row>
    <row r="408">
      <c r="A408" s="20"/>
      <c r="B408" s="20"/>
    </row>
    <row r="409">
      <c r="A409" s="20"/>
      <c r="B409" s="20"/>
    </row>
    <row r="410">
      <c r="A410" s="20"/>
      <c r="B410" s="20"/>
    </row>
    <row r="411">
      <c r="A411" s="20"/>
      <c r="B411" s="20"/>
    </row>
    <row r="412">
      <c r="A412" s="20"/>
      <c r="B412" s="20"/>
    </row>
    <row r="413">
      <c r="A413" s="20"/>
      <c r="B413" s="20"/>
    </row>
    <row r="414">
      <c r="A414" s="20"/>
      <c r="B414" s="20"/>
    </row>
    <row r="415">
      <c r="A415" s="20"/>
      <c r="B415" s="20"/>
    </row>
    <row r="416">
      <c r="A416" s="20"/>
      <c r="B416" s="20"/>
    </row>
    <row r="417">
      <c r="A417" s="20"/>
      <c r="B417" s="20"/>
    </row>
    <row r="418">
      <c r="A418" s="20"/>
      <c r="B418" s="20"/>
    </row>
    <row r="419">
      <c r="A419" s="20"/>
      <c r="B419" s="20"/>
    </row>
    <row r="420">
      <c r="A420" s="20"/>
      <c r="B420" s="20"/>
    </row>
    <row r="421">
      <c r="A421" s="20"/>
      <c r="B421" s="20"/>
    </row>
    <row r="422">
      <c r="A422" s="20"/>
      <c r="B422" s="20"/>
    </row>
    <row r="423">
      <c r="A423" s="20"/>
      <c r="B423" s="20"/>
    </row>
    <row r="424">
      <c r="A424" s="20"/>
      <c r="B424" s="20"/>
    </row>
    <row r="425">
      <c r="A425" s="20"/>
      <c r="B425" s="20"/>
    </row>
    <row r="426">
      <c r="A426" s="20"/>
      <c r="B426" s="20"/>
    </row>
    <row r="427">
      <c r="A427" s="20"/>
      <c r="B427" s="20"/>
    </row>
    <row r="428">
      <c r="A428" s="20"/>
      <c r="B428" s="20"/>
    </row>
    <row r="429">
      <c r="A429" s="20"/>
      <c r="B429" s="20"/>
    </row>
    <row r="430">
      <c r="A430" s="20"/>
      <c r="B430" s="20"/>
    </row>
    <row r="431">
      <c r="A431" s="20"/>
      <c r="B431" s="20"/>
    </row>
    <row r="432">
      <c r="A432" s="20"/>
      <c r="B432" s="20"/>
    </row>
    <row r="433">
      <c r="A433" s="20"/>
      <c r="B433" s="20"/>
    </row>
    <row r="434">
      <c r="A434" s="20"/>
      <c r="B434" s="20"/>
    </row>
    <row r="435">
      <c r="A435" s="20"/>
      <c r="B435" s="20"/>
    </row>
    <row r="436">
      <c r="A436" s="20"/>
      <c r="B436" s="20"/>
    </row>
    <row r="437">
      <c r="A437" s="20"/>
      <c r="B437" s="20"/>
    </row>
    <row r="438">
      <c r="A438" s="20"/>
      <c r="B438" s="20"/>
    </row>
    <row r="439">
      <c r="A439" s="20"/>
      <c r="B439" s="20"/>
    </row>
    <row r="440">
      <c r="A440" s="20"/>
      <c r="B440" s="20"/>
    </row>
    <row r="441">
      <c r="A441" s="20"/>
      <c r="B441" s="20"/>
    </row>
    <row r="442">
      <c r="A442" s="20"/>
      <c r="B442" s="20"/>
    </row>
    <row r="443">
      <c r="A443" s="20"/>
      <c r="B443" s="20"/>
    </row>
    <row r="444">
      <c r="A444" s="20"/>
      <c r="B444" s="20"/>
    </row>
    <row r="445">
      <c r="A445" s="20"/>
      <c r="B445" s="20"/>
    </row>
    <row r="446">
      <c r="A446" s="20"/>
      <c r="B446" s="20"/>
    </row>
    <row r="447">
      <c r="A447" s="20"/>
      <c r="B447" s="20"/>
    </row>
    <row r="448">
      <c r="A448" s="20"/>
      <c r="B448" s="20"/>
    </row>
    <row r="449">
      <c r="A449" s="20"/>
      <c r="B449" s="20"/>
    </row>
    <row r="450">
      <c r="A450" s="20"/>
      <c r="B450" s="20"/>
    </row>
    <row r="451">
      <c r="A451" s="20"/>
      <c r="B451" s="20"/>
    </row>
    <row r="452">
      <c r="A452" s="20"/>
      <c r="B452" s="20"/>
    </row>
    <row r="453">
      <c r="A453" s="20"/>
      <c r="B453" s="20"/>
    </row>
    <row r="454">
      <c r="A454" s="20"/>
      <c r="B454" s="20"/>
    </row>
    <row r="455">
      <c r="A455" s="20"/>
      <c r="B455" s="20"/>
    </row>
    <row r="456">
      <c r="A456" s="20"/>
      <c r="B456" s="20"/>
    </row>
    <row r="457">
      <c r="A457" s="20"/>
      <c r="B457" s="20"/>
    </row>
    <row r="458">
      <c r="A458" s="20"/>
      <c r="B458" s="20"/>
    </row>
    <row r="459">
      <c r="A459" s="20"/>
      <c r="B459" s="20"/>
    </row>
    <row r="460">
      <c r="A460" s="20"/>
      <c r="B460" s="20"/>
    </row>
    <row r="461">
      <c r="A461" s="20"/>
      <c r="B461" s="20"/>
    </row>
    <row r="462">
      <c r="A462" s="20"/>
      <c r="B462" s="20"/>
    </row>
    <row r="463">
      <c r="A463" s="20"/>
      <c r="B463" s="20"/>
    </row>
    <row r="464">
      <c r="A464" s="20"/>
      <c r="B464" s="20"/>
    </row>
    <row r="465">
      <c r="A465" s="20"/>
      <c r="B465" s="20"/>
    </row>
    <row r="466">
      <c r="A466" s="20"/>
      <c r="B466" s="20"/>
    </row>
    <row r="467">
      <c r="A467" s="20"/>
      <c r="B467" s="20"/>
    </row>
    <row r="468">
      <c r="A468" s="20"/>
      <c r="B468" s="20"/>
    </row>
    <row r="469">
      <c r="A469" s="20"/>
      <c r="B469" s="20"/>
    </row>
    <row r="470">
      <c r="A470" s="20"/>
      <c r="B470" s="20"/>
    </row>
    <row r="471">
      <c r="A471" s="20"/>
      <c r="B471" s="20"/>
    </row>
    <row r="472">
      <c r="A472" s="20"/>
      <c r="B472" s="20"/>
    </row>
    <row r="473">
      <c r="A473" s="20"/>
      <c r="B473" s="20"/>
    </row>
    <row r="474">
      <c r="A474" s="20"/>
      <c r="B474" s="20"/>
    </row>
    <row r="475">
      <c r="A475" s="20"/>
      <c r="B475" s="20"/>
    </row>
    <row r="476">
      <c r="A476" s="20"/>
      <c r="B476" s="20"/>
    </row>
    <row r="477">
      <c r="A477" s="20"/>
      <c r="B477" s="20"/>
    </row>
    <row r="478">
      <c r="A478" s="20"/>
      <c r="B478" s="20"/>
    </row>
    <row r="479">
      <c r="A479" s="20"/>
      <c r="B479" s="20"/>
    </row>
    <row r="480">
      <c r="A480" s="20"/>
      <c r="B480" s="20"/>
    </row>
    <row r="481">
      <c r="A481" s="20"/>
      <c r="B481" s="20"/>
    </row>
    <row r="482">
      <c r="A482" s="20"/>
      <c r="B482" s="20"/>
    </row>
    <row r="483">
      <c r="A483" s="20"/>
      <c r="B483" s="20"/>
    </row>
    <row r="484">
      <c r="A484" s="20"/>
      <c r="B484" s="20"/>
    </row>
    <row r="485">
      <c r="A485" s="20"/>
      <c r="B485" s="20"/>
    </row>
    <row r="486">
      <c r="A486" s="20"/>
      <c r="B486" s="20"/>
    </row>
    <row r="487">
      <c r="A487" s="20"/>
      <c r="B487" s="20"/>
    </row>
    <row r="488">
      <c r="A488" s="20"/>
      <c r="B488" s="20"/>
    </row>
    <row r="489">
      <c r="A489" s="20"/>
      <c r="B489" s="20"/>
    </row>
    <row r="490">
      <c r="A490" s="20"/>
      <c r="B490" s="20"/>
    </row>
    <row r="491">
      <c r="A491" s="20"/>
      <c r="B491" s="20"/>
    </row>
    <row r="492">
      <c r="A492" s="20"/>
      <c r="B492" s="20"/>
    </row>
    <row r="493">
      <c r="A493" s="20"/>
      <c r="B493" s="20"/>
    </row>
    <row r="494">
      <c r="A494" s="20"/>
      <c r="B494" s="20"/>
    </row>
    <row r="495">
      <c r="A495" s="20"/>
      <c r="B495" s="20"/>
    </row>
    <row r="496">
      <c r="A496" s="20"/>
      <c r="B496" s="20"/>
    </row>
    <row r="497">
      <c r="A497" s="20"/>
      <c r="B497" s="20"/>
    </row>
    <row r="498">
      <c r="A498" s="20"/>
      <c r="B498" s="20"/>
    </row>
    <row r="499">
      <c r="A499" s="20"/>
      <c r="B499" s="20"/>
    </row>
    <row r="500">
      <c r="A500" s="20"/>
      <c r="B500" s="20"/>
    </row>
    <row r="501">
      <c r="A501" s="20"/>
      <c r="B501" s="20"/>
    </row>
    <row r="502">
      <c r="A502" s="20"/>
      <c r="B502" s="20"/>
    </row>
    <row r="503">
      <c r="A503" s="20"/>
      <c r="B503" s="20"/>
    </row>
    <row r="504">
      <c r="A504" s="20"/>
      <c r="B504" s="20"/>
    </row>
    <row r="505">
      <c r="A505" s="20"/>
      <c r="B505" s="20"/>
    </row>
    <row r="506">
      <c r="A506" s="20"/>
      <c r="B506" s="20"/>
    </row>
    <row r="507">
      <c r="A507" s="20"/>
      <c r="B507" s="20"/>
    </row>
    <row r="508">
      <c r="A508" s="20"/>
      <c r="B508" s="20"/>
    </row>
    <row r="509">
      <c r="A509" s="20"/>
      <c r="B509" s="20"/>
    </row>
    <row r="510">
      <c r="A510" s="20"/>
      <c r="B510" s="20"/>
    </row>
    <row r="511">
      <c r="A511" s="20"/>
      <c r="B511" s="20"/>
    </row>
    <row r="512">
      <c r="A512" s="20"/>
      <c r="B512" s="20"/>
    </row>
    <row r="513">
      <c r="A513" s="20"/>
      <c r="B513" s="20"/>
    </row>
    <row r="514">
      <c r="A514" s="20"/>
      <c r="B514" s="20"/>
    </row>
    <row r="515">
      <c r="A515" s="20"/>
      <c r="B515" s="20"/>
    </row>
    <row r="516">
      <c r="A516" s="20"/>
      <c r="B516" s="20"/>
    </row>
    <row r="517">
      <c r="A517" s="20"/>
      <c r="B517" s="20"/>
    </row>
    <row r="518">
      <c r="A518" s="20"/>
      <c r="B518" s="20"/>
    </row>
    <row r="519">
      <c r="A519" s="20"/>
      <c r="B519" s="20"/>
    </row>
    <row r="520">
      <c r="A520" s="20"/>
      <c r="B520" s="20"/>
    </row>
    <row r="521">
      <c r="A521" s="20"/>
      <c r="B521" s="20"/>
    </row>
    <row r="522">
      <c r="A522" s="20"/>
      <c r="B522" s="20"/>
    </row>
    <row r="523">
      <c r="A523" s="20"/>
      <c r="B523" s="20"/>
    </row>
    <row r="524">
      <c r="A524" s="20"/>
      <c r="B524" s="20"/>
    </row>
    <row r="525">
      <c r="A525" s="20"/>
      <c r="B525" s="20"/>
    </row>
    <row r="526">
      <c r="A526" s="20"/>
      <c r="B526" s="20"/>
    </row>
    <row r="527">
      <c r="A527" s="20"/>
      <c r="B527" s="20"/>
    </row>
    <row r="528">
      <c r="A528" s="20"/>
      <c r="B528" s="20"/>
    </row>
    <row r="529">
      <c r="A529" s="20"/>
      <c r="B529" s="20"/>
    </row>
    <row r="530">
      <c r="A530" s="20"/>
      <c r="B530" s="20"/>
    </row>
    <row r="531">
      <c r="A531" s="20"/>
      <c r="B531" s="20"/>
    </row>
    <row r="532">
      <c r="A532" s="20"/>
      <c r="B532" s="20"/>
    </row>
    <row r="533">
      <c r="A533" s="20"/>
      <c r="B533" s="20"/>
    </row>
    <row r="534">
      <c r="A534" s="20"/>
      <c r="B534" s="20"/>
    </row>
    <row r="535">
      <c r="A535" s="20"/>
      <c r="B535" s="20"/>
    </row>
    <row r="536">
      <c r="A536" s="20"/>
      <c r="B536" s="20"/>
    </row>
    <row r="537">
      <c r="A537" s="20"/>
      <c r="B537" s="20"/>
    </row>
    <row r="538">
      <c r="A538" s="20"/>
      <c r="B538" s="20"/>
    </row>
    <row r="539">
      <c r="A539" s="20"/>
      <c r="B539" s="20"/>
    </row>
    <row r="540">
      <c r="A540" s="20"/>
      <c r="B540" s="20"/>
    </row>
    <row r="541">
      <c r="A541" s="20"/>
      <c r="B541" s="20"/>
    </row>
    <row r="542">
      <c r="A542" s="20"/>
      <c r="B542" s="20"/>
    </row>
    <row r="543">
      <c r="A543" s="20"/>
      <c r="B543" s="20"/>
    </row>
    <row r="544">
      <c r="A544" s="20"/>
      <c r="B544" s="20"/>
    </row>
    <row r="545">
      <c r="A545" s="20"/>
      <c r="B545" s="20"/>
    </row>
    <row r="546">
      <c r="A546" s="20"/>
      <c r="B546" s="20"/>
    </row>
    <row r="547">
      <c r="A547" s="20"/>
      <c r="B547" s="20"/>
    </row>
    <row r="548">
      <c r="A548" s="20"/>
      <c r="B548" s="20"/>
    </row>
    <row r="549">
      <c r="A549" s="20"/>
      <c r="B549" s="20"/>
    </row>
    <row r="550">
      <c r="A550" s="20"/>
      <c r="B550" s="20"/>
    </row>
    <row r="551">
      <c r="A551" s="20"/>
      <c r="B551" s="20"/>
    </row>
    <row r="552">
      <c r="A552" s="20"/>
      <c r="B552" s="20"/>
    </row>
    <row r="553">
      <c r="A553" s="20"/>
      <c r="B553" s="20"/>
    </row>
    <row r="554">
      <c r="A554" s="20"/>
      <c r="B554" s="20"/>
    </row>
    <row r="555">
      <c r="A555" s="20"/>
      <c r="B555" s="20"/>
    </row>
    <row r="556">
      <c r="A556" s="20"/>
      <c r="B556" s="20"/>
    </row>
    <row r="557">
      <c r="A557" s="20"/>
      <c r="B557" s="20"/>
    </row>
    <row r="558">
      <c r="A558" s="20"/>
      <c r="B558" s="20"/>
    </row>
    <row r="559">
      <c r="A559" s="20"/>
      <c r="B559" s="20"/>
    </row>
    <row r="560">
      <c r="A560" s="20"/>
      <c r="B560" s="20"/>
    </row>
    <row r="561">
      <c r="A561" s="20"/>
      <c r="B561" s="20"/>
    </row>
    <row r="562">
      <c r="A562" s="20"/>
      <c r="B562" s="20"/>
    </row>
    <row r="563">
      <c r="A563" s="20"/>
      <c r="B563" s="20"/>
    </row>
    <row r="564">
      <c r="A564" s="20"/>
      <c r="B564" s="20"/>
    </row>
    <row r="565">
      <c r="A565" s="20"/>
      <c r="B565" s="20"/>
    </row>
    <row r="566">
      <c r="A566" s="20"/>
      <c r="B566" s="20"/>
    </row>
    <row r="567">
      <c r="A567" s="20"/>
      <c r="B567" s="20"/>
    </row>
    <row r="568">
      <c r="A568" s="20"/>
      <c r="B568" s="20"/>
    </row>
    <row r="569">
      <c r="A569" s="20"/>
      <c r="B569" s="20"/>
    </row>
    <row r="570">
      <c r="A570" s="20"/>
      <c r="B570" s="20"/>
    </row>
    <row r="571">
      <c r="A571" s="20"/>
      <c r="B571" s="20"/>
    </row>
    <row r="572">
      <c r="A572" s="20"/>
      <c r="B572" s="20"/>
    </row>
    <row r="573">
      <c r="A573" s="20"/>
      <c r="B573" s="20"/>
    </row>
    <row r="574">
      <c r="A574" s="20"/>
      <c r="B574" s="20"/>
    </row>
    <row r="575">
      <c r="A575" s="20"/>
      <c r="B575" s="20"/>
    </row>
    <row r="576">
      <c r="A576" s="20"/>
      <c r="B576" s="20"/>
    </row>
    <row r="577">
      <c r="A577" s="20"/>
      <c r="B577" s="20"/>
    </row>
    <row r="578">
      <c r="A578" s="20"/>
      <c r="B578" s="20"/>
    </row>
    <row r="579">
      <c r="A579" s="20"/>
      <c r="B579" s="20"/>
    </row>
    <row r="580">
      <c r="A580" s="20"/>
      <c r="B580" s="20"/>
    </row>
    <row r="581">
      <c r="A581" s="20"/>
      <c r="B581" s="20"/>
    </row>
    <row r="582">
      <c r="A582" s="20"/>
      <c r="B582" s="20"/>
    </row>
    <row r="583">
      <c r="A583" s="20"/>
      <c r="B583" s="20"/>
    </row>
    <row r="584">
      <c r="A584" s="20"/>
      <c r="B584" s="20"/>
    </row>
    <row r="585">
      <c r="A585" s="20"/>
      <c r="B585" s="20"/>
    </row>
    <row r="586">
      <c r="A586" s="20"/>
      <c r="B586" s="20"/>
    </row>
    <row r="587">
      <c r="A587" s="20"/>
      <c r="B587" s="20"/>
    </row>
    <row r="588">
      <c r="A588" s="20"/>
      <c r="B588" s="20"/>
    </row>
    <row r="589">
      <c r="A589" s="20"/>
      <c r="B589" s="20"/>
    </row>
    <row r="590">
      <c r="A590" s="20"/>
      <c r="B590" s="20"/>
    </row>
    <row r="591">
      <c r="A591" s="20"/>
      <c r="B591" s="20"/>
    </row>
    <row r="592">
      <c r="A592" s="20"/>
      <c r="B592" s="20"/>
    </row>
    <row r="593">
      <c r="A593" s="20"/>
      <c r="B593" s="20"/>
    </row>
    <row r="594">
      <c r="A594" s="20"/>
      <c r="B594" s="20"/>
    </row>
    <row r="595">
      <c r="A595" s="20"/>
      <c r="B595" s="20"/>
    </row>
    <row r="596">
      <c r="A596" s="20"/>
      <c r="B596" s="20"/>
    </row>
    <row r="597">
      <c r="A597" s="20"/>
      <c r="B597" s="20"/>
    </row>
    <row r="598">
      <c r="A598" s="20"/>
      <c r="B598" s="20"/>
    </row>
    <row r="599">
      <c r="A599" s="20"/>
      <c r="B599" s="20"/>
    </row>
    <row r="600">
      <c r="A600" s="20"/>
      <c r="B600" s="20"/>
    </row>
    <row r="601">
      <c r="A601" s="20"/>
      <c r="B601" s="20"/>
    </row>
    <row r="602">
      <c r="A602" s="20"/>
      <c r="B602" s="20"/>
    </row>
    <row r="603">
      <c r="A603" s="20"/>
      <c r="B603" s="20"/>
    </row>
    <row r="604">
      <c r="A604" s="20"/>
      <c r="B604" s="20"/>
    </row>
    <row r="605">
      <c r="A605" s="20"/>
      <c r="B605" s="20"/>
    </row>
    <row r="606">
      <c r="A606" s="20"/>
      <c r="B606" s="20"/>
    </row>
    <row r="607">
      <c r="A607" s="20"/>
      <c r="B607" s="20"/>
    </row>
    <row r="608">
      <c r="A608" s="20"/>
      <c r="B608" s="20"/>
    </row>
    <row r="609">
      <c r="A609" s="20"/>
      <c r="B609" s="20"/>
    </row>
    <row r="610">
      <c r="A610" s="20"/>
      <c r="B610" s="20"/>
    </row>
    <row r="611">
      <c r="A611" s="20"/>
      <c r="B611" s="20"/>
    </row>
    <row r="612">
      <c r="A612" s="20"/>
      <c r="B612" s="20"/>
    </row>
    <row r="613">
      <c r="A613" s="20"/>
      <c r="B613" s="20"/>
    </row>
    <row r="614">
      <c r="A614" s="20"/>
      <c r="B614" s="20"/>
    </row>
    <row r="615">
      <c r="A615" s="20"/>
      <c r="B615" s="20"/>
    </row>
    <row r="616">
      <c r="A616" s="20"/>
      <c r="B616" s="20"/>
    </row>
    <row r="617">
      <c r="A617" s="20"/>
      <c r="B617" s="20"/>
    </row>
    <row r="618">
      <c r="A618" s="20"/>
      <c r="B618" s="20"/>
    </row>
    <row r="619">
      <c r="A619" s="20"/>
      <c r="B619" s="20"/>
    </row>
    <row r="620">
      <c r="A620" s="20"/>
      <c r="B620" s="20"/>
    </row>
    <row r="621">
      <c r="A621" s="20"/>
      <c r="B621" s="20"/>
    </row>
    <row r="622">
      <c r="A622" s="20"/>
      <c r="B622" s="20"/>
    </row>
    <row r="623">
      <c r="A623" s="20"/>
      <c r="B623" s="20"/>
    </row>
    <row r="624">
      <c r="A624" s="20"/>
      <c r="B624" s="20"/>
    </row>
    <row r="625">
      <c r="A625" s="20"/>
      <c r="B625" s="20"/>
    </row>
    <row r="626">
      <c r="A626" s="20"/>
      <c r="B626" s="20"/>
    </row>
    <row r="627">
      <c r="A627" s="20"/>
      <c r="B627" s="20"/>
    </row>
    <row r="628">
      <c r="A628" s="20"/>
      <c r="B628" s="20"/>
    </row>
    <row r="629">
      <c r="A629" s="20"/>
      <c r="B629" s="20"/>
    </row>
    <row r="630">
      <c r="A630" s="20"/>
      <c r="B630" s="20"/>
    </row>
    <row r="631">
      <c r="A631" s="20"/>
      <c r="B631" s="20"/>
    </row>
    <row r="632">
      <c r="A632" s="20"/>
      <c r="B632" s="20"/>
    </row>
    <row r="633">
      <c r="A633" s="20"/>
      <c r="B633" s="20"/>
    </row>
    <row r="634">
      <c r="A634" s="20"/>
      <c r="B634" s="20"/>
    </row>
    <row r="635">
      <c r="A635" s="20"/>
      <c r="B635" s="20"/>
    </row>
    <row r="636">
      <c r="A636" s="20"/>
      <c r="B636" s="20"/>
    </row>
    <row r="637">
      <c r="A637" s="20"/>
      <c r="B637" s="20"/>
    </row>
    <row r="638">
      <c r="A638" s="20"/>
      <c r="B638" s="20"/>
    </row>
    <row r="639">
      <c r="A639" s="20"/>
      <c r="B639" s="20"/>
    </row>
    <row r="640">
      <c r="A640" s="20"/>
      <c r="B640" s="20"/>
    </row>
    <row r="641">
      <c r="A641" s="20"/>
      <c r="B641" s="20"/>
    </row>
    <row r="642">
      <c r="A642" s="20"/>
      <c r="B642" s="20"/>
    </row>
    <row r="643">
      <c r="A643" s="20"/>
      <c r="B643" s="20"/>
    </row>
    <row r="644">
      <c r="A644" s="20"/>
      <c r="B644" s="20"/>
    </row>
    <row r="645">
      <c r="A645" s="20"/>
      <c r="B645" s="20"/>
    </row>
    <row r="646">
      <c r="A646" s="20"/>
      <c r="B646" s="20"/>
    </row>
    <row r="647">
      <c r="A647" s="20"/>
      <c r="B647" s="20"/>
    </row>
    <row r="648">
      <c r="A648" s="20"/>
      <c r="B648" s="20"/>
    </row>
    <row r="649">
      <c r="A649" s="20"/>
      <c r="B649" s="20"/>
    </row>
    <row r="650">
      <c r="A650" s="20"/>
      <c r="B650" s="20"/>
    </row>
    <row r="651">
      <c r="A651" s="20"/>
      <c r="B651" s="20"/>
    </row>
    <row r="652">
      <c r="A652" s="20"/>
      <c r="B652" s="20"/>
    </row>
    <row r="653">
      <c r="A653" s="20"/>
      <c r="B653" s="20"/>
    </row>
    <row r="654">
      <c r="A654" s="20"/>
      <c r="B654" s="20"/>
    </row>
    <row r="655">
      <c r="A655" s="20"/>
      <c r="B655" s="20"/>
    </row>
    <row r="656">
      <c r="A656" s="20"/>
      <c r="B656" s="20"/>
    </row>
    <row r="657">
      <c r="A657" s="20"/>
      <c r="B657" s="20"/>
    </row>
    <row r="658">
      <c r="A658" s="20"/>
      <c r="B658" s="20"/>
    </row>
    <row r="659">
      <c r="A659" s="20"/>
      <c r="B659" s="20"/>
    </row>
    <row r="660">
      <c r="A660" s="20"/>
      <c r="B660" s="20"/>
    </row>
    <row r="661">
      <c r="A661" s="20"/>
      <c r="B661" s="20"/>
    </row>
    <row r="662">
      <c r="A662" s="20"/>
      <c r="B662" s="20"/>
    </row>
    <row r="663">
      <c r="A663" s="20"/>
      <c r="B663" s="20"/>
    </row>
    <row r="664">
      <c r="A664" s="20"/>
      <c r="B664" s="20"/>
    </row>
    <row r="665">
      <c r="A665" s="20"/>
      <c r="B665" s="20"/>
    </row>
    <row r="666">
      <c r="A666" s="20"/>
      <c r="B666" s="20"/>
    </row>
    <row r="667">
      <c r="A667" s="20"/>
      <c r="B667" s="20"/>
    </row>
    <row r="668">
      <c r="A668" s="20"/>
      <c r="B668" s="20"/>
    </row>
    <row r="669">
      <c r="A669" s="20"/>
      <c r="B669" s="20"/>
    </row>
    <row r="670">
      <c r="A670" s="20"/>
      <c r="B670" s="20"/>
    </row>
    <row r="671">
      <c r="A671" s="20"/>
      <c r="B671" s="20"/>
    </row>
    <row r="672">
      <c r="A672" s="20"/>
      <c r="B672" s="20"/>
    </row>
    <row r="673">
      <c r="A673" s="20"/>
      <c r="B673" s="20"/>
    </row>
    <row r="674">
      <c r="A674" s="20"/>
      <c r="B674" s="20"/>
    </row>
    <row r="675">
      <c r="A675" s="20"/>
      <c r="B675" s="20"/>
    </row>
    <row r="676">
      <c r="A676" s="20"/>
      <c r="B676" s="20"/>
    </row>
    <row r="677">
      <c r="A677" s="20"/>
      <c r="B677" s="20"/>
    </row>
    <row r="678">
      <c r="A678" s="20"/>
      <c r="B678" s="20"/>
    </row>
    <row r="679">
      <c r="A679" s="20"/>
      <c r="B679" s="20"/>
    </row>
    <row r="680">
      <c r="A680" s="20"/>
      <c r="B680" s="20"/>
    </row>
    <row r="681">
      <c r="A681" s="20"/>
      <c r="B681" s="20"/>
    </row>
    <row r="682">
      <c r="A682" s="20"/>
      <c r="B682" s="20"/>
    </row>
    <row r="683">
      <c r="A683" s="20"/>
      <c r="B683" s="20"/>
    </row>
    <row r="684">
      <c r="A684" s="20"/>
      <c r="B684" s="20"/>
    </row>
    <row r="685">
      <c r="A685" s="20"/>
      <c r="B685" s="20"/>
    </row>
    <row r="686">
      <c r="A686" s="20"/>
      <c r="B686" s="20"/>
    </row>
    <row r="687">
      <c r="A687" s="20"/>
      <c r="B687" s="20"/>
    </row>
    <row r="688">
      <c r="A688" s="20"/>
      <c r="B688" s="20"/>
    </row>
    <row r="689">
      <c r="A689" s="20"/>
      <c r="B689" s="20"/>
    </row>
    <row r="690">
      <c r="A690" s="20"/>
      <c r="B690" s="20"/>
    </row>
    <row r="691">
      <c r="A691" s="20"/>
      <c r="B691" s="20"/>
    </row>
    <row r="692">
      <c r="A692" s="20"/>
      <c r="B692" s="20"/>
    </row>
    <row r="693">
      <c r="A693" s="20"/>
      <c r="B693" s="20"/>
    </row>
    <row r="694">
      <c r="A694" s="20"/>
      <c r="B694" s="20"/>
    </row>
    <row r="695">
      <c r="A695" s="20"/>
      <c r="B695" s="20"/>
    </row>
    <row r="696">
      <c r="A696" s="20"/>
      <c r="B696" s="20"/>
    </row>
    <row r="697">
      <c r="A697" s="20"/>
      <c r="B697" s="20"/>
    </row>
    <row r="698">
      <c r="A698" s="20"/>
      <c r="B698" s="20"/>
    </row>
    <row r="699">
      <c r="A699" s="20"/>
      <c r="B699" s="20"/>
    </row>
    <row r="700">
      <c r="A700" s="20"/>
      <c r="B700" s="20"/>
    </row>
    <row r="701">
      <c r="A701" s="20"/>
      <c r="B701" s="20"/>
    </row>
    <row r="702">
      <c r="A702" s="20"/>
      <c r="B702" s="20"/>
    </row>
    <row r="703">
      <c r="A703" s="20"/>
      <c r="B703" s="20"/>
    </row>
    <row r="704">
      <c r="A704" s="20"/>
      <c r="B704" s="20"/>
    </row>
    <row r="705">
      <c r="A705" s="20"/>
      <c r="B705" s="20"/>
    </row>
    <row r="706">
      <c r="A706" s="20"/>
      <c r="B706" s="20"/>
    </row>
    <row r="707">
      <c r="A707" s="20"/>
      <c r="B707" s="20"/>
    </row>
    <row r="708">
      <c r="A708" s="20"/>
      <c r="B708" s="20"/>
    </row>
    <row r="709">
      <c r="A709" s="20"/>
      <c r="B709" s="20"/>
    </row>
    <row r="710">
      <c r="A710" s="20"/>
      <c r="B710" s="20"/>
    </row>
    <row r="711">
      <c r="A711" s="20"/>
      <c r="B711" s="20"/>
    </row>
    <row r="712">
      <c r="A712" s="20"/>
      <c r="B712" s="20"/>
    </row>
    <row r="713">
      <c r="A713" s="20"/>
      <c r="B713" s="20"/>
    </row>
    <row r="714">
      <c r="A714" s="20"/>
      <c r="B714" s="20"/>
    </row>
    <row r="715">
      <c r="A715" s="20"/>
      <c r="B715" s="20"/>
    </row>
    <row r="716">
      <c r="A716" s="20"/>
      <c r="B716" s="20"/>
    </row>
    <row r="717">
      <c r="A717" s="20"/>
      <c r="B717" s="20"/>
    </row>
    <row r="718">
      <c r="A718" s="20"/>
      <c r="B718" s="20"/>
    </row>
    <row r="719">
      <c r="A719" s="20"/>
      <c r="B719" s="20"/>
    </row>
    <row r="720">
      <c r="A720" s="20"/>
      <c r="B720" s="20"/>
    </row>
    <row r="721">
      <c r="A721" s="20"/>
      <c r="B721" s="20"/>
    </row>
    <row r="722">
      <c r="A722" s="20"/>
      <c r="B722" s="20"/>
    </row>
    <row r="723">
      <c r="A723" s="20"/>
      <c r="B723" s="20"/>
    </row>
    <row r="724">
      <c r="A724" s="20"/>
      <c r="B724" s="20"/>
    </row>
    <row r="725">
      <c r="A725" s="20"/>
      <c r="B725" s="20"/>
    </row>
    <row r="726">
      <c r="A726" s="20"/>
      <c r="B726" s="20"/>
    </row>
    <row r="727">
      <c r="A727" s="20"/>
      <c r="B727" s="20"/>
    </row>
    <row r="728">
      <c r="A728" s="20"/>
      <c r="B728" s="20"/>
    </row>
    <row r="729">
      <c r="A729" s="20"/>
      <c r="B729" s="20"/>
    </row>
    <row r="730">
      <c r="A730" s="20"/>
      <c r="B730" s="20"/>
    </row>
    <row r="731">
      <c r="A731" s="20"/>
      <c r="B731" s="20"/>
    </row>
    <row r="732">
      <c r="A732" s="20"/>
      <c r="B732" s="20"/>
    </row>
    <row r="733">
      <c r="A733" s="20"/>
      <c r="B733" s="20"/>
    </row>
    <row r="734">
      <c r="A734" s="20"/>
      <c r="B734" s="20"/>
    </row>
    <row r="735">
      <c r="A735" s="20"/>
      <c r="B735" s="20"/>
    </row>
    <row r="736">
      <c r="A736" s="20"/>
      <c r="B736" s="20"/>
    </row>
    <row r="737">
      <c r="A737" s="20"/>
      <c r="B737" s="20"/>
    </row>
    <row r="738">
      <c r="A738" s="20"/>
      <c r="B738" s="20"/>
    </row>
    <row r="739">
      <c r="A739" s="20"/>
      <c r="B739" s="20"/>
    </row>
    <row r="740">
      <c r="A740" s="20"/>
      <c r="B740" s="20"/>
    </row>
    <row r="741">
      <c r="A741" s="20"/>
      <c r="B741" s="20"/>
    </row>
    <row r="742">
      <c r="A742" s="20"/>
      <c r="B742" s="20"/>
    </row>
    <row r="743">
      <c r="A743" s="20"/>
      <c r="B743" s="20"/>
    </row>
    <row r="744">
      <c r="A744" s="20"/>
      <c r="B744" s="20"/>
    </row>
    <row r="745">
      <c r="A745" s="20"/>
      <c r="B745" s="20"/>
    </row>
    <row r="746">
      <c r="A746" s="20"/>
      <c r="B746" s="20"/>
    </row>
    <row r="747">
      <c r="A747" s="20"/>
      <c r="B747" s="20"/>
    </row>
    <row r="748">
      <c r="A748" s="20"/>
      <c r="B748" s="20"/>
    </row>
    <row r="749">
      <c r="A749" s="20"/>
      <c r="B749" s="20"/>
    </row>
    <row r="750">
      <c r="A750" s="20"/>
      <c r="B750" s="20"/>
    </row>
    <row r="751">
      <c r="A751" s="20"/>
      <c r="B751" s="20"/>
    </row>
    <row r="752">
      <c r="A752" s="20"/>
      <c r="B752" s="20"/>
    </row>
    <row r="753">
      <c r="A753" s="20"/>
      <c r="B753" s="20"/>
    </row>
    <row r="754">
      <c r="A754" s="20"/>
      <c r="B754" s="20"/>
    </row>
    <row r="755">
      <c r="A755" s="20"/>
      <c r="B755" s="20"/>
    </row>
    <row r="756">
      <c r="A756" s="20"/>
      <c r="B756" s="20"/>
    </row>
    <row r="757">
      <c r="A757" s="20"/>
      <c r="B757" s="20"/>
    </row>
    <row r="758">
      <c r="A758" s="20"/>
      <c r="B758" s="20"/>
    </row>
    <row r="759">
      <c r="A759" s="20"/>
      <c r="B759" s="20"/>
    </row>
    <row r="760">
      <c r="A760" s="20"/>
      <c r="B760" s="20"/>
    </row>
    <row r="761">
      <c r="A761" s="20"/>
      <c r="B761" s="20"/>
    </row>
    <row r="762">
      <c r="A762" s="20"/>
      <c r="B762" s="20"/>
    </row>
    <row r="763">
      <c r="A763" s="20"/>
      <c r="B763" s="20"/>
    </row>
    <row r="764">
      <c r="A764" s="20"/>
      <c r="B764" s="20"/>
    </row>
    <row r="765">
      <c r="A765" s="20"/>
      <c r="B765" s="20"/>
    </row>
    <row r="766">
      <c r="A766" s="20"/>
      <c r="B766" s="20"/>
    </row>
    <row r="767">
      <c r="A767" s="20"/>
      <c r="B767" s="20"/>
    </row>
    <row r="768">
      <c r="A768" s="20"/>
      <c r="B768" s="20"/>
    </row>
    <row r="769">
      <c r="A769" s="20"/>
      <c r="B769" s="20"/>
    </row>
    <row r="770">
      <c r="A770" s="20"/>
      <c r="B770" s="20"/>
    </row>
    <row r="771">
      <c r="A771" s="20"/>
      <c r="B771" s="20"/>
    </row>
    <row r="772">
      <c r="A772" s="20"/>
      <c r="B772" s="20"/>
    </row>
    <row r="773">
      <c r="A773" s="20"/>
      <c r="B773" s="20"/>
    </row>
    <row r="774">
      <c r="A774" s="20"/>
      <c r="B774" s="20"/>
    </row>
    <row r="775">
      <c r="A775" s="20"/>
      <c r="B775" s="20"/>
    </row>
    <row r="776">
      <c r="A776" s="20"/>
      <c r="B776" s="20"/>
    </row>
    <row r="777">
      <c r="A777" s="20"/>
      <c r="B777" s="20"/>
    </row>
    <row r="778">
      <c r="A778" s="20"/>
      <c r="B778" s="20"/>
    </row>
    <row r="779">
      <c r="A779" s="20"/>
      <c r="B779" s="20"/>
    </row>
    <row r="780">
      <c r="A780" s="20"/>
      <c r="B780" s="20"/>
    </row>
    <row r="781">
      <c r="A781" s="20"/>
      <c r="B781" s="20"/>
    </row>
    <row r="782">
      <c r="A782" s="20"/>
      <c r="B782" s="20"/>
    </row>
    <row r="783">
      <c r="A783" s="20"/>
      <c r="B783" s="20"/>
    </row>
    <row r="784">
      <c r="A784" s="20"/>
      <c r="B784" s="20"/>
    </row>
    <row r="785">
      <c r="A785" s="20"/>
      <c r="B785" s="20"/>
    </row>
    <row r="786">
      <c r="A786" s="20"/>
      <c r="B786" s="20"/>
    </row>
    <row r="787">
      <c r="A787" s="20"/>
      <c r="B787" s="20"/>
    </row>
    <row r="788">
      <c r="A788" s="20"/>
      <c r="B788" s="20"/>
    </row>
    <row r="789">
      <c r="A789" s="20"/>
      <c r="B789" s="20"/>
    </row>
    <row r="790">
      <c r="A790" s="20"/>
      <c r="B790" s="20"/>
    </row>
    <row r="791">
      <c r="A791" s="20"/>
      <c r="B791" s="20"/>
    </row>
    <row r="792">
      <c r="A792" s="20"/>
      <c r="B792" s="20"/>
    </row>
    <row r="793">
      <c r="A793" s="20"/>
      <c r="B793" s="20"/>
    </row>
    <row r="794">
      <c r="A794" s="20"/>
      <c r="B794" s="20"/>
    </row>
    <row r="795">
      <c r="A795" s="20"/>
      <c r="B795" s="20"/>
    </row>
    <row r="796">
      <c r="A796" s="20"/>
      <c r="B796" s="20"/>
    </row>
    <row r="797">
      <c r="A797" s="20"/>
      <c r="B797" s="20"/>
    </row>
    <row r="798">
      <c r="A798" s="20"/>
      <c r="B798" s="20"/>
    </row>
    <row r="799">
      <c r="A799" s="20"/>
      <c r="B799" s="20"/>
    </row>
    <row r="800">
      <c r="A800" s="20"/>
      <c r="B800" s="20"/>
    </row>
    <row r="801">
      <c r="A801" s="20"/>
      <c r="B801" s="20"/>
    </row>
    <row r="802">
      <c r="A802" s="20"/>
      <c r="B802" s="20"/>
    </row>
    <row r="803">
      <c r="A803" s="20"/>
      <c r="B803" s="20"/>
    </row>
    <row r="804">
      <c r="A804" s="20"/>
      <c r="B804" s="20"/>
    </row>
    <row r="805">
      <c r="A805" s="20"/>
      <c r="B805" s="20"/>
    </row>
    <row r="806">
      <c r="A806" s="20"/>
      <c r="B806" s="20"/>
    </row>
    <row r="807">
      <c r="A807" s="20"/>
      <c r="B807" s="20"/>
    </row>
    <row r="808">
      <c r="A808" s="20"/>
      <c r="B808" s="20"/>
    </row>
    <row r="809">
      <c r="A809" s="20"/>
      <c r="B809" s="20"/>
    </row>
    <row r="810">
      <c r="A810" s="20"/>
      <c r="B810" s="20"/>
    </row>
    <row r="811">
      <c r="A811" s="20"/>
      <c r="B811" s="20"/>
    </row>
    <row r="812">
      <c r="A812" s="20"/>
      <c r="B812" s="20"/>
    </row>
    <row r="813">
      <c r="A813" s="20"/>
      <c r="B813" s="20"/>
    </row>
    <row r="814">
      <c r="A814" s="20"/>
      <c r="B814" s="20"/>
    </row>
    <row r="815">
      <c r="A815" s="20"/>
      <c r="B815" s="20"/>
    </row>
    <row r="816">
      <c r="A816" s="20"/>
      <c r="B816" s="20"/>
    </row>
    <row r="817">
      <c r="A817" s="20"/>
      <c r="B817" s="20"/>
    </row>
    <row r="818">
      <c r="A818" s="20"/>
      <c r="B818" s="20"/>
    </row>
    <row r="819">
      <c r="A819" s="20"/>
      <c r="B819" s="20"/>
    </row>
    <row r="820">
      <c r="A820" s="20"/>
      <c r="B820" s="20"/>
    </row>
    <row r="821">
      <c r="A821" s="20"/>
      <c r="B821" s="20"/>
    </row>
    <row r="822">
      <c r="A822" s="20"/>
      <c r="B822" s="20"/>
    </row>
    <row r="823">
      <c r="A823" s="20"/>
      <c r="B823" s="20"/>
    </row>
    <row r="824">
      <c r="A824" s="20"/>
      <c r="B824" s="20"/>
    </row>
    <row r="825">
      <c r="A825" s="20"/>
      <c r="B825" s="20"/>
    </row>
    <row r="826">
      <c r="A826" s="20"/>
      <c r="B826" s="20"/>
    </row>
    <row r="827">
      <c r="A827" s="20"/>
      <c r="B827" s="20"/>
    </row>
    <row r="828">
      <c r="A828" s="20"/>
      <c r="B828" s="20"/>
    </row>
    <row r="829">
      <c r="A829" s="20"/>
      <c r="B829" s="20"/>
    </row>
    <row r="830">
      <c r="A830" s="20"/>
      <c r="B830" s="20"/>
    </row>
    <row r="831">
      <c r="A831" s="20"/>
      <c r="B831" s="20"/>
    </row>
    <row r="832">
      <c r="A832" s="20"/>
      <c r="B832" s="20"/>
    </row>
    <row r="833">
      <c r="A833" s="20"/>
      <c r="B833" s="20"/>
    </row>
    <row r="834">
      <c r="A834" s="20"/>
      <c r="B834" s="20"/>
    </row>
    <row r="835">
      <c r="A835" s="20"/>
      <c r="B835" s="20"/>
    </row>
    <row r="836">
      <c r="A836" s="20"/>
      <c r="B836" s="20"/>
    </row>
    <row r="837">
      <c r="A837" s="20"/>
      <c r="B837" s="20"/>
    </row>
    <row r="838">
      <c r="A838" s="20"/>
      <c r="B838" s="20"/>
    </row>
    <row r="839">
      <c r="A839" s="20"/>
      <c r="B839" s="20"/>
    </row>
    <row r="840">
      <c r="A840" s="20"/>
      <c r="B840" s="20"/>
    </row>
    <row r="841">
      <c r="A841" s="20"/>
      <c r="B841" s="20"/>
    </row>
    <row r="842">
      <c r="A842" s="20"/>
      <c r="B842" s="20"/>
    </row>
    <row r="843">
      <c r="A843" s="20"/>
      <c r="B843" s="20"/>
    </row>
    <row r="844">
      <c r="A844" s="20"/>
      <c r="B844" s="20"/>
    </row>
    <row r="845">
      <c r="A845" s="20"/>
      <c r="B845" s="20"/>
    </row>
    <row r="846">
      <c r="A846" s="20"/>
      <c r="B846" s="20"/>
    </row>
    <row r="847">
      <c r="A847" s="20"/>
      <c r="B847" s="20"/>
    </row>
    <row r="848">
      <c r="A848" s="20"/>
      <c r="B848" s="20"/>
    </row>
    <row r="849">
      <c r="A849" s="20"/>
      <c r="B849" s="20"/>
    </row>
    <row r="850">
      <c r="A850" s="20"/>
      <c r="B850" s="20"/>
    </row>
    <row r="851">
      <c r="A851" s="20"/>
      <c r="B851" s="20"/>
    </row>
    <row r="852">
      <c r="A852" s="20"/>
      <c r="B852" s="20"/>
    </row>
    <row r="853">
      <c r="A853" s="20"/>
      <c r="B853" s="20"/>
    </row>
    <row r="854">
      <c r="A854" s="20"/>
      <c r="B854" s="20"/>
    </row>
    <row r="855">
      <c r="A855" s="20"/>
      <c r="B855" s="20"/>
    </row>
    <row r="856">
      <c r="A856" s="20"/>
      <c r="B856" s="20"/>
    </row>
    <row r="857">
      <c r="A857" s="20"/>
      <c r="B857" s="20"/>
    </row>
    <row r="858">
      <c r="A858" s="20"/>
      <c r="B858" s="20"/>
    </row>
    <row r="859">
      <c r="A859" s="20"/>
      <c r="B859" s="20"/>
    </row>
    <row r="860">
      <c r="A860" s="20"/>
      <c r="B860" s="20"/>
    </row>
    <row r="861">
      <c r="A861" s="20"/>
      <c r="B861" s="20"/>
    </row>
    <row r="862">
      <c r="A862" s="20"/>
      <c r="B862" s="20"/>
    </row>
    <row r="863">
      <c r="A863" s="20"/>
      <c r="B863" s="20"/>
    </row>
    <row r="864">
      <c r="A864" s="20"/>
      <c r="B864" s="20"/>
    </row>
    <row r="865">
      <c r="A865" s="20"/>
      <c r="B865" s="20"/>
    </row>
    <row r="866">
      <c r="A866" s="20"/>
      <c r="B866" s="20"/>
    </row>
    <row r="867">
      <c r="A867" s="20"/>
      <c r="B867" s="20"/>
    </row>
    <row r="868">
      <c r="A868" s="20"/>
      <c r="B868" s="20"/>
    </row>
    <row r="869">
      <c r="A869" s="20"/>
      <c r="B869" s="20"/>
    </row>
    <row r="870">
      <c r="A870" s="20"/>
      <c r="B870" s="20"/>
    </row>
    <row r="871">
      <c r="A871" s="20"/>
      <c r="B871" s="20"/>
    </row>
    <row r="872">
      <c r="A872" s="20"/>
      <c r="B872" s="20"/>
    </row>
    <row r="873">
      <c r="A873" s="20"/>
      <c r="B873" s="20"/>
    </row>
    <row r="874">
      <c r="A874" s="20"/>
      <c r="B874" s="20"/>
    </row>
    <row r="875">
      <c r="A875" s="20"/>
      <c r="B875" s="20"/>
    </row>
    <row r="876">
      <c r="A876" s="20"/>
      <c r="B876" s="20"/>
    </row>
    <row r="877">
      <c r="A877" s="20"/>
      <c r="B877" s="20"/>
    </row>
    <row r="878">
      <c r="A878" s="20"/>
      <c r="B878" s="20"/>
    </row>
    <row r="879">
      <c r="A879" s="20"/>
      <c r="B879" s="20"/>
    </row>
    <row r="880">
      <c r="A880" s="20"/>
      <c r="B880" s="20"/>
    </row>
    <row r="881">
      <c r="A881" s="20"/>
      <c r="B881" s="20"/>
    </row>
    <row r="882">
      <c r="A882" s="20"/>
      <c r="B882" s="20"/>
    </row>
    <row r="883">
      <c r="A883" s="20"/>
      <c r="B883" s="20"/>
    </row>
    <row r="884">
      <c r="A884" s="20"/>
      <c r="B884" s="20"/>
    </row>
    <row r="885">
      <c r="A885" s="20"/>
      <c r="B885" s="20"/>
    </row>
    <row r="886">
      <c r="A886" s="20"/>
      <c r="B886" s="20"/>
    </row>
    <row r="887">
      <c r="A887" s="20"/>
      <c r="B887" s="20"/>
    </row>
    <row r="888">
      <c r="A888" s="20"/>
      <c r="B888" s="20"/>
    </row>
    <row r="889">
      <c r="A889" s="20"/>
      <c r="B889" s="20"/>
    </row>
    <row r="890">
      <c r="A890" s="20"/>
      <c r="B890" s="20"/>
    </row>
    <row r="891">
      <c r="A891" s="20"/>
      <c r="B891" s="20"/>
    </row>
    <row r="892">
      <c r="A892" s="20"/>
      <c r="B892" s="20"/>
    </row>
    <row r="893">
      <c r="A893" s="20"/>
      <c r="B893" s="20"/>
    </row>
    <row r="894">
      <c r="A894" s="20"/>
      <c r="B894" s="20"/>
    </row>
    <row r="895">
      <c r="A895" s="20"/>
      <c r="B895" s="20"/>
    </row>
    <row r="896">
      <c r="A896" s="20"/>
      <c r="B896" s="20"/>
    </row>
    <row r="897">
      <c r="A897" s="20"/>
      <c r="B897" s="20"/>
    </row>
    <row r="898">
      <c r="A898" s="20"/>
      <c r="B898" s="20"/>
    </row>
    <row r="899">
      <c r="A899" s="20"/>
      <c r="B899" s="20"/>
    </row>
    <row r="900">
      <c r="A900" s="20"/>
      <c r="B900" s="20"/>
    </row>
    <row r="901">
      <c r="A901" s="20"/>
      <c r="B901" s="20"/>
    </row>
    <row r="902">
      <c r="A902" s="20"/>
      <c r="B902" s="20"/>
    </row>
    <row r="903">
      <c r="A903" s="20"/>
      <c r="B903" s="20"/>
    </row>
    <row r="904">
      <c r="A904" s="20"/>
      <c r="B904" s="20"/>
    </row>
    <row r="905">
      <c r="A905" s="20"/>
      <c r="B905" s="20"/>
    </row>
    <row r="906">
      <c r="A906" s="20"/>
      <c r="B906" s="20"/>
    </row>
    <row r="907">
      <c r="A907" s="20"/>
      <c r="B907" s="20"/>
    </row>
    <row r="908">
      <c r="A908" s="20"/>
      <c r="B908" s="20"/>
    </row>
    <row r="909">
      <c r="A909" s="20"/>
      <c r="B909" s="20"/>
    </row>
    <row r="910">
      <c r="A910" s="20"/>
      <c r="B910" s="20"/>
    </row>
    <row r="911">
      <c r="A911" s="20"/>
      <c r="B911" s="20"/>
    </row>
    <row r="912">
      <c r="A912" s="20"/>
      <c r="B912" s="20"/>
    </row>
    <row r="913">
      <c r="A913" s="20"/>
      <c r="B913" s="20"/>
    </row>
    <row r="914">
      <c r="A914" s="20"/>
      <c r="B914" s="20"/>
    </row>
    <row r="915">
      <c r="A915" s="20"/>
      <c r="B915" s="20"/>
    </row>
    <row r="916">
      <c r="A916" s="20"/>
      <c r="B916" s="20"/>
    </row>
    <row r="917">
      <c r="A917" s="20"/>
      <c r="B917" s="20"/>
    </row>
    <row r="918">
      <c r="A918" s="20"/>
      <c r="B918" s="20"/>
    </row>
    <row r="919">
      <c r="A919" s="20"/>
      <c r="B919" s="20"/>
    </row>
    <row r="920">
      <c r="A920" s="20"/>
      <c r="B920" s="20"/>
    </row>
    <row r="921">
      <c r="A921" s="20"/>
      <c r="B921" s="20"/>
    </row>
    <row r="922">
      <c r="A922" s="20"/>
      <c r="B922" s="20"/>
    </row>
    <row r="923">
      <c r="A923" s="20"/>
      <c r="B923" s="20"/>
    </row>
    <row r="924">
      <c r="A924" s="20"/>
      <c r="B924" s="20"/>
    </row>
    <row r="925">
      <c r="A925" s="20"/>
      <c r="B925" s="20"/>
    </row>
    <row r="926">
      <c r="A926" s="20"/>
      <c r="B926" s="20"/>
    </row>
    <row r="927">
      <c r="A927" s="20"/>
      <c r="B927" s="20"/>
    </row>
    <row r="928">
      <c r="A928" s="20"/>
      <c r="B928" s="20"/>
    </row>
    <row r="929">
      <c r="A929" s="20"/>
      <c r="B929" s="20"/>
    </row>
    <row r="930">
      <c r="A930" s="20"/>
      <c r="B930" s="20"/>
    </row>
    <row r="931">
      <c r="A931" s="20"/>
      <c r="B931" s="20"/>
    </row>
    <row r="932">
      <c r="A932" s="20"/>
      <c r="B932" s="20"/>
    </row>
    <row r="933">
      <c r="A933" s="20"/>
      <c r="B933" s="20"/>
    </row>
    <row r="934">
      <c r="A934" s="20"/>
      <c r="B934" s="20"/>
    </row>
    <row r="935">
      <c r="A935" s="20"/>
      <c r="B935" s="20"/>
    </row>
    <row r="936">
      <c r="A936" s="20"/>
      <c r="B936" s="20"/>
    </row>
    <row r="937">
      <c r="A937" s="20"/>
      <c r="B937" s="20"/>
    </row>
    <row r="938">
      <c r="A938" s="20"/>
      <c r="B938" s="20"/>
    </row>
    <row r="939">
      <c r="A939" s="20"/>
      <c r="B939" s="20"/>
    </row>
    <row r="940">
      <c r="A940" s="20"/>
      <c r="B940" s="20"/>
    </row>
    <row r="941">
      <c r="A941" s="20"/>
      <c r="B941" s="20"/>
    </row>
    <row r="942">
      <c r="A942" s="20"/>
      <c r="B942" s="20"/>
    </row>
    <row r="943">
      <c r="A943" s="20"/>
      <c r="B943" s="20"/>
    </row>
    <row r="944">
      <c r="A944" s="20"/>
      <c r="B944" s="20"/>
    </row>
    <row r="945">
      <c r="A945" s="20"/>
      <c r="B945" s="20"/>
    </row>
    <row r="946">
      <c r="A946" s="20"/>
      <c r="B946" s="20"/>
    </row>
    <row r="947">
      <c r="A947" s="20"/>
      <c r="B947" s="20"/>
    </row>
    <row r="948">
      <c r="A948" s="20"/>
      <c r="B948" s="20"/>
    </row>
    <row r="949">
      <c r="A949" s="20"/>
      <c r="B949" s="20"/>
    </row>
    <row r="950">
      <c r="A950" s="20"/>
      <c r="B950" s="20"/>
    </row>
    <row r="951">
      <c r="A951" s="20"/>
      <c r="B951" s="20"/>
    </row>
    <row r="952">
      <c r="A952" s="20"/>
      <c r="B952" s="20"/>
    </row>
    <row r="953">
      <c r="A953" s="20"/>
      <c r="B953" s="20"/>
    </row>
    <row r="954">
      <c r="A954" s="20"/>
      <c r="B954" s="20"/>
    </row>
    <row r="955">
      <c r="A955" s="20"/>
      <c r="B955" s="20"/>
    </row>
    <row r="956">
      <c r="A956" s="20"/>
      <c r="B956" s="20"/>
    </row>
    <row r="957">
      <c r="A957" s="20"/>
      <c r="B957" s="20"/>
    </row>
    <row r="958">
      <c r="A958" s="20"/>
      <c r="B958" s="20"/>
    </row>
    <row r="959">
      <c r="A959" s="20"/>
      <c r="B959" s="20"/>
    </row>
    <row r="960">
      <c r="A960" s="20"/>
      <c r="B960" s="20"/>
    </row>
    <row r="961">
      <c r="A961" s="20"/>
      <c r="B961" s="20"/>
    </row>
    <row r="962">
      <c r="A962" s="20"/>
      <c r="B962" s="20"/>
    </row>
    <row r="963">
      <c r="A963" s="20"/>
      <c r="B963" s="20"/>
    </row>
    <row r="964">
      <c r="A964" s="20"/>
      <c r="B964" s="20"/>
    </row>
    <row r="965">
      <c r="A965" s="20"/>
      <c r="B965" s="20"/>
    </row>
    <row r="966">
      <c r="A966" s="20"/>
      <c r="B966" s="20"/>
    </row>
    <row r="967">
      <c r="A967" s="20"/>
      <c r="B967" s="20"/>
    </row>
    <row r="968">
      <c r="A968" s="20"/>
      <c r="B968" s="20"/>
    </row>
    <row r="969">
      <c r="A969" s="20"/>
      <c r="B969" s="20"/>
    </row>
    <row r="970">
      <c r="A970" s="20"/>
      <c r="B970" s="20"/>
    </row>
    <row r="971">
      <c r="A971" s="20"/>
      <c r="B971" s="20"/>
    </row>
    <row r="972">
      <c r="A972" s="20"/>
      <c r="B972" s="20"/>
    </row>
    <row r="973">
      <c r="A973" s="20"/>
      <c r="B973" s="20"/>
    </row>
    <row r="974">
      <c r="A974" s="20"/>
      <c r="B974" s="20"/>
    </row>
    <row r="975">
      <c r="A975" s="20"/>
      <c r="B975" s="20"/>
    </row>
    <row r="976">
      <c r="A976" s="20"/>
      <c r="B976" s="20"/>
    </row>
    <row r="977">
      <c r="A977" s="20"/>
      <c r="B977" s="20"/>
    </row>
    <row r="978">
      <c r="A978" s="20"/>
      <c r="B978" s="20"/>
    </row>
    <row r="979">
      <c r="A979" s="20"/>
      <c r="B979" s="20"/>
    </row>
    <row r="980">
      <c r="A980" s="20"/>
      <c r="B980" s="20"/>
    </row>
    <row r="981">
      <c r="A981" s="20"/>
      <c r="B981" s="20"/>
    </row>
    <row r="982">
      <c r="A982" s="20"/>
      <c r="B982" s="20"/>
    </row>
    <row r="983">
      <c r="A983" s="20"/>
      <c r="B983" s="20"/>
    </row>
    <row r="984">
      <c r="A984" s="20"/>
      <c r="B984" s="20"/>
    </row>
    <row r="985">
      <c r="A985" s="20"/>
      <c r="B985" s="20"/>
    </row>
    <row r="986">
      <c r="A986" s="20"/>
      <c r="B986" s="20"/>
    </row>
    <row r="987">
      <c r="A987" s="20"/>
      <c r="B987" s="20"/>
    </row>
    <row r="988">
      <c r="A988" s="20"/>
      <c r="B988" s="20"/>
    </row>
    <row r="989">
      <c r="A989" s="20"/>
      <c r="B989" s="20"/>
    </row>
    <row r="990">
      <c r="A990" s="20"/>
      <c r="B990" s="20"/>
    </row>
    <row r="991">
      <c r="A991" s="20"/>
      <c r="B991" s="20"/>
    </row>
    <row r="992">
      <c r="A992" s="20"/>
      <c r="B992" s="20"/>
    </row>
    <row r="993">
      <c r="A993" s="20"/>
      <c r="B993" s="20"/>
    </row>
    <row r="994">
      <c r="A994" s="20"/>
      <c r="B994" s="20"/>
    </row>
    <row r="995">
      <c r="A995" s="20"/>
      <c r="B995" s="20"/>
    </row>
    <row r="996">
      <c r="A996" s="20"/>
      <c r="B996" s="20"/>
    </row>
    <row r="997">
      <c r="A997" s="20"/>
      <c r="B997" s="20"/>
    </row>
    <row r="998">
      <c r="A998" s="20"/>
      <c r="B998" s="20"/>
    </row>
    <row r="999">
      <c r="A999" s="20"/>
      <c r="B999" s="20"/>
    </row>
    <row r="1000">
      <c r="A1000" s="20"/>
      <c r="B1000" s="20"/>
    </row>
  </sheetData>
  <hyperlinks>
    <hyperlink r:id="rId1" ref="B3"/>
    <hyperlink r:id="rId2" location="gid=0" ref="B4"/>
    <hyperlink r:id="rId3" ref="B5"/>
    <hyperlink r:id="rId4" location="gid=1424409450" ref="B6"/>
    <hyperlink r:id="rId5" ref="B7"/>
    <hyperlink r:id="rId6" ref="B8"/>
    <hyperlink r:id="rId7" ref="B10"/>
    <hyperlink r:id="rId8" ref="B11"/>
    <hyperlink r:id="rId9" ref="B12"/>
    <hyperlink r:id="rId10" ref="B15"/>
    <hyperlink r:id="rId11" ref="B16"/>
    <hyperlink r:id="rId12" ref="B17"/>
    <hyperlink r:id="rId13" ref="B18"/>
    <hyperlink r:id="rId14" ref="B19"/>
  </hyperlinks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Anika Afrin</v>
      </c>
      <c r="E4" s="57"/>
      <c r="F4" s="58" t="s">
        <v>1</v>
      </c>
      <c r="G4" s="59" t="s">
        <v>181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ext.anika.afrin@bracu.ac.bd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IFERROR(__xludf.DUMMYFUNCTION("""COMPUTED_VALUE"""),"CSE260-06B (LAB)
THR,AAF
FT10-03L")</f>
        <v>CSE260-06B (LAB)
THR,AAF
FT10-03L</v>
      </c>
      <c r="C9" s="86" t="str">
        <f>IFERROR(__xludf.DUMMYFUNCTION("""COMPUTED_VALUE"""),"CSE260-06B (LAB)
THR,AAF
FT10-03L")</f>
        <v>CSE260-06B (LAB)
THR,AAF
FT10-03L</v>
      </c>
      <c r="D9" s="86" t="str">
        <f>IFERROR(__xludf.DUMMYFUNCTION("""COMPUTED_VALUE"""),"CSE340-25
09A-03C")</f>
        <v>CSE340-25
09A-03C</v>
      </c>
      <c r="E9" s="86" t="str">
        <f>IFERROR(__xludf.DUMMYFUNCTION("""COMPUTED_VALUE"""),"Consultation")</f>
        <v>Consultation</v>
      </c>
      <c r="F9" s="86" t="str">
        <f>IFERROR(__xludf.DUMMYFUNCTION("""COMPUTED_VALUE"""),"CSE260-15B (LAB)
AAF,NQM
FT10-03L")</f>
        <v>CSE260-15B (LAB)
AAF,NQM
FT10-03L</v>
      </c>
      <c r="G9" s="86" t="str">
        <f>IFERROR(__xludf.DUMMYFUNCTION("""COMPUTED_VALUE"""),"CSE260-15B (LAB)
AAF,NQM
FT10-03L")</f>
        <v>CSE260-15B (LAB)
AAF,NQM
FT10-03L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IFERROR(__xludf.DUMMYFUNCTION("""COMPUTED_VALUE"""),"CSE330-16 (LAB)
AAF,WLV
12F-30L")</f>
        <v>CSE330-16 (LAB)
AAF,WLV
12F-30L</v>
      </c>
      <c r="C10" s="90" t="str">
        <f>IFERROR(__xludf.DUMMYFUNCTION("""COMPUTED_VALUE"""),"CSE330-16 (LAB)
AAF,WLV
12F-30L")</f>
        <v>CSE330-16 (LAB)
AAF,WLV
12F-30L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IFERROR(__xludf.DUMMYFUNCTION("""COMPUTED_VALUE"""),"CSE260-27B (LAB)
AAF,CAPN
FT10-03L")</f>
        <v>CSE260-27B (LAB)
AAF,CAPN
FT10-03L</v>
      </c>
      <c r="G10" s="90" t="str">
        <f>IFERROR(__xludf.DUMMYFUNCTION("""COMPUTED_VALUE"""),"CSE260-27B (LAB)
AAF,CAPN
FT10-03L")</f>
        <v>CSE260-27B (LAB)
AAF,CAPN
FT10-03L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IFERROR(__xludf.DUMMYFUNCTION("""COMPUTED_VALUE"""),"CSE330-11 (LAB)
ASRF,AAF
10G-34L")</f>
        <v>CSE330-11 (LAB)
ASRF,AAF
10G-34L</v>
      </c>
      <c r="C11" s="90" t="str">
        <f>IFERROR(__xludf.DUMMYFUNCTION("""COMPUTED_VALUE"""),"CSE330-11 (LAB)
ASRF,AAF
10G-34L")</f>
        <v>CSE330-11 (LAB)
ASRF,AAF
10G-34L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IFERROR(__xludf.DUMMYFUNCTION("""COMPUTED_VALUE"""),"CSE340-25
09A-03C")</f>
        <v>CSE340-25
09A-03C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Annajiat Alim Rasel</v>
      </c>
      <c r="E4" s="57"/>
      <c r="F4" s="58" t="s">
        <v>1</v>
      </c>
      <c r="G4" s="59" t="s">
        <v>25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annajiat@bracu.ac.bd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>
      <c r="A9" s="105" t="str">
        <f>IFERROR(__xludf.DUMMYFUNCTION("""COMPUTED_VALUE"""),"Saturday")</f>
        <v>Saturday</v>
      </c>
      <c r="B9" s="106" t="str">
        <f>IFERROR(__xludf.DUMMYFUNCTION("""COMPUTED_VALUE"""),"")</f>
        <v/>
      </c>
      <c r="C9" s="107" t="str">
        <f>IFERROR(__xludf.DUMMYFUNCTION("""COMPUTED_VALUE"""),"")</f>
        <v/>
      </c>
      <c r="D9" s="107" t="str">
        <f>IFERROR(__xludf.DUMMYFUNCTION("""COMPUTED_VALUE"""),"")</f>
        <v/>
      </c>
      <c r="E9" s="107" t="str">
        <f>IFERROR(__xludf.DUMMYFUNCTION("""COMPUTED_VALUE"""),"Day Off")</f>
        <v>Day Off</v>
      </c>
      <c r="F9" s="107" t="str">
        <f>IFERROR(__xludf.DUMMYFUNCTION("""COMPUTED_VALUE"""),"")</f>
        <v/>
      </c>
      <c r="G9" s="107" t="str">
        <f>IFERROR(__xludf.DUMMYFUNCTION("""COMPUTED_VALUE"""),"")</f>
        <v/>
      </c>
      <c r="H9" s="107" t="str">
        <f>IFERROR(__xludf.DUMMYFUNCTION("""COMPUTED_VALUE"""),"")</f>
        <v/>
      </c>
      <c r="I9" s="107" t="str">
        <f>IFERROR(__xludf.DUMMYFUNCTION("""COMPUTED_VALUE"""),"")</f>
        <v/>
      </c>
      <c r="J9" s="108" t="str">
        <f>IFERROR(__xludf.DUMMYFUNCTION("""COMPUTED_VALUE"""),"")</f>
        <v/>
      </c>
      <c r="K9" s="109">
        <f>IFERROR(__xludf.DUMMYFUNCTION("""COMPUTED_VALUE"""),0.0)</f>
        <v>0</v>
      </c>
      <c r="L9" s="109"/>
    </row>
    <row r="10" ht="63.0" customHeight="1">
      <c r="A10" s="110" t="str">
        <f>IFERROR(__xludf.DUMMYFUNCTION("""COMPUTED_VALUE"""),"Sunday")</f>
        <v>Sunday</v>
      </c>
      <c r="B10" s="111" t="str">
        <f>IFERROR(__xludf.DUMMYFUNCTION("""COMPUTED_VALUE"""),"")</f>
        <v/>
      </c>
      <c r="C10" s="112" t="str">
        <f>IFERROR(__xludf.DUMMYFUNCTION("""COMPUTED_VALUE"""),"Research")</f>
        <v>Research</v>
      </c>
      <c r="D10" s="112" t="str">
        <f>IFERROR(__xludf.DUMMYFUNCTION("""COMPUTED_VALUE"""),"Consultation by Appointment")</f>
        <v>Consultation by Appointment</v>
      </c>
      <c r="E10" s="112" t="str">
        <f>IFERROR(__xludf.DUMMYFUNCTION("""COMPUTED_VALUE"""),"Research")</f>
        <v>Research</v>
      </c>
      <c r="F10" s="112" t="str">
        <f>IFERROR(__xludf.DUMMYFUNCTION("""COMPUTED_VALUE"""),"CSE449-01
08D-14C")</f>
        <v>CSE449-01
08D-14C</v>
      </c>
      <c r="G10" s="112" t="str">
        <f>IFERROR(__xludf.DUMMYFUNCTION("""COMPUTED_VALUE"""),"CSE449-01
08D-14C")</f>
        <v>CSE449-01
08D-14C</v>
      </c>
      <c r="H10" s="112" t="str">
        <f>IFERROR(__xludf.DUMMYFUNCTION("""COMPUTED_VALUE"""),"")</f>
        <v/>
      </c>
      <c r="I10" s="112" t="str">
        <f>IFERROR(__xludf.DUMMYFUNCTION("""COMPUTED_VALUE"""),"CSE713-01
08F-22C")</f>
        <v>CSE713-01
08F-22C</v>
      </c>
      <c r="J10" s="113" t="str">
        <f>IFERROR(__xludf.DUMMYFUNCTION("""COMPUTED_VALUE"""),"CSE713-01
08F-22C")</f>
        <v>CSE713-01
08F-22C</v>
      </c>
      <c r="K10" s="88">
        <f>IFERROR(__xludf.DUMMYFUNCTION("""COMPUTED_VALUE"""),4.0)</f>
        <v>4</v>
      </c>
      <c r="L10" s="88"/>
    </row>
    <row r="11" ht="63.0" customHeight="1">
      <c r="A11" s="110" t="str">
        <f>IFERROR(__xludf.DUMMYFUNCTION("""COMPUTED_VALUE"""),"Monday")</f>
        <v>Monday</v>
      </c>
      <c r="B11" s="111" t="str">
        <f>IFERROR(__xludf.DUMMYFUNCTION("""COMPUTED_VALUE"""),"")</f>
        <v/>
      </c>
      <c r="C11" s="112" t="str">
        <f>IFERROR(__xludf.DUMMYFUNCTION("""COMPUTED_VALUE"""),"Research")</f>
        <v>Research</v>
      </c>
      <c r="D11" s="112" t="str">
        <f>IFERROR(__xludf.DUMMYFUNCTION("""COMPUTED_VALUE"""),"Consultation by Appointment")</f>
        <v>Consultation by Appointment</v>
      </c>
      <c r="E11" s="112" t="str">
        <f>IFERROR(__xludf.DUMMYFUNCTION("""COMPUTED_VALUE"""),"Research")</f>
        <v>Research</v>
      </c>
      <c r="F11" s="112" t="str">
        <f>IFERROR(__xludf.DUMMYFUNCTION("""COMPUTED_VALUE"""),"CSE424-01
08H-22C")</f>
        <v>CSE424-01
08H-22C</v>
      </c>
      <c r="G11" s="112" t="str">
        <f>IFERROR(__xludf.DUMMYFUNCTION("""COMPUTED_VALUE"""),"")</f>
        <v/>
      </c>
      <c r="H11" s="112" t="str">
        <f>IFERROR(__xludf.DUMMYFUNCTION("""COMPUTED_VALUE"""),"")</f>
        <v/>
      </c>
      <c r="I11" s="112" t="str">
        <f>IFERROR(__xludf.DUMMYFUNCTION("""COMPUTED_VALUE"""),"")</f>
        <v/>
      </c>
      <c r="J11" s="113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110" t="str">
        <f>IFERROR(__xludf.DUMMYFUNCTION("""COMPUTED_VALUE"""),"Tuesday")</f>
        <v>Tuesday</v>
      </c>
      <c r="B12" s="111" t="str">
        <f>IFERROR(__xludf.DUMMYFUNCTION("""COMPUTED_VALUE"""),"")</f>
        <v/>
      </c>
      <c r="C12" s="112" t="str">
        <f>IFERROR(__xludf.DUMMYFUNCTION("""COMPUTED_VALUE"""),"Research")</f>
        <v>Research</v>
      </c>
      <c r="D12" s="112" t="str">
        <f>IFERROR(__xludf.DUMMYFUNCTION("""COMPUTED_VALUE"""),"Research")</f>
        <v>Research</v>
      </c>
      <c r="E12" s="112" t="str">
        <f>IFERROR(__xludf.DUMMYFUNCTION("""COMPUTED_VALUE"""),"Consultation by Appointment")</f>
        <v>Consultation by Appointment</v>
      </c>
      <c r="F12" s="112" t="str">
        <f>IFERROR(__xludf.DUMMYFUNCTION("""COMPUTED_VALUE"""),"Consultation by Appointment")</f>
        <v>Consultation by Appointment</v>
      </c>
      <c r="G12" s="112" t="str">
        <f>IFERROR(__xludf.DUMMYFUNCTION("""COMPUTED_VALUE"""),"Research")</f>
        <v>Research</v>
      </c>
      <c r="H12" s="112" t="str">
        <f>IFERROR(__xludf.DUMMYFUNCTION("""COMPUTED_VALUE"""),"")</f>
        <v/>
      </c>
      <c r="I12" s="112" t="str">
        <f>IFERROR(__xludf.DUMMYFUNCTION("""COMPUTED_VALUE"""),"")</f>
        <v/>
      </c>
      <c r="J12" s="113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110" t="str">
        <f>IFERROR(__xludf.DUMMYFUNCTION("""COMPUTED_VALUE"""),"Wednesday")</f>
        <v>Wednesday</v>
      </c>
      <c r="B13" s="111" t="str">
        <f>IFERROR(__xludf.DUMMYFUNCTION("""COMPUTED_VALUE"""),"")</f>
        <v/>
      </c>
      <c r="C13" s="112" t="str">
        <f>IFERROR(__xludf.DUMMYFUNCTION("""COMPUTED_VALUE"""),"Research")</f>
        <v>Research</v>
      </c>
      <c r="D13" s="112" t="str">
        <f>IFERROR(__xludf.DUMMYFUNCTION("""COMPUTED_VALUE"""),"Consultation by Appointment")</f>
        <v>Consultation by Appointment</v>
      </c>
      <c r="E13" s="112" t="str">
        <f>IFERROR(__xludf.DUMMYFUNCTION("""COMPUTED_VALUE"""),"Research")</f>
        <v>Research</v>
      </c>
      <c r="F13" s="112" t="str">
        <f>IFERROR(__xludf.DUMMYFUNCTION("""COMPUTED_VALUE"""),"CSE424-01
08H-22C")</f>
        <v>CSE424-01
08H-22C</v>
      </c>
      <c r="G13" s="112"/>
      <c r="H13" s="112" t="str">
        <f>IFERROR(__xludf.DUMMYFUNCTION("""COMPUTED_VALUE"""),"")</f>
        <v/>
      </c>
      <c r="I13" s="112" t="str">
        <f>IFERROR(__xludf.DUMMYFUNCTION("""COMPUTED_VALUE"""),"")</f>
        <v/>
      </c>
      <c r="J13" s="113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110" t="str">
        <f>IFERROR(__xludf.DUMMYFUNCTION("""COMPUTED_VALUE"""),"Thursday")</f>
        <v>Thursday</v>
      </c>
      <c r="B14" s="111" t="str">
        <f>IFERROR(__xludf.DUMMYFUNCTION("""COMPUTED_VALUE"""),"")</f>
        <v/>
      </c>
      <c r="C14" s="112" t="str">
        <f>IFERROR(__xludf.DUMMYFUNCTION("""COMPUTED_VALUE"""),"Research")</f>
        <v>Research</v>
      </c>
      <c r="D14" s="112" t="str">
        <f>IFERROR(__xludf.DUMMYFUNCTION("""COMPUTED_VALUE"""),"Consultation by Appointment")</f>
        <v>Consultation by Appointment</v>
      </c>
      <c r="E14" s="112" t="str">
        <f>IFERROR(__xludf.DUMMYFUNCTION("""COMPUTED_VALUE"""),"Consultation by Appointment")</f>
        <v>Consultation by Appointment</v>
      </c>
      <c r="F14" s="112" t="str">
        <f>IFERROR(__xludf.DUMMYFUNCTION("""COMPUTED_VALUE"""),"Research")</f>
        <v>Research</v>
      </c>
      <c r="G14" s="112" t="str">
        <f>IFERROR(__xludf.DUMMYFUNCTION("""COMPUTED_VALUE"""),"Research")</f>
        <v>Research</v>
      </c>
      <c r="H14" s="112" t="str">
        <f>IFERROR(__xludf.DUMMYFUNCTION("""COMPUTED_VALUE"""),"")</f>
        <v/>
      </c>
      <c r="I14" s="112" t="str">
        <f>IFERROR(__xludf.DUMMYFUNCTION("""COMPUTED_VALUE"""),"")</f>
        <v/>
      </c>
      <c r="J14" s="113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>
      <c r="A15" s="114" t="str">
        <f>IFERROR(__xludf.DUMMYFUNCTION("""COMPUTED_VALUE"""),"Friday")</f>
        <v>Friday</v>
      </c>
      <c r="B15" s="115" t="str">
        <f>IFERROR(__xludf.DUMMYFUNCTION("""COMPUTED_VALUE"""),"")</f>
        <v/>
      </c>
      <c r="C15" s="116" t="str">
        <f>IFERROR(__xludf.DUMMYFUNCTION("""COMPUTED_VALUE"""),"")</f>
        <v/>
      </c>
      <c r="D15" s="116" t="str">
        <f>IFERROR(__xludf.DUMMYFUNCTION("""COMPUTED_VALUE"""),"")</f>
        <v/>
      </c>
      <c r="E15" s="116" t="str">
        <f>IFERROR(__xludf.DUMMYFUNCTION("""COMPUTED_VALUE"""),"Day Off")</f>
        <v>Day Off</v>
      </c>
      <c r="F15" s="116" t="str">
        <f>IFERROR(__xludf.DUMMYFUNCTION("""COMPUTED_VALUE"""),"")</f>
        <v/>
      </c>
      <c r="G15" s="116" t="str">
        <f>IFERROR(__xludf.DUMMYFUNCTION("""COMPUTED_VALUE"""),"")</f>
        <v/>
      </c>
      <c r="H15" s="116" t="str">
        <f>IFERROR(__xludf.DUMMYFUNCTION("""COMPUTED_VALUE"""),"")</f>
        <v/>
      </c>
      <c r="I15" s="116" t="str">
        <f>IFERROR(__xludf.DUMMYFUNCTION("""COMPUTED_VALUE"""),"")</f>
        <v/>
      </c>
      <c r="J15" s="117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Amitabha Chakrabarty</v>
      </c>
      <c r="E4" s="57"/>
      <c r="F4" s="58" t="s">
        <v>1</v>
      </c>
      <c r="G4" s="59" t="s">
        <v>26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amitabha@bracu.ac.bd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IFERROR(__xludf.DUMMYFUNCTION("""COMPUTED_VALUE"""),"CSE340-01
09E-20T,CSE340-02
09E-20T,CSE340-03
09E-20T")</f>
        <v>CSE340-01
09E-20T,CSE340-02
09E-20T,CSE340-03
09E-20T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IFERROR(__xludf.DUMMYFUNCTION("""COMPUTED_VALUE"""),"Thesis (UG)")</f>
        <v>Thesis (UG)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IFERROR(__xludf.DUMMYFUNCTION("""COMPUTED_VALUE"""),"CSE321-01
10A-04C")</f>
        <v>CSE321-01
10A-04C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IFERROR(__xludf.DUMMYFUNCTION("""COMPUTED_VALUE"""),"Thesis (UG)")</f>
        <v>Thesis (UG)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IFERROR(__xludf.DUMMYFUNCTION("""COMPUTED_VALUE"""),"CSE340-01
09E-20T,CSE340-02
09E-20T,CSE340-03
09E-20T")</f>
        <v>CSE340-01
09E-20T,CSE340-02
09E-20T,CSE340-03
09E-20T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IFERROR(__xludf.DUMMYFUNCTION("""COMPUTED_VALUE"""),"Thesis (UG)")</f>
        <v>Thesis (UG)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IFERROR(__xludf.DUMMYFUNCTION("""COMPUTED_VALUE"""),"CSE321-01
10A-04C")</f>
        <v>CSE321-01
10A-04C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IFERROR(__xludf.DUMMYFUNCTION("""COMPUTED_VALUE"""),"Thesis (UG)")</f>
        <v>Thesis (UG)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Ayesha Siddika</v>
      </c>
      <c r="E4" s="57"/>
      <c r="F4" s="58" t="s">
        <v>1</v>
      </c>
      <c r="G4" s="59" t="s">
        <v>182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ext.ayesha.siddika@bracu.ac.bd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IFERROR(__xludf.DUMMYFUNCTION("""COMPUTED_VALUE"""),"CSE260-16A (LAB)
AFQ,ADD
FT10-02L")</f>
        <v>CSE260-16A (LAB)
AFQ,ADD
FT10-02L</v>
      </c>
      <c r="C9" s="86" t="str">
        <f>IFERROR(__xludf.DUMMYFUNCTION("""COMPUTED_VALUE"""),"CSE260-16A (LAB)
AFQ,ADD
FT10-02L")</f>
        <v>CSE260-16A (LAB)
AFQ,ADD
FT10-02L</v>
      </c>
      <c r="D9" s="86" t="str">
        <f>IFERROR(__xludf.DUMMYFUNCTION("""COMPUTED_VALUE"""),"CSE260-24B (LAB)
ADD,CAYR
FT10-03L")</f>
        <v>CSE260-24B (LAB)
ADD,CAYR
FT10-03L</v>
      </c>
      <c r="E9" s="86" t="str">
        <f>IFERROR(__xludf.DUMMYFUNCTION("""COMPUTED_VALUE"""),"CSE260-24B (LAB)
ADD,CAYR
FT10-03L")</f>
        <v>CSE260-24B (LAB)
ADD,CAYR
FT10-03L</v>
      </c>
      <c r="F9" s="86" t="str">
        <f>IFERROR(__xludf.DUMMYFUNCTION("""COMPUTED_VALUE"""),"CSE260-23A
09C-13C,CSE260-23B
09C-13C")</f>
        <v>CSE260-23A
09C-13C,CSE260-23B
09C-13C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IFERROR(__xludf.DUMMYFUNCTION("""COMPUTED_VALUE"""),"MSc Class")</f>
        <v>MSc Class</v>
      </c>
      <c r="G10" s="90" t="str">
        <f>IFERROR(__xludf.DUMMYFUNCTION("""COMPUTED_VALUE"""),"MSc Class")</f>
        <v>MSc Class</v>
      </c>
      <c r="H10" s="90" t="str">
        <f>IFERROR(__xludf.DUMMYFUNCTION("""COMPUTED_VALUE"""),"MSc Class")</f>
        <v>MSc Class</v>
      </c>
      <c r="I10" s="90" t="str">
        <f>IFERROR(__xludf.DUMMYFUNCTION("""COMPUTED_VALUE"""),"MSc Class")</f>
        <v>MSc Class</v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IFERROR(__xludf.DUMMYFUNCTION("""COMPUTED_VALUE"""),"CSE330-19 (LAB)
ADD,MZW
12D-26L")</f>
        <v>CSE330-19 (LAB)
ADD,MZW
12D-26L</v>
      </c>
      <c r="C11" s="90" t="str">
        <f>IFERROR(__xludf.DUMMYFUNCTION("""COMPUTED_VALUE"""),"CSE330-19 (LAB)
ADD,MZW
12D-26L")</f>
        <v>CSE330-19 (LAB)
ADD,MZW
12D-26L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IFERROR(__xludf.DUMMYFUNCTION("""COMPUTED_VALUE"""),"CSE330-20 (LAB)
ADD,NTN
10G-34L")</f>
        <v>CSE330-20 (LAB)
ADD,NTN
10G-34L</v>
      </c>
      <c r="G13" s="90" t="str">
        <f>IFERROR(__xludf.DUMMYFUNCTION("""COMPUTED_VALUE"""),"CSE330-20 (LAB)
ADD,NTN
10G-34L")</f>
        <v>CSE330-20 (LAB)
ADD,NTN
10G-34L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IFERROR(__xludf.DUMMYFUNCTION("""COMPUTED_VALUE"""),"CSE260-01A (LAB)
DZK,ADD
FT10-04L")</f>
        <v>CSE260-01A (LAB)
DZK,ADD
FT10-04L</v>
      </c>
      <c r="C14" s="90" t="str">
        <f>IFERROR(__xludf.DUMMYFUNCTION("""COMPUTED_VALUE"""),"CSE260-01A (LAB)
DZK,ADD
FT10-04L")</f>
        <v>CSE260-01A (LAB)
DZK,ADD
FT10-04L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IFERROR(__xludf.DUMMYFUNCTION("""COMPUTED_VALUE"""),"CSE260-23A
09C-13C,CSE260-23B
09C-13C")</f>
        <v>CSE260-23A
09C-13C,CSE260-23B
09C-13C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Abdur Rahman</v>
      </c>
      <c r="E4" s="57"/>
      <c r="F4" s="58" t="s">
        <v>1</v>
      </c>
      <c r="G4" s="59" t="s">
        <v>183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abdur.rahman@bracu.ac.bd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IFERROR(__xludf.DUMMYFUNCTION("""COMPUTED_VALUE"""),"CSE391-01
FT11-04L")</f>
        <v>CSE391-01
FT11-04L</v>
      </c>
      <c r="E10" s="90" t="str">
        <f>IFERROR(__xludf.DUMMYFUNCTION("""COMPUTED_VALUE"""),"CSE391-01
FT11-04L")</f>
        <v>CSE391-01
FT11-04L</v>
      </c>
      <c r="F10" s="90" t="str">
        <f>IFERROR(__xludf.DUMMYFUNCTION("""COMPUTED_VALUE"""),"CSE489-01 (LAB)
CPTH,ADR
FT11-04L")</f>
        <v>CSE489-01 (LAB)
CPTH,ADR
FT11-04L</v>
      </c>
      <c r="G10" s="90" t="str">
        <f>IFERROR(__xludf.DUMMYFUNCTION("""COMPUTED_VALUE"""),"CSE489-01 (LAB)
CPTH,ADR
FT11-04L")</f>
        <v>CSE489-01 (LAB)
CPTH,ADR
FT11-04L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IFERROR(__xludf.DUMMYFUNCTION("""COMPUTED_VALUE"""),"CSE489-01
FT11-04L")</f>
        <v>CSE489-01
FT11-04L</v>
      </c>
      <c r="E12" s="90" t="str">
        <f>IFERROR(__xludf.DUMMYFUNCTION("""COMPUTED_VALUE"""),"CSE489-01
FT11-04L")</f>
        <v>CSE489-01
FT11-04L</v>
      </c>
      <c r="F12" s="90" t="str">
        <f>IFERROR(__xludf.DUMMYFUNCTION("""COMPUTED_VALUE"""),"CSE391-01 (LAB)
ADR,AQJ
FT11-04L")</f>
        <v>CSE391-01 (LAB)
ADR,AQJ
FT11-04L</v>
      </c>
      <c r="G12" s="90" t="str">
        <f>IFERROR(__xludf.DUMMYFUNCTION("""COMPUTED_VALUE"""),"CSE391-01 (LAB)
ADR,AQJ
FT11-04L")</f>
        <v>CSE391-01 (LAB)
ADR,AQJ
FT11-04L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Ahmed Mahir Ruhan</v>
      </c>
      <c r="E4" s="57"/>
      <c r="F4" s="58" t="s">
        <v>1</v>
      </c>
      <c r="G4" s="59" t="s">
        <v>27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ahmed.ruhan@bracu.ac.bd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4L93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IFERROR(__xludf.DUMMYFUNCTION("""COMPUTED_VALUE"""),"CSE110-12
09H-33C")</f>
        <v>CSE110-12
09H-33C</v>
      </c>
      <c r="E10" s="90" t="str">
        <f>IFERROR(__xludf.DUMMYFUNCTION("""COMPUTED_VALUE"""),"CSE110-06
09H-33C")</f>
        <v>CSE110-06
09H-33C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IFERROR(__xludf.DUMMYFUNCTION("""COMPUTED_VALUE"""),"CSE111-05
10B-13C")</f>
        <v>CSE111-05
10B-13C</v>
      </c>
      <c r="C11" s="90" t="str">
        <f>IFERROR(__xludf.DUMMYFUNCTION("""COMPUTED_VALUE"""),"CSE111-06
10B-13C")</f>
        <v>CSE111-06
10B-13C</v>
      </c>
      <c r="D11" s="90" t="str">
        <f>IFERROR(__xludf.DUMMYFUNCTION("""COMPUTED_VALUE"""),"CSE427-05 (LAB)
RZR,ADU
09F-27L")</f>
        <v>CSE427-05 (LAB)
RZR,ADU
09F-27L</v>
      </c>
      <c r="E11" s="90" t="str">
        <f>IFERROR(__xludf.DUMMYFUNCTION("""COMPUTED_VALUE"""),"CSE427-05 (LAB)
RZR,ADU
09F-27L")</f>
        <v>CSE427-05 (LAB)
RZR,ADU
09F-27L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IFERROR(__xludf.DUMMYFUNCTION("""COMPUTED_VALUE"""),"CSE427-02 (LAB)
ADU,NLH
09F-27L,CSE427-02 (LAB)
ADU,NLH
09F-27L")</f>
        <v>CSE427-02 (LAB)
ADU,NLH
09F-27L,CSE427-02 (LAB)
ADU,NLH
09F-27L</v>
      </c>
      <c r="C12" s="90" t="str">
        <f>IFERROR(__xludf.DUMMYFUNCTION("""COMPUTED_VALUE"""),"CSE427-02 (LAB)
ADU,NLH
09F-27L,CSE427-02 (LAB)
ADU,NLH
09F-27L")</f>
        <v>CSE427-02 (LAB)
ADU,NLH
09F-27L,CSE427-02 (LAB)
ADU,NLH
09F-27L</v>
      </c>
      <c r="D12" s="90" t="str">
        <f>IFERROR(__xludf.DUMMYFUNCTION("""COMPUTED_VALUE"""),"CSE110-12
09H-33C")</f>
        <v>CSE110-12
09H-33C</v>
      </c>
      <c r="E12" s="90" t="str">
        <f>IFERROR(__xludf.DUMMYFUNCTION("""COMPUTED_VALUE"""),"CSE110-06
09H-33C")</f>
        <v>CSE110-06
09H-33C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IFERROR(__xludf.DUMMYFUNCTION("""COMPUTED_VALUE"""),"CSE111-05
10B-13C")</f>
        <v>CSE111-05
10B-13C</v>
      </c>
      <c r="C13" s="90" t="str">
        <f>IFERROR(__xludf.DUMMYFUNCTION("""COMPUTED_VALUE"""),"CSE111-06
10B-13C")</f>
        <v>CSE111-06
10B-13C</v>
      </c>
      <c r="D13" s="90" t="str">
        <f>IFERROR(__xludf.DUMMYFUNCTION("""COMPUTED_VALUE"""),"CSE111-08 (LAB)
TMD,ADU
09B-11L")</f>
        <v>CSE111-08 (LAB)
TMD,ADU
09B-11L</v>
      </c>
      <c r="E13" s="90" t="str">
        <f>IFERROR(__xludf.DUMMYFUNCTION("""COMPUTED_VALUE"""),"CSE111-08 (LAB)
TMD,ADU
09B-11L")</f>
        <v>CSE111-08 (LAB)
TMD,ADU
09B-11L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Afroza Akhter</v>
      </c>
      <c r="E4" s="57"/>
      <c r="F4" s="58" t="s">
        <v>1</v>
      </c>
      <c r="G4" s="59" t="s">
        <v>28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afroza.akther@bracu.ac.bd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IFERROR(__xludf.DUMMYFUNCTION("""COMPUTED_VALUE"""),"CSE111-14
09A-02C")</f>
        <v>CSE111-14
09A-02C</v>
      </c>
      <c r="E9" s="86" t="str">
        <f>IFERROR(__xludf.DUMMYFUNCTION("""COMPUTED_VALUE"""),"Consultation")</f>
        <v>Consultation</v>
      </c>
      <c r="F9" s="86" t="str">
        <f>IFERROR(__xludf.DUMMYFUNCTION("""COMPUTED_VALUE"""),"CSE331-13
10B-13C")</f>
        <v>CSE331-13
10B-13C</v>
      </c>
      <c r="G9" s="86" t="str">
        <f>IFERROR(__xludf.DUMMYFUNCTION("""COMPUTED_VALUE"""),"CSE331-14
10B-13C")</f>
        <v>CSE331-14
10B-13C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/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IFERROR(__xludf.DUMMYFUNCTION("""COMPUTED_VALUE"""),"CSE111-15 (LAB)
AFA,AVB
09B-10L")</f>
        <v>CSE111-15 (LAB)
AFA,AVB
09B-10L</v>
      </c>
      <c r="C12" s="90" t="str">
        <f>IFERROR(__xludf.DUMMYFUNCTION("""COMPUTED_VALUE"""),"CSE111-15 (LAB)
AFA,AVB
09B-10L")</f>
        <v>CSE111-15 (LAB)
AFA,AVB
09B-10L</v>
      </c>
      <c r="D12" s="90" t="str">
        <f>IFERROR(__xludf.DUMMYFUNCTION("""COMPUTED_VALUE"""),"CSE111-16 (LAB)
ANK,AFA
09B-10L")</f>
        <v>CSE111-16 (LAB)
ANK,AFA
09B-10L</v>
      </c>
      <c r="E12" s="90" t="str">
        <f>IFERROR(__xludf.DUMMYFUNCTION("""COMPUTED_VALUE"""),"CSE111-16 (LAB)
ANK,AFA
09B-10L")</f>
        <v>CSE111-16 (LAB)
ANK,AFA
09B-10L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IFERROR(__xludf.DUMMYFUNCTION("""COMPUTED_VALUE"""),"CSE110-08 (LAB)
AFA,KNI
09B-09L")</f>
        <v>CSE110-08 (LAB)
AFA,KNI
09B-09L</v>
      </c>
      <c r="E13" s="90" t="str">
        <f>IFERROR(__xludf.DUMMYFUNCTION("""COMPUTED_VALUE"""),"CSE110-08 (LAB)
AFA,KNI
09B-09L")</f>
        <v>CSE110-08 (LAB)
AFA,KNI
09B-09L</v>
      </c>
      <c r="F13" s="90" t="str">
        <f>IFERROR(__xludf.DUMMYFUNCTION("""COMPUTED_VALUE"""),"CSE111-07 (LAB)
AFA,CRHB
09B-11L")</f>
        <v>CSE111-07 (LAB)
AFA,CRHB
09B-11L</v>
      </c>
      <c r="G13" s="90" t="str">
        <f>IFERROR(__xludf.DUMMYFUNCTION("""COMPUTED_VALUE"""),"CSE111-07 (LAB)
AFA,CRHB
09B-11L")</f>
        <v>CSE111-07 (LAB)
AFA,CRHB
09B-11L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IFERROR(__xludf.DUMMYFUNCTION("""COMPUTED_VALUE"""),"CSE111-14
09A-02C")</f>
        <v>CSE111-14
09A-02C</v>
      </c>
      <c r="E14" s="90" t="str">
        <f>IFERROR(__xludf.DUMMYFUNCTION("""COMPUTED_VALUE"""),"Consultation")</f>
        <v>Consultation</v>
      </c>
      <c r="F14" s="90" t="str">
        <f>IFERROR(__xludf.DUMMYFUNCTION("""COMPUTED_VALUE"""),"CSE331-13
10B-13C")</f>
        <v>CSE331-13
10B-13C</v>
      </c>
      <c r="G14" s="90" t="str">
        <f>IFERROR(__xludf.DUMMYFUNCTION("""COMPUTED_VALUE"""),"CSE331-14
10B-13C")</f>
        <v>CSE331-14
10B-13C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Mohammed Ashfaqul Haque</v>
      </c>
      <c r="E4" s="57"/>
      <c r="F4" s="58" t="s">
        <v>1</v>
      </c>
      <c r="G4" s="59" t="s">
        <v>29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ashfaqul.haque@bracu.ac.bd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4N137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IFERROR(__xludf.DUMMYFUNCTION("""COMPUTED_VALUE"""),"CSE260-16A (LAB)
AFQ,ADD
FT10-02L")</f>
        <v>CSE260-16A (LAB)
AFQ,ADD
FT10-02L</v>
      </c>
      <c r="C9" s="86" t="str">
        <f>IFERROR(__xludf.DUMMYFUNCTION("""COMPUTED_VALUE"""),"CSE260-16A (LAB)
AFQ,ADD
FT10-02L")</f>
        <v>CSE260-16A (LAB)
AFQ,ADD
FT10-02L</v>
      </c>
      <c r="D9" s="86" t="str">
        <f>IFERROR(__xludf.DUMMYFUNCTION("""COMPUTED_VALUE"""),"CSE340-23
09H-35C")</f>
        <v>CSE340-23
09H-35C</v>
      </c>
      <c r="E9" s="86" t="str">
        <f>IFERROR(__xludf.DUMMYFUNCTION("""COMPUTED_VALUE"""),"CSE340-24
09H-35C")</f>
        <v>CSE340-24
09H-35C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IFERROR(__xludf.DUMMYFUNCTION("""COMPUTED_VALUE"""),"CSE260-17A
09A-03C,CSE260-17B
09A-03C")</f>
        <v>CSE260-17A
09A-03C,CSE260-17B
09A-03C</v>
      </c>
      <c r="C10" s="90" t="str">
        <f>IFERROR(__xludf.DUMMYFUNCTION("""COMPUTED_VALUE"""),"Consultation")</f>
        <v>Consultation</v>
      </c>
      <c r="D10" s="90" t="str">
        <f>IFERROR(__xludf.DUMMYFUNCTION("""COMPUTED_VALUE"""),"CSE260-18A
07F-22C,CSE260-18B
07F-22C")</f>
        <v>CSE260-18A
07F-22C,CSE260-18B
07F-22C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IFERROR(__xludf.DUMMYFUNCTION("""COMPUTED_VALUE"""),"CSE260-17A
09A-03C,CSE260-17B
09A-03C")</f>
        <v>CSE260-17A
09A-03C,CSE260-17B
09A-03C</v>
      </c>
      <c r="C12" s="90" t="str">
        <f>IFERROR(__xludf.DUMMYFUNCTION("""COMPUTED_VALUE"""),"Consultation")</f>
        <v>Consultation</v>
      </c>
      <c r="D12" s="90" t="str">
        <f>IFERROR(__xludf.DUMMYFUNCTION("""COMPUTED_VALUE"""),"CSE260-18A
07F-22C,CSE260-18B
07F-22C")</f>
        <v>CSE260-18A
07F-22C,CSE260-18B
07F-22C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IFERROR(__xludf.DUMMYFUNCTION("""COMPUTED_VALUE"""),"CSE260-06A (LAB)
AFQ,AKHD
FT10-02L")</f>
        <v>CSE260-06A (LAB)
AFQ,AKHD
FT10-02L</v>
      </c>
      <c r="C14" s="90" t="str">
        <f>IFERROR(__xludf.DUMMYFUNCTION("""COMPUTED_VALUE"""),"CSE260-06A (LAB)
AFQ,AKHD
FT10-02L")</f>
        <v>CSE260-06A (LAB)
AFQ,AKHD
FT10-02L</v>
      </c>
      <c r="D14" s="90" t="str">
        <f>IFERROR(__xludf.DUMMYFUNCTION("""COMPUTED_VALUE"""),"CSE340-23
09H-35C")</f>
        <v>CSE340-23
09H-35C</v>
      </c>
      <c r="E14" s="90" t="str">
        <f>IFERROR(__xludf.DUMMYFUNCTION("""COMPUTED_VALUE"""),"CSE340-24
09H-35C")</f>
        <v>CSE340-24
09H-35C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Abid Hossain Ashik</v>
      </c>
      <c r="E4" s="57"/>
      <c r="F4" s="58" t="s">
        <v>1</v>
      </c>
      <c r="G4" s="59" t="s">
        <v>184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ext.abid.ashik@bracu.ac.bd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IFERROR(__xludf.DUMMYFUNCTION("""COMPUTED_VALUE"""),"CSE321-05 (LAB)
CSSA,AHA
12D-27L")</f>
        <v>CSE321-05 (LAB)
CSSA,AHA
12D-27L</v>
      </c>
      <c r="C9" s="86" t="str">
        <f>IFERROR(__xludf.DUMMYFUNCTION("""COMPUTED_VALUE"""),"CSE321-05 (LAB)
CSSA,AHA
12D-27L")</f>
        <v>CSE321-05 (LAB)
CSSA,AHA
12D-27L</v>
      </c>
      <c r="D9" s="86" t="str">
        <f>IFERROR(__xludf.DUMMYFUNCTION("""COMPUTED_VALUE"""),"CSE260-22A (LAB)
MDF,AHA
FT10-04L")</f>
        <v>CSE260-22A (LAB)
MDF,AHA
FT10-04L</v>
      </c>
      <c r="E9" s="86" t="str">
        <f>IFERROR(__xludf.DUMMYFUNCTION("""COMPUTED_VALUE"""),"CSE260-22A (LAB)
MDF,AHA
FT10-04L")</f>
        <v>CSE260-22A (LAB)
MDF,AHA
FT10-04L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IFERROR(__xludf.DUMMYFUNCTION("""COMPUTED_VALUE"""),"CSE428-04 (LAB)
AHA,CSSA
09F-26L")</f>
        <v>CSE428-04 (LAB)
AHA,CSSA
09F-26L</v>
      </c>
      <c r="C11" s="90" t="str">
        <f>IFERROR(__xludf.DUMMYFUNCTION("""COMPUTED_VALUE"""),"CSE428-04 (LAB)
AHA,CSSA
09F-26L")</f>
        <v>CSE428-04 (LAB)
AHA,CSSA
09F-26L</v>
      </c>
      <c r="D11" s="90" t="str">
        <f>IFERROR(__xludf.DUMMYFUNCTION("""COMPUTED_VALUE"""),"CSE321-27 (LAB)
CSSA,AHA
09E-22L")</f>
        <v>CSE321-27 (LAB)
CSSA,AHA
09E-22L</v>
      </c>
      <c r="E11" s="90" t="str">
        <f>IFERROR(__xludf.DUMMYFUNCTION("""COMPUTED_VALUE"""),"CSE321-27 (LAB)
CSSA,AHA
09E-22L")</f>
        <v>CSE321-27 (LAB)
CSSA,AHA
09E-22L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IFERROR(__xludf.DUMMYFUNCTION("""COMPUTED_VALUE"""),"CSE260-21B (LAB)
CSSN,AHA
FT10-03L")</f>
        <v>CSE260-21B (LAB)
CSSN,AHA
FT10-03L</v>
      </c>
      <c r="E12" s="90" t="str">
        <f>IFERROR(__xludf.DUMMYFUNCTION("""COMPUTED_VALUE"""),"CSE260-21B (LAB)
CSSN,AHA
FT10-03L")</f>
        <v>CSE260-21B (LAB)
CSSN,AHA
FT10-03L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IFERROR(__xludf.DUMMYFUNCTION("""COMPUTED_VALUE"""),"CSE260-07A (LAB)
AHA,MAO
FT10-02L")</f>
        <v>CSE260-07A (LAB)
AHA,MAO
FT10-02L</v>
      </c>
      <c r="E14" s="90" t="str">
        <f>IFERROR(__xludf.DUMMYFUNCTION("""COMPUTED_VALUE"""),"CSE260-07A (LAB)
AHA,MAO
FT10-02L")</f>
        <v>CSE260-07A (LAB)
AHA,MAO
FT10-02L</v>
      </c>
      <c r="F14" s="90" t="str">
        <f>IFERROR(__xludf.DUMMYFUNCTION("""COMPUTED_VALUE"""),"CSE260-05B (LAB)
MDF,AHA
FT10-04L")</f>
        <v>CSE260-05B (LAB)
MDF,AHA
FT10-04L</v>
      </c>
      <c r="G14" s="90" t="str">
        <f>IFERROR(__xludf.DUMMYFUNCTION("""COMPUTED_VALUE"""),"CSE260-05B (LAB)
MDF,AHA
FT10-04L")</f>
        <v>CSE260-05B (LAB)
MDF,AHA
FT10-04L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Asif Hasan Chowdhury</v>
      </c>
      <c r="E4" s="57"/>
      <c r="F4" s="58" t="s">
        <v>1</v>
      </c>
      <c r="G4" s="59" t="s">
        <v>185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ext.asif.hasan@bracu.ac.bd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IFERROR(__xludf.DUMMYFUNCTION("""COMPUTED_VALUE"""),"CSE422-03 (LAB)
RRH,AHC
09F-26L")</f>
        <v>CSE422-03 (LAB)
RRH,AHC
09F-26L</v>
      </c>
      <c r="C9" s="86" t="str">
        <f>IFERROR(__xludf.DUMMYFUNCTION("""COMPUTED_VALUE"""),"CSE422-03 (LAB)
RRH,AHC
09F-26L")</f>
        <v>CSE422-03 (LAB)
RRH,AHC
09F-26L</v>
      </c>
      <c r="D9" s="86" t="str">
        <f>IFERROR(__xludf.DUMMYFUNCTION("""COMPUTED_VALUE"""),"CSE321-26 (LAB)
AHC,KBS
12D-26L")</f>
        <v>CSE321-26 (LAB)
AHC,KBS
12D-26L</v>
      </c>
      <c r="E9" s="86" t="str">
        <f>IFERROR(__xludf.DUMMYFUNCTION("""COMPUTED_VALUE"""),"CSE321-26 (LAB)
AHC,KBS
12D-26L")</f>
        <v>CSE321-26 (LAB)
AHC,KBS
12D-26L</v>
      </c>
      <c r="F9" s="86" t="str">
        <f>IFERROR(__xludf.DUMMYFUNCTION("""COMPUTED_VALUE"""),"CSE422-22 (LAB)
MHDE,AHC
09F-26L")</f>
        <v>CSE422-22 (LAB)
MHDE,AHC
09F-26L</v>
      </c>
      <c r="G9" s="86" t="str">
        <f>IFERROR(__xludf.DUMMYFUNCTION("""COMPUTED_VALUE"""),"CSE422-22 (LAB)
MHDE,AHC
09F-26L")</f>
        <v>CSE422-22 (LAB)
MHDE,AHC
09F-26L</v>
      </c>
      <c r="H9" s="86" t="str">
        <f>IFERROR(__xludf.DUMMYFUNCTION("""COMPUTED_VALUE"""),"Consultation")</f>
        <v>Consultation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IFERROR(__xludf.DUMMYFUNCTION("""COMPUTED_VALUE"""),"CSE422-08 (LAB)
RRH,AHC
09F-26L")</f>
        <v>CSE422-08 (LAB)
RRH,AHC
09F-26L</v>
      </c>
      <c r="C10" s="90" t="str">
        <f>IFERROR(__xludf.DUMMYFUNCTION("""COMPUTED_VALUE"""),"CSE422-08 (LAB)
RRH,AHC
09F-26L")</f>
        <v>CSE422-08 (LAB)
RRH,AHC
09F-26L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Abu Ibrahim</v>
      </c>
      <c r="E4" s="57"/>
      <c r="F4" s="58" t="s">
        <v>1</v>
      </c>
      <c r="G4" s="59" t="s">
        <v>30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abu.ibrahim@bracu.ac.bd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IFERROR(__xludf.DUMMYFUNCTION("""COMPUTED_VALUE"""),"CSE111-10
10A-04C")</f>
        <v>CSE111-10
10A-04C</v>
      </c>
      <c r="C10" s="90" t="str">
        <f>IFERROR(__xludf.DUMMYFUNCTION("""COMPUTED_VALUE"""),"CSE111-11
10A-04C")</f>
        <v>CSE111-11
10A-04C</v>
      </c>
      <c r="D10" s="90" t="str">
        <f>IFERROR(__xludf.DUMMYFUNCTION("""COMPUTED_VALUE"""),"CSE220-12 (LAB)
AIB,FDM
09B-10L")</f>
        <v>CSE220-12 (LAB)
AIB,FDM
09B-10L</v>
      </c>
      <c r="E10" s="90" t="str">
        <f>IFERROR(__xludf.DUMMYFUNCTION("""COMPUTED_VALUE"""),"CSE220-12 (LAB)
AIB,FDM
09B-10L")</f>
        <v>CSE220-12 (LAB)
AIB,FDM
09B-10L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IFERROR(__xludf.DUMMYFUNCTION("""COMPUTED_VALUE"""),"Consultation")</f>
        <v>Consultation</v>
      </c>
      <c r="C11" s="90" t="str">
        <f>IFERROR(__xludf.DUMMYFUNCTION("""COMPUTED_VALUE"""),"Consultation")</f>
        <v>Consultation</v>
      </c>
      <c r="D11" s="90" t="str">
        <f>IFERROR(__xludf.DUMMYFUNCTION("""COMPUTED_VALUE"""),"CSE220-12
09H-32C")</f>
        <v>CSE220-12
09H-32C</v>
      </c>
      <c r="E11" s="90" t="str">
        <f>IFERROR(__xludf.DUMMYFUNCTION("""COMPUTED_VALUE"""),"CSE220-13
09H-32C")</f>
        <v>CSE220-13
09H-32C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IFERROR(__xludf.DUMMYFUNCTION("""COMPUTED_VALUE"""),"CSE111-10
10A-04C")</f>
        <v>CSE111-10
10A-04C</v>
      </c>
      <c r="C12" s="90" t="str">
        <f>IFERROR(__xludf.DUMMYFUNCTION("""COMPUTED_VALUE"""),"CSE111-11
10A-04C")</f>
        <v>CSE111-11
10A-04C</v>
      </c>
      <c r="D12" s="90" t="str">
        <f>IFERROR(__xludf.DUMMYFUNCTION("""COMPUTED_VALUE"""),"CSE111-01 (LAB)
AIB,ATY
09B-08L")</f>
        <v>CSE111-01 (LAB)
AIB,ATY
09B-08L</v>
      </c>
      <c r="E12" s="90" t="str">
        <f>IFERROR(__xludf.DUMMYFUNCTION("""COMPUTED_VALUE"""),"CSE111-01 (LAB)
AIB,ATY
09B-08L")</f>
        <v>CSE111-01 (LAB)
AIB,ATY
09B-08L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IFERROR(__xludf.DUMMYFUNCTION("""COMPUTED_VALUE"""),"Consultation")</f>
        <v>Consultation</v>
      </c>
      <c r="C13" s="90" t="str">
        <f>IFERROR(__xludf.DUMMYFUNCTION("""COMPUTED_VALUE"""),"Consultation")</f>
        <v>Consultation</v>
      </c>
      <c r="D13" s="90" t="str">
        <f>IFERROR(__xludf.DUMMYFUNCTION("""COMPUTED_VALUE"""),"CSE220-12
09H-32C")</f>
        <v>CSE220-12
09H-32C</v>
      </c>
      <c r="E13" s="90" t="str">
        <f>IFERROR(__xludf.DUMMYFUNCTION("""COMPUTED_VALUE"""),"CSE220-13
09H-32C")</f>
        <v>CSE220-13
09H-32C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Abid Jahan Apon</v>
      </c>
      <c r="E4" s="57"/>
      <c r="F4" s="58" t="s">
        <v>1</v>
      </c>
      <c r="G4" s="59" t="s">
        <v>31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abid.jahan@bracu.ac.bd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IFERROR(__xludf.DUMMYFUNCTION("""COMPUTED_VALUE"""),"CSE423-05
07H-27C")</f>
        <v>CSE423-05
07H-27C</v>
      </c>
      <c r="E10" s="90" t="str">
        <f>IFERROR(__xludf.DUMMYFUNCTION("""COMPUTED_VALUE"""),"CSE423-06
07H-27C")</f>
        <v>CSE423-06
07H-27C</v>
      </c>
      <c r="F10" s="90" t="str">
        <f>IFERROR(__xludf.DUMMYFUNCTION("""COMPUTED_VALUE"""),"CSE220-13 (LAB)
AJA,MRIA
09B-10L")</f>
        <v>CSE220-13 (LAB)
AJA,MRIA
09B-10L</v>
      </c>
      <c r="G10" s="90" t="str">
        <f>IFERROR(__xludf.DUMMYFUNCTION("""COMPUTED_VALUE"""),"CSE220-13 (LAB)
AJA,MRIA
09B-10L")</f>
        <v>CSE220-13 (LAB)
AJA,MRIA
09B-10L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IFERROR(__xludf.DUMMYFUNCTION("""COMPUTED_VALUE"""),"CSE423-20
09H-35C")</f>
        <v>CSE423-20
09H-35C</v>
      </c>
      <c r="E11" s="90" t="str">
        <f>IFERROR(__xludf.DUMMYFUNCTION("""COMPUTED_VALUE"""),"CSE423-07
09H-35C")</f>
        <v>CSE423-07
09H-35C</v>
      </c>
      <c r="F11" s="90" t="str">
        <f>IFERROR(__xludf.DUMMYFUNCTION("""COMPUTED_VALUE"""),"CSE220-16 (LAB)
AJA,MRIA
09B-09L")</f>
        <v>CSE220-16 (LAB)
AJA,MRIA
09B-09L</v>
      </c>
      <c r="G11" s="90" t="str">
        <f>IFERROR(__xludf.DUMMYFUNCTION("""COMPUTED_VALUE"""),"CSE220-16 (LAB)
AJA,MRIA
09B-09L")</f>
        <v>CSE220-16 (LAB)
AJA,MRIA
09B-09L</v>
      </c>
      <c r="H11" s="90" t="str">
        <f>IFERROR(__xludf.DUMMYFUNCTION("""COMPUTED_VALUE"""),"Consultation")</f>
        <v>Consultation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IFERROR(__xludf.DUMMYFUNCTION("""COMPUTED_VALUE"""),"CSE423-05
07H-27C")</f>
        <v>CSE423-05
07H-27C</v>
      </c>
      <c r="E12" s="90" t="str">
        <f>IFERROR(__xludf.DUMMYFUNCTION("""COMPUTED_VALUE"""),"CSE423-06
07H-27C")</f>
        <v>CSE423-06
07H-27C</v>
      </c>
      <c r="F12" s="90" t="str">
        <f>IFERROR(__xludf.DUMMYFUNCTION("""COMPUTED_VALUE"""),"CSE423-07 (LAB)
AJA,CAPN
09F-24L,CSE423-10 (LAB)
AJA,CAPN
09F-24L")</f>
        <v>CSE423-07 (LAB)
AJA,CAPN
09F-24L,CSE423-10 (LAB)
AJA,CAPN
09F-24L</v>
      </c>
      <c r="G12" s="90" t="str">
        <f>IFERROR(__xludf.DUMMYFUNCTION("""COMPUTED_VALUE"""),"CSE423-07 (LAB)
AJA,CAPN
09F-24L,CSE423-10 (LAB)
AJA,CAPN
09F-24L")</f>
        <v>CSE423-07 (LAB)
AJA,CAPN
09F-24L,CSE423-10 (LAB)
AJA,CAPN
09F-24L</v>
      </c>
      <c r="H12" s="90" t="str">
        <f>IFERROR(__xludf.DUMMYFUNCTION("""COMPUTED_VALUE"""),"Consultation")</f>
        <v>Consultation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IFERROR(__xludf.DUMMYFUNCTION("""COMPUTED_VALUE"""),"CSE423-20
09H-35C")</f>
        <v>CSE423-20
09H-35C</v>
      </c>
      <c r="E13" s="90" t="str">
        <f>IFERROR(__xludf.DUMMYFUNCTION("""COMPUTED_VALUE"""),"CSE423-07
09H-35C")</f>
        <v>CSE423-07
09H-35C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Ahmed Akib Jawad Karim</v>
      </c>
      <c r="E4" s="57"/>
      <c r="F4" s="58" t="s">
        <v>1</v>
      </c>
      <c r="G4" s="59" t="s">
        <v>186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ext.akib.jawad@bracu.ac.bd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IFERROR(__xludf.DUMMYFUNCTION("""COMPUTED_VALUE"""),"CSE471-04 (LAB)
SADA,AJK
09E-22L")</f>
        <v>CSE471-04 (LAB)
SADA,AJK
09E-22L</v>
      </c>
      <c r="C9" s="86" t="str">
        <f>IFERROR(__xludf.DUMMYFUNCTION("""COMPUTED_VALUE"""),"CSE471-04 (LAB)
SADA,AJK
09E-22L")</f>
        <v>CSE471-04 (LAB)
SADA,AJK
09E-22L</v>
      </c>
      <c r="D9" s="86" t="str">
        <f>IFERROR(__xludf.DUMMYFUNCTION("""COMPUTED_VALUE"""),"CSE471-05 (LAB)
CSSN,AJK
09E-22L")</f>
        <v>CSE471-05 (LAB)
CSSN,AJK
09E-22L</v>
      </c>
      <c r="E9" s="86" t="str">
        <f>IFERROR(__xludf.DUMMYFUNCTION("""COMPUTED_VALUE"""),"CSE471-05 (LAB)
CSSN,AJK
09E-22L")</f>
        <v>CSE471-05 (LAB)
CSSN,AJK
09E-22L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IFERROR(__xludf.DUMMYFUNCTION("""COMPUTED_VALUE"""),"CSE471-02 (LAB)
AWK,AJK
12D-26L")</f>
        <v>CSE471-02 (LAB)
AWK,AJK
12D-26L</v>
      </c>
      <c r="E10" s="90" t="str">
        <f>IFERROR(__xludf.DUMMYFUNCTION("""COMPUTED_VALUE"""),"CSE471-02 (LAB)
AWK,AJK
12D-26L")</f>
        <v>CSE471-02 (LAB)
AWK,AJK
12D-26L</v>
      </c>
      <c r="F10" s="90" t="str">
        <f>IFERROR(__xludf.DUMMYFUNCTION("""COMPUTED_VALUE"""),"CSE220-10 (LAB)
CSSN,AJK
09B-08L")</f>
        <v>CSE220-10 (LAB)
CSSN,AJK
09B-08L</v>
      </c>
      <c r="G10" s="90" t="str">
        <f>IFERROR(__xludf.DUMMYFUNCTION("""COMPUTED_VALUE"""),"CSE220-10 (LAB)
CSSN,AJK
09B-08L")</f>
        <v>CSE220-10 (LAB)
CSSN,AJK
09B-08L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IFERROR(__xludf.DUMMYFUNCTION("""COMPUTED_VALUE"""),"CSE471-14 (LAB)
CABS,AJK
12F-30L")</f>
        <v>CSE471-14 (LAB)
CABS,AJK
12F-30L</v>
      </c>
      <c r="E12" s="90" t="str">
        <f>IFERROR(__xludf.DUMMYFUNCTION("""COMPUTED_VALUE"""),"CSE471-14 (LAB)
CABS,AJK
12F-30L")</f>
        <v>CSE471-14 (LAB)
CABS,AJK
12F-30L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IFERROR(__xludf.DUMMYFUNCTION("""COMPUTED_VALUE"""),"CSE471-07 (LAB)
SADA,AJK
09E-22L")</f>
        <v>CSE471-07 (LAB)
SADA,AJK
09E-22L</v>
      </c>
      <c r="C14" s="90" t="str">
        <f>IFERROR(__xludf.DUMMYFUNCTION("""COMPUTED_VALUE"""),"CSE471-07 (LAB)
SADA,AJK
09E-22L")</f>
        <v>CSE471-07 (LAB)
SADA,AJK
09E-22L</v>
      </c>
      <c r="D14" s="90" t="str">
        <f>IFERROR(__xludf.DUMMYFUNCTION("""COMPUTED_VALUE"""),"CSE422-12 (LAB)
LBBH,AJK
09F-26L")</f>
        <v>CSE422-12 (LAB)
LBBH,AJK
09F-26L</v>
      </c>
      <c r="E14" s="90" t="str">
        <f>IFERROR(__xludf.DUMMYFUNCTION("""COMPUTED_VALUE"""),"CSE422-12 (LAB)
LBBH,AJK
09F-26L")</f>
        <v>CSE422-12 (LAB)
LBBH,AJK
09F-26L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Angkon Deb</v>
      </c>
      <c r="E4" s="57"/>
      <c r="F4" s="58" t="s">
        <v>1</v>
      </c>
      <c r="G4" s="59" t="s">
        <v>187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ext.angkon.deb@bracu.ac.bd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IFERROR(__xludf.DUMMYFUNCTION("""COMPUTED_VALUE"""),"CSE350-03A (LAB)
ZBH,AKDB
FT10-01L")</f>
        <v>CSE350-03A (LAB)
ZBH,AKDB
FT10-01L</v>
      </c>
      <c r="C9" s="86" t="str">
        <f>IFERROR(__xludf.DUMMYFUNCTION("""COMPUTED_VALUE"""),"CSE350-03A (LAB)
ZBH,AKDB
FT10-01L")</f>
        <v>CSE350-03A (LAB)
ZBH,AKDB
FT10-01L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IFERROR(__xludf.DUMMYFUNCTION("""COMPUTED_VALUE"""),"CSE251-06B (LAB)
MHY,AKDB
FT11-01L")</f>
        <v>CSE251-06B (LAB)
MHY,AKDB
FT11-01L</v>
      </c>
      <c r="G9" s="86" t="str">
        <f>IFERROR(__xludf.DUMMYFUNCTION("""COMPUTED_VALUE"""),"CSE251-06B (LAB)
MHY,AKDB
FT11-01L")</f>
        <v>CSE251-06B (LAB)
MHY,AKDB
FT11-01L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IFERROR(__xludf.DUMMYFUNCTION("""COMPUTED_VALUE"""),"Consultation")</f>
        <v>Consultation</v>
      </c>
      <c r="C10" s="90" t="str">
        <f>IFERROR(__xludf.DUMMYFUNCTION("""COMPUTED_VALUE"""),"CSE250-01A
10B-17C,CSE250-01B
10B-17C")</f>
        <v>CSE250-01A
10B-17C,CSE250-01B
10B-17C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IFERROR(__xludf.DUMMYFUNCTION("""COMPUTED_VALUE"""),"Consultation")</f>
        <v>Consultation</v>
      </c>
      <c r="C12" s="90" t="str">
        <f>IFERROR(__xludf.DUMMYFUNCTION("""COMPUTED_VALUE"""),"CSE250-01A
10B-17C,CSE250-01B
10B-17C")</f>
        <v>CSE250-01A
10B-17C,CSE250-01B
10B-17C</v>
      </c>
      <c r="D12" s="90" t="str">
        <f>IFERROR(__xludf.DUMMYFUNCTION("""COMPUTED_VALUE"""),"CSE250-08A (LAB)
FFR,AKDB
FT10-01L")</f>
        <v>CSE250-08A (LAB)
FFR,AKDB
FT10-01L</v>
      </c>
      <c r="E12" s="90" t="str">
        <f>IFERROR(__xludf.DUMMYFUNCTION("""COMPUTED_VALUE"""),"CSE250-08A (LAB)
FFR,AKDB
FT10-01L")</f>
        <v>CSE250-08A (LAB)
FFR,AKDB
FT10-01L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IFERROR(__xludf.DUMMYFUNCTION("""COMPUTED_VALUE"""),"CSE250-07B (LAB)
ZBH,AKDB
12B-20L")</f>
        <v>CSE250-07B (LAB)
ZBH,AKDB
12B-20L</v>
      </c>
      <c r="C14" s="90" t="str">
        <f>IFERROR(__xludf.DUMMYFUNCTION("""COMPUTED_VALUE"""),"CSE250-07B (LAB)
ZBH,AKDB
12B-20L")</f>
        <v>CSE250-07B (LAB)
ZBH,AKDB
12B-20L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IFERROR(__xludf.DUMMYFUNCTION("""COMPUTED_VALUE"""),"CSE250-02B (LAB)
SDQ,AKDB
12B-20L")</f>
        <v>CSE250-02B (LAB)
SDQ,AKDB
12B-20L</v>
      </c>
      <c r="G14" s="90" t="str">
        <f>IFERROR(__xludf.DUMMYFUNCTION("""COMPUTED_VALUE"""),"CSE250-02B (LAB)
SDQ,AKDB
12B-20L")</f>
        <v>CSE250-02B (LAB)
SDQ,AKDB
12B-20L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188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IFERROR(__xludf.DUMMYFUNCTION("IMPORTRANGE(Links!B12,G4&amp;""!A8:K17"")"),"#REF!")</f>
        <v>#REF!</v>
      </c>
      <c r="B8" s="80"/>
      <c r="C8" s="80"/>
      <c r="D8" s="80"/>
      <c r="E8" s="80"/>
      <c r="F8" s="80"/>
      <c r="G8" s="80"/>
      <c r="H8" s="80"/>
      <c r="I8" s="81"/>
      <c r="J8" s="82"/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/>
      <c r="B9" s="85"/>
      <c r="C9" s="86"/>
      <c r="D9" s="86"/>
      <c r="E9" s="86"/>
      <c r="F9" s="86"/>
      <c r="G9" s="86"/>
      <c r="H9" s="86"/>
      <c r="I9" s="86"/>
      <c r="J9" s="87"/>
      <c r="K9" s="88"/>
      <c r="L9" s="88"/>
    </row>
    <row r="10" ht="63.0" customHeight="1">
      <c r="A10" s="84"/>
      <c r="B10" s="89"/>
      <c r="C10" s="90"/>
      <c r="D10" s="90"/>
      <c r="E10" s="90"/>
      <c r="F10" s="90"/>
      <c r="G10" s="90"/>
      <c r="H10" s="90"/>
      <c r="I10" s="90"/>
      <c r="J10" s="91"/>
      <c r="K10" s="88"/>
      <c r="L10" s="88"/>
    </row>
    <row r="11" ht="63.0" customHeight="1">
      <c r="A11" s="84"/>
      <c r="B11" s="89"/>
      <c r="C11" s="90"/>
      <c r="D11" s="90"/>
      <c r="E11" s="90"/>
      <c r="F11" s="90"/>
      <c r="G11" s="90"/>
      <c r="H11" s="90"/>
      <c r="I11" s="90"/>
      <c r="J11" s="91"/>
      <c r="K11" s="88"/>
      <c r="L11" s="88"/>
    </row>
    <row r="12" ht="63.0" customHeight="1">
      <c r="A12" s="84"/>
      <c r="B12" s="89"/>
      <c r="C12" s="90"/>
      <c r="D12" s="90"/>
      <c r="E12" s="90"/>
      <c r="F12" s="90"/>
      <c r="G12" s="90"/>
      <c r="H12" s="90"/>
      <c r="I12" s="90"/>
      <c r="J12" s="91"/>
      <c r="K12" s="88"/>
      <c r="L12" s="88"/>
    </row>
    <row r="13" ht="63.0" customHeight="1">
      <c r="A13" s="84"/>
      <c r="B13" s="89"/>
      <c r="C13" s="90"/>
      <c r="D13" s="90"/>
      <c r="E13" s="90"/>
      <c r="F13" s="90"/>
      <c r="G13" s="90"/>
      <c r="H13" s="90"/>
      <c r="I13" s="90"/>
      <c r="J13" s="91"/>
      <c r="K13" s="88"/>
      <c r="L13" s="88"/>
    </row>
    <row r="14" ht="63.0" customHeight="1">
      <c r="A14" s="84"/>
      <c r="B14" s="89"/>
      <c r="C14" s="90"/>
      <c r="D14" s="90"/>
      <c r="E14" s="90"/>
      <c r="F14" s="90"/>
      <c r="G14" s="90"/>
      <c r="H14" s="90"/>
      <c r="I14" s="90"/>
      <c r="J14" s="91"/>
      <c r="K14" s="88"/>
      <c r="L14" s="88"/>
    </row>
    <row r="15" ht="63.0" customHeight="1">
      <c r="A15" s="92"/>
      <c r="B15" s="93"/>
      <c r="C15" s="94"/>
      <c r="D15" s="94"/>
      <c r="E15" s="94"/>
      <c r="F15" s="94"/>
      <c r="G15" s="94"/>
      <c r="H15" s="94"/>
      <c r="I15" s="94"/>
      <c r="J15" s="95"/>
      <c r="K15" s="88"/>
      <c r="L15" s="88"/>
    </row>
    <row r="16">
      <c r="A16" s="96"/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/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Akib Anjum</v>
      </c>
      <c r="E4" s="57"/>
      <c r="F4" s="58" t="s">
        <v>1</v>
      </c>
      <c r="G4" s="59" t="s">
        <v>32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anjum.akib@bracu.ac.bd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IFERROR(__xludf.DUMMYFUNCTION("""COMPUTED_VALUE"""),"Consultation")</f>
        <v>Consultation</v>
      </c>
      <c r="D9" s="86" t="str">
        <f>IFERROR(__xludf.DUMMYFUNCTION("""COMPUTED_VALUE"""),"CSE460-08 (LAB)
AKJ,DPRN
09E-21L")</f>
        <v>CSE460-08 (LAB)
AKJ,DPRN
09E-21L</v>
      </c>
      <c r="E9" s="86" t="str">
        <f>IFERROR(__xludf.DUMMYFUNCTION("""COMPUTED_VALUE"""),"CSE460-08 (LAB)
AKJ,DPRN
09E-21L")</f>
        <v>CSE460-08 (LAB)
AKJ,DPRN
09E-21L</v>
      </c>
      <c r="F9" s="86" t="str">
        <f>IFERROR(__xludf.DUMMYFUNCTION("""COMPUTED_VALUE"""),"CSE460-02 (LAB)
AKJ,ZIZE
09E-21L")</f>
        <v>CSE460-02 (LAB)
AKJ,ZIZE
09E-21L</v>
      </c>
      <c r="G9" s="86" t="str">
        <f>IFERROR(__xludf.DUMMYFUNCTION("""COMPUTED_VALUE"""),"CSE460-02 (LAB)
AKJ,ZIZE
09E-21L")</f>
        <v>CSE460-02 (LAB)
AKJ,ZIZE
09E-21L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IFERROR(__xludf.DUMMYFUNCTION("""COMPUTED_VALUE"""),"CSE350-08A (LAB)
AKJ,SEF
FT10-01L")</f>
        <v>CSE350-08A (LAB)
AKJ,SEF
FT10-01L</v>
      </c>
      <c r="C10" s="90" t="str">
        <f>IFERROR(__xludf.DUMMYFUNCTION("""COMPUTED_VALUE"""),"CSE350-08A (LAB)
AKJ,SEF
FT10-01L")</f>
        <v>CSE350-08A (LAB)
AKJ,SEF
FT10-01L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IFERROR(__xludf.DUMMYFUNCTION("""COMPUTED_VALUE"""),"CSE350-10B (LAB)
AKJ,NUR
12B-20L")</f>
        <v>CSE350-10B (LAB)
AKJ,NUR
12B-20L</v>
      </c>
      <c r="G10" s="90" t="str">
        <f>IFERROR(__xludf.DUMMYFUNCTION("""COMPUTED_VALUE"""),"CSE350-10B (LAB)
AKJ,NUR
12B-20L")</f>
        <v>CSE350-10B (LAB)
AKJ,NUR
12B-20L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IFERROR(__xludf.DUMMYFUNCTION("""COMPUTED_VALUE"""),"CSE250-07A
10B-17C,CSE250-07B
10B-17C")</f>
        <v>CSE250-07A
10B-17C,CSE250-07B
10B-17C</v>
      </c>
      <c r="G11" s="90" t="str">
        <f>IFERROR(__xludf.DUMMYFUNCTION("""COMPUTED_VALUE"""),"CSE251-08A
09A-01C,CSE251-08B
09A-01C")</f>
        <v>CSE251-08A
09A-01C,CSE251-08B
09A-01C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IFERROR(__xludf.DUMMYFUNCTION("""COMPUTED_VALUE"""),"CSE250-08B (LAB)
AKJ,ARA
FT11-01L")</f>
        <v>CSE250-08B (LAB)
AKJ,ARA
FT11-01L</v>
      </c>
      <c r="E12" s="90" t="str">
        <f>IFERROR(__xludf.DUMMYFUNCTION("""COMPUTED_VALUE"""),"CSE250-08B (LAB)
AKJ,ARA
FT11-01L")</f>
        <v>CSE250-08B (LAB)
AKJ,ARA
FT11-01L</v>
      </c>
      <c r="F12" s="90" t="str">
        <f>IFERROR(__xludf.DUMMYFUNCTION("""COMPUTED_VALUE"""),"CSE251-10B (LAB)
AKJ,ALSM
FT11-01L")</f>
        <v>CSE251-10B (LAB)
AKJ,ALSM
FT11-01L</v>
      </c>
      <c r="G12" s="90" t="str">
        <f>IFERROR(__xludf.DUMMYFUNCTION("""COMPUTED_VALUE"""),"CSE251-10B (LAB)
AKJ,ALSM
FT11-01L")</f>
        <v>CSE251-10B (LAB)
AKJ,ALSM
FT11-01L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IFERROR(__xludf.DUMMYFUNCTION("""COMPUTED_VALUE"""),"CSE250-07A
10B-17C,CSE250-07B
10B-17C")</f>
        <v>CSE250-07A
10B-17C,CSE250-07B
10B-17C</v>
      </c>
      <c r="G13" s="90" t="str">
        <f>IFERROR(__xludf.DUMMYFUNCTION("""COMPUTED_VALUE"""),"CSE251-08A
09A-01C,CSE251-08B
09A-01C")</f>
        <v>CSE251-08A
09A-01C,CSE251-08B
09A-01C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Akhtaruzaman Adnan</v>
      </c>
      <c r="E4" s="57"/>
      <c r="F4" s="58" t="s">
        <v>1</v>
      </c>
      <c r="G4" s="59" t="s">
        <v>33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akhtaruzzaman.adnan@bracu.ac.bd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IFERROR(__xludf.DUMMYFUNCTION("""COMPUTED_VALUE"""),"CSE320-02
10A-10C")</f>
        <v>CSE320-02
10A-10C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IFERROR(__xludf.DUMMYFUNCTION("""COMPUTED_VALUE"""),"Thesis (UG)")</f>
        <v>Thesis (UG)</v>
      </c>
      <c r="D11" s="90" t="str">
        <f>IFERROR(__xludf.DUMMYFUNCTION("""COMPUTED_VALUE"""),"CSE421-24 (LAB)
AKTD,WBH
09F-25L,CSE421-25 (LAB)
AKTD,WBH
09F-25L")</f>
        <v>CSE421-24 (LAB)
AKTD,WBH
09F-25L,CSE421-25 (LAB)
AKTD,WBH
09F-25L</v>
      </c>
      <c r="E11" s="90" t="str">
        <f>IFERROR(__xludf.DUMMYFUNCTION("""COMPUTED_VALUE"""),"CSE421-24 (LAB)
AKTD,WBH
09F-25L,CSE421-25 (LAB)
AKTD,WBH
09F-25L")</f>
        <v>CSE421-24 (LAB)
AKTD,WBH
09F-25L,CSE421-25 (LAB)
AKTD,WBH
09F-25L</v>
      </c>
      <c r="F11" s="90" t="str">
        <f>IFERROR(__xludf.DUMMYFUNCTION("""COMPUTED_VALUE"""),"CSE421-11
09C-16T,CSE421-12
09C-16T,CSE421-13
09C-16T")</f>
        <v>CSE421-11
09C-16T,CSE421-12
09C-16T,CSE421-13
09C-16T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IFERROR(__xludf.DUMMYFUNCTION("""COMPUTED_VALUE"""),"CSE320-02
10A-10C")</f>
        <v>CSE320-02
10A-10C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IFERROR(__xludf.DUMMYFUNCTION("""COMPUTED_VALUE"""),"CSE421-10 (LAB)
AKTD,RKBR
09F-25L,CSE421-17 (LAB)
AKTD,RKBR
09F-25L")</f>
        <v>CSE421-10 (LAB)
AKTD,RKBR
09F-25L,CSE421-17 (LAB)
AKTD,RKBR
09F-25L</v>
      </c>
      <c r="E13" s="90" t="str">
        <f>IFERROR(__xludf.DUMMYFUNCTION("""COMPUTED_VALUE"""),"CSE421-10 (LAB)
AKTD,RKBR
09F-25L,CSE421-17 (LAB)
AKTD,RKBR
09F-25L")</f>
        <v>CSE421-10 (LAB)
AKTD,RKBR
09F-25L,CSE421-17 (LAB)
AKTD,RKBR
09F-25L</v>
      </c>
      <c r="F13" s="90" t="str">
        <f>IFERROR(__xludf.DUMMYFUNCTION("""COMPUTED_VALUE"""),"CSE421-11
09C-16T,CSE421-12
09C-16T,CSE421-13
09C-16T")</f>
        <v>CSE421-11
09C-16T,CSE421-12
09C-16T,CSE421-13
09C-16T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IFERROR(__xludf.DUMMYFUNCTION("""COMPUTED_VALUE"""),"Thesis (UG)")</f>
        <v>Thesis (UG)</v>
      </c>
      <c r="D14" s="90" t="str">
        <f>IFERROR(__xludf.DUMMYFUNCTION("""COMPUTED_VALUE"""),"Thesis (UG)")</f>
        <v>Thesis (UG)</v>
      </c>
      <c r="E14" s="90" t="str">
        <f>IFERROR(__xludf.DUMMYFUNCTION("""COMPUTED_VALUE"""),"Thesis (UG)")</f>
        <v>Thesis (UG)</v>
      </c>
      <c r="F14" s="90" t="str">
        <f>IFERROR(__xludf.DUMMYFUNCTION("""COMPUTED_VALUE"""),"Thesis (UG)")</f>
        <v>Thesis (UG)</v>
      </c>
      <c r="G14" s="90" t="str">
        <f>IFERROR(__xludf.DUMMYFUNCTION("""COMPUTED_VALUE"""),"Thesis (UG)")</f>
        <v>Thesis (UG)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Anindita Labonno</v>
      </c>
      <c r="E4" s="57"/>
      <c r="F4" s="58" t="s">
        <v>1</v>
      </c>
      <c r="G4" s="59" t="s">
        <v>34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anindita.labonno@bracu.ac.bd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4L88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IFERROR(__xludf.DUMMYFUNCTION("""COMPUTED_VALUE"""),"CSE470-19
09A-03C")</f>
        <v>CSE470-19
09A-03C</v>
      </c>
      <c r="C9" s="86" t="str">
        <f>IFERROR(__xludf.DUMMYFUNCTION("""COMPUTED_VALUE"""),"CSE370-14
09A-03C")</f>
        <v>CSE370-14
09A-03C</v>
      </c>
      <c r="D9" s="86" t="str">
        <f>IFERROR(__xludf.DUMMYFUNCTION("""COMPUTED_VALUE"""),"CSE330-04 (LAB)
ALB,RFTS
10G-34L")</f>
        <v>CSE330-04 (LAB)
ALB,RFTS
10G-34L</v>
      </c>
      <c r="E9" s="86" t="str">
        <f>IFERROR(__xludf.DUMMYFUNCTION("""COMPUTED_VALUE"""),"CSE330-04 (LAB)
ALB,RFTS
10G-34L")</f>
        <v>CSE330-04 (LAB)
ALB,RFTS
10G-34L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IFERROR(__xludf.DUMMYFUNCTION("""COMPUTED_VALUE"""),"CSE370-08 (LAB)
FZN,ALB
12F-32L")</f>
        <v>CSE370-08 (LAB)
FZN,ALB
12F-32L</v>
      </c>
      <c r="C10" s="90" t="str">
        <f>IFERROR(__xludf.DUMMYFUNCTION("""COMPUTED_VALUE"""),"CSE370-08 (LAB)
FZN,ALB
12F-32L")</f>
        <v>CSE370-08 (LAB)
FZN,ALB
12F-32L</v>
      </c>
      <c r="D10" s="90" t="str">
        <f>IFERROR(__xludf.DUMMYFUNCTION("""COMPUTED_VALUE"""),"CSE330-06 (LAB)
ALB,ASRF
09F-27L")</f>
        <v>CSE330-06 (LAB)
ALB,ASRF
09F-27L</v>
      </c>
      <c r="E10" s="90" t="str">
        <f>IFERROR(__xludf.DUMMYFUNCTION("""COMPUTED_VALUE"""),"CSE330-06 (LAB)
ALB,ASRF
09F-27L")</f>
        <v>CSE330-06 (LAB)
ALB,ASRF
09F-27L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IFERROR(__xludf.DUMMYFUNCTION("""COMPUTED_VALUE"""),"CSE330-18 (LAB)
MNP,ALB
10G-34L")</f>
        <v>CSE330-18 (LAB)
MNP,ALB
10G-34L</v>
      </c>
      <c r="E13" s="90" t="str">
        <f>IFERROR(__xludf.DUMMYFUNCTION("""COMPUTED_VALUE"""),"CSE330-18 (LAB)
MNP,ALB
10G-34L")</f>
        <v>CSE330-18 (LAB)
MNP,ALB
10G-34L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IFERROR(__xludf.DUMMYFUNCTION("""COMPUTED_VALUE"""),"CSE470-19
09A-03C")</f>
        <v>CSE470-19
09A-03C</v>
      </c>
      <c r="C14" s="90" t="str">
        <f>IFERROR(__xludf.DUMMYFUNCTION("""COMPUTED_VALUE"""),"CSE370-14
09A-03C")</f>
        <v>CSE370-14
09A-03C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Aliva Sadnim Mahmud</v>
      </c>
      <c r="E4" s="57"/>
      <c r="F4" s="58" t="s">
        <v>1</v>
      </c>
      <c r="G4" s="59" t="s">
        <v>189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ext.aliva.sadnim@bracu.ac.bd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IFERROR(__xludf.DUMMYFUNCTION("""COMPUTED_VALUE"""),"CSE250-06B (LAB)
ALSM,ARA
12B-20L")</f>
        <v>CSE250-06B (LAB)
ALSM,ARA
12B-20L</v>
      </c>
      <c r="C9" s="86" t="str">
        <f>IFERROR(__xludf.DUMMYFUNCTION("""COMPUTED_VALUE"""),"CSE250-06B (LAB)
ALSM,ARA
12B-20L")</f>
        <v>CSE250-06B (LAB)
ALSM,ARA
12B-20L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IFERROR(__xludf.DUMMYFUNCTION("""COMPUTED_VALUE"""),"CSE250-01A (LAB)
MOM,ALSM
12B-20L")</f>
        <v>CSE250-01A (LAB)
MOM,ALSM
12B-20L</v>
      </c>
      <c r="G9" s="86" t="str">
        <f>IFERROR(__xludf.DUMMYFUNCTION("""COMPUTED_VALUE"""),"CSE250-01A (LAB)
MOM,ALSM
12B-20L")</f>
        <v>CSE250-01A (LAB)
MOM,ALSM
12B-20L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IFERROR(__xludf.DUMMYFUNCTION("""COMPUTED_VALUE"""),"CSE350-02A
07H-26C,CSE350-02B
07H-26C")</f>
        <v>CSE350-02A
07H-26C,CSE350-02B
07H-26C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IFERROR(__xludf.DUMMYFUNCTION("""COMPUTED_VALUE"""),"CSE251-03B (LAB)
PDS,ALSM
FT11-01L")</f>
        <v>CSE251-03B (LAB)
PDS,ALSM
FT11-01L</v>
      </c>
      <c r="C11" s="90" t="str">
        <f>IFERROR(__xludf.DUMMYFUNCTION("""COMPUTED_VALUE"""),"CSE251-03B (LAB)
PDS,ALSM
FT11-01L")</f>
        <v>CSE251-03B (LAB)
PDS,ALSM
FT11-01L</v>
      </c>
      <c r="D11" s="90" t="str">
        <f>IFERROR(__xludf.DUMMYFUNCTION("""COMPUTED_VALUE"""),"CSE350-01A (LAB)
PDS,ALSM
FT10-01L")</f>
        <v>CSE350-01A (LAB)
PDS,ALSM
FT10-01L</v>
      </c>
      <c r="E11" s="90" t="str">
        <f>IFERROR(__xludf.DUMMYFUNCTION("""COMPUTED_VALUE"""),"CSE350-01A (LAB)
PDS,ALSM
FT10-01L")</f>
        <v>CSE350-01A (LAB)
PDS,ALSM
FT10-01L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IFERROR(__xludf.DUMMYFUNCTION("""COMPUTED_VALUE"""),"CSE350-02A
07H-26C,CSE350-02B
07H-26C")</f>
        <v>CSE350-02A
07H-26C,CSE350-02B
07H-26C</v>
      </c>
      <c r="E12" s="90" t="str">
        <f>IFERROR(__xludf.DUMMYFUNCTION("""COMPUTED_VALUE"""),"Consultation")</f>
        <v>Consultation</v>
      </c>
      <c r="F12" s="90" t="str">
        <f>IFERROR(__xludf.DUMMYFUNCTION("""COMPUTED_VALUE"""),"CSE251-10B (LAB)
AKJ,ALSM
FT11-01L")</f>
        <v>CSE251-10B (LAB)
AKJ,ALSM
FT11-01L</v>
      </c>
      <c r="G12" s="90" t="str">
        <f>IFERROR(__xludf.DUMMYFUNCTION("""COMPUTED_VALUE"""),"CSE251-10B (LAB)
AKJ,ALSM
FT11-01L")</f>
        <v>CSE251-10B (LAB)
AKJ,ALSM
FT11-01L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Abu Mohammad Khan</v>
      </c>
      <c r="E4" s="57"/>
      <c r="F4" s="58" t="s">
        <v>1</v>
      </c>
      <c r="G4" s="59" t="s">
        <v>35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abu.khan@bracu.ac.bd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IFERROR(__xludf.DUMMYFUNCTION("""COMPUTED_VALUE"""),"Research")</f>
        <v>Research</v>
      </c>
      <c r="E10" s="90" t="str">
        <f>IFERROR(__xludf.DUMMYFUNCTION("""COMPUTED_VALUE"""),"Research")</f>
        <v>Research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IFERROR(__xludf.DUMMYFUNCTION("""COMPUTED_VALUE"""),"CSE330-01
10A-10C")</f>
        <v>CSE330-01
10A-10C</v>
      </c>
      <c r="E11" s="90" t="str">
        <f>IFERROR(__xludf.DUMMYFUNCTION("""COMPUTED_VALUE"""),"CSE330-02
10A-10C")</f>
        <v>CSE330-02
10A-10C</v>
      </c>
      <c r="F11" s="90" t="str">
        <f>IFERROR(__xludf.DUMMYFUNCTION("""COMPUTED_VALUE"""),"")</f>
        <v/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IFERROR(__xludf.DUMMYFUNCTION("""COMPUTED_VALUE"""),"CSE330-01
10A-10C")</f>
        <v>CSE330-01
10A-10C</v>
      </c>
      <c r="E13" s="90" t="str">
        <f>IFERROR(__xludf.DUMMYFUNCTION("""COMPUTED_VALUE"""),"CSE330-02
10A-10C")</f>
        <v>CSE330-02
10A-10C</v>
      </c>
      <c r="F13" s="90" t="str">
        <f>IFERROR(__xludf.DUMMYFUNCTION("""COMPUTED_VALUE"""),"Research")</f>
        <v>Research</v>
      </c>
      <c r="G13" s="90" t="str">
        <f>IFERROR(__xludf.DUMMYFUNCTION("""COMPUTED_VALUE"""),"Research")</f>
        <v>Research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IFERROR(__xludf.DUMMYFUNCTION("""COMPUTED_VALUE"""),"Research")</f>
        <v>Research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Abdullah Al Nakib</v>
      </c>
      <c r="E4" s="57"/>
      <c r="F4" s="58" t="s">
        <v>1</v>
      </c>
      <c r="G4" s="59" t="s">
        <v>36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abdullah.alnakib@bracu.ac.bd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IFERROR(__xludf.DUMMYFUNCTION("""COMPUTED_VALUE"""),"CSE221-14 (LAB)
FGZ,ANK
09F-24L")</f>
        <v>CSE221-14 (LAB)
FGZ,ANK
09F-24L</v>
      </c>
      <c r="E10" s="90" t="str">
        <f>IFERROR(__xludf.DUMMYFUNCTION("""COMPUTED_VALUE"""),"CSE221-14 (LAB)
FGZ,ANK
09F-24L")</f>
        <v>CSE221-14 (LAB)
FGZ,ANK
09F-24L</v>
      </c>
      <c r="F10" s="90" t="str">
        <f>IFERROR(__xludf.DUMMYFUNCTION("""COMPUTED_VALUE"""),"CSE221-11
09C-16T,CSE221-12
09C-16T,CSE221-13
09C-16T")</f>
        <v>CSE221-11
09C-16T,CSE221-12
09C-16T,CSE221-13
09C-16T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IFERROR(__xludf.DUMMYFUNCTION("""COMPUTED_VALUE"""),"Consultation")</f>
        <v>Consultation</v>
      </c>
      <c r="F11" s="90" t="str">
        <f>IFERROR(__xludf.DUMMYFUNCTION("""COMPUTED_VALUE"""),"CSE111-01
09H-33C")</f>
        <v>CSE111-01
09H-33C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IFERROR(__xludf.DUMMYFUNCTION("""COMPUTED_VALUE"""),"CSE111-16 (LAB)
ANK,AFA
09B-10L")</f>
        <v>CSE111-16 (LAB)
ANK,AFA
09B-10L</v>
      </c>
      <c r="E12" s="90" t="str">
        <f>IFERROR(__xludf.DUMMYFUNCTION("""COMPUTED_VALUE"""),"CSE111-16 (LAB)
ANK,AFA
09B-10L")</f>
        <v>CSE111-16 (LAB)
ANK,AFA
09B-10L</v>
      </c>
      <c r="F12" s="90" t="str">
        <f>IFERROR(__xludf.DUMMYFUNCTION("""COMPUTED_VALUE"""),"CSE221-11
09C-16T,CSE221-12
09C-16T,CSE221-13
09C-16T")</f>
        <v>CSE221-11
09C-16T,CSE221-12
09C-16T,CSE221-13
09C-16T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IFERROR(__xludf.DUMMYFUNCTION("""COMPUTED_VALUE"""),"Consultation")</f>
        <v>Consultation</v>
      </c>
      <c r="F13" s="90" t="str">
        <f>IFERROR(__xludf.DUMMYFUNCTION("""COMPUTED_VALUE"""),"CSE111-01
09H-33C")</f>
        <v>CSE111-01
09H-33C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Anika Ahmed</v>
      </c>
      <c r="E4" s="57"/>
      <c r="F4" s="58" t="s">
        <v>1</v>
      </c>
      <c r="G4" s="59" t="s">
        <v>37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anika.ahmed@bracu.ac.bd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IFERROR(__xludf.DUMMYFUNCTION("""COMPUTED_VALUE"""),"CSE423-25
09D-17C")</f>
        <v>CSE423-25
09D-17C</v>
      </c>
      <c r="C9" s="86" t="str">
        <f>IFERROR(__xludf.DUMMYFUNCTION("""COMPUTED_VALUE"""),"Consultation")</f>
        <v>Consultation</v>
      </c>
      <c r="D9" s="86" t="str">
        <f>IFERROR(__xludf.DUMMYFUNCTION("""COMPUTED_VALUE"""),"CSE421-09
10A-04C")</f>
        <v>CSE421-09
10A-04C</v>
      </c>
      <c r="E9" s="86" t="str">
        <f>IFERROR(__xludf.DUMMYFUNCTION("""COMPUTED_VALUE"""),"Consultation")</f>
        <v>Consultation</v>
      </c>
      <c r="F9" s="86" t="str">
        <f>IFERROR(__xludf.DUMMYFUNCTION("""COMPUTED_VALUE"""),"CSE260-20B (LAB)
ANKH,CAPN
FT10-04L")</f>
        <v>CSE260-20B (LAB)
ANKH,CAPN
FT10-04L</v>
      </c>
      <c r="G9" s="86" t="str">
        <f>IFERROR(__xludf.DUMMYFUNCTION("""COMPUTED_VALUE"""),"CSE260-20B (LAB)
ANKH,CAPN
FT10-04L")</f>
        <v>CSE260-20B (LAB)
ANKH,CAPN
FT10-04L</v>
      </c>
      <c r="H9" s="86"/>
      <c r="I9" s="86" t="str">
        <f>IFERROR(__xludf.DUMMYFUNCTION("""COMPUTED_VALUE"""),"")</f>
        <v/>
      </c>
      <c r="J9" s="87"/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IFERROR(__xludf.DUMMYFUNCTION("""COMPUTED_VALUE"""),"CSE423-20 (LAB)
ANKH,MAHS
09F-27L,CSE423-25 (LAB)
ANKH,MAHS
09F-27L")</f>
        <v>CSE423-20 (LAB)
ANKH,MAHS
09F-27L,CSE423-25 (LAB)
ANKH,MAHS
09F-27L</v>
      </c>
      <c r="C10" s="90" t="str">
        <f>IFERROR(__xludf.DUMMYFUNCTION("""COMPUTED_VALUE"""),"CSE423-20 (LAB)
ANKH,MAHS
09F-27L,CSE423-25 (LAB)
ANKH,MAHS
09F-27L")</f>
        <v>CSE423-20 (LAB)
ANKH,MAHS
09F-27L,CSE423-25 (LAB)
ANKH,MAHS
09F-27L</v>
      </c>
      <c r="D10" s="90" t="str">
        <f>IFERROR(__xludf.DUMMYFUNCTION("""COMPUTED_VALUE"""),"CSE260-25B (LAB)
ANKH,CAPN
FT10-04L")</f>
        <v>CSE260-25B (LAB)
ANKH,CAPN
FT10-04L</v>
      </c>
      <c r="E10" s="90" t="str">
        <f>IFERROR(__xludf.DUMMYFUNCTION("""COMPUTED_VALUE"""),"CSE260-25B (LAB)
ANKH,CAPN
FT10-04L")</f>
        <v>CSE260-25B (LAB)
ANKH,CAPN
FT10-04L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IFERROR(__xludf.DUMMYFUNCTION("""COMPUTED_VALUE"""),"CSE423-15 (LAB)
MHM,ANKH
10E-27L,CSE423-16 (LAB)
MHM,ANKH
10E-27L")</f>
        <v>CSE423-15 (LAB)
MHM,ANKH
10E-27L,CSE423-16 (LAB)
MHM,ANKH
10E-27L</v>
      </c>
      <c r="C13" s="90" t="str">
        <f>IFERROR(__xludf.DUMMYFUNCTION("""COMPUTED_VALUE"""),"CSE423-15 (LAB)
MHM,ANKH
10E-27L,CSE423-16 (LAB)
MHM,ANKH
10E-27L")</f>
        <v>CSE423-15 (LAB)
MHM,ANKH
10E-27L,CSE423-16 (LAB)
MHM,ANKH
10E-27L</v>
      </c>
      <c r="D13" s="90" t="str">
        <f>IFERROR(__xludf.DUMMYFUNCTION("""COMPUTED_VALUE"""),"Consultation by Appointment")</f>
        <v>Consultation by Appointment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IFERROR(__xludf.DUMMYFUNCTION("""COMPUTED_VALUE"""),"CSE423-25
09D-17C")</f>
        <v>CSE423-25
09D-17C</v>
      </c>
      <c r="C14" s="90" t="str">
        <f>IFERROR(__xludf.DUMMYFUNCTION("""COMPUTED_VALUE"""),"Consultation")</f>
        <v>Consultation</v>
      </c>
      <c r="D14" s="90" t="str">
        <f>IFERROR(__xludf.DUMMYFUNCTION("""COMPUTED_VALUE"""),"CSE421-09
10A-04C")</f>
        <v>CSE421-09
10A-04C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DM me in Slack or email me before coming to the consultation hours.")</f>
        <v>**Please DM me in Slack or email me before coming to the consultation hours.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Aunon Halder</v>
      </c>
      <c r="E4" s="57"/>
      <c r="F4" s="58" t="s">
        <v>1</v>
      </c>
      <c r="G4" s="59" t="s">
        <v>190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ext.aunon.halder@bracu.ac.bd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IFERROR(__xludf.DUMMYFUNCTION("""COMPUTED_VALUE"""),"CSE321-11 (LAB)
ZYH,ANNH
10G-33L")</f>
        <v>CSE321-11 (LAB)
ZYH,ANNH
10G-33L</v>
      </c>
      <c r="C11" s="90" t="str">
        <f>IFERROR(__xludf.DUMMYFUNCTION("""COMPUTED_VALUE"""),"CSE321-11 (LAB)
ZYH,ANNH
10G-33L")</f>
        <v>CSE321-11 (LAB)
ZYH,ANNH
10G-33L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IFERROR(__xludf.DUMMYFUNCTION("""COMPUTED_VALUE"""),"CSE331-05
09A-07C")</f>
        <v>CSE331-05
09A-07C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IFERROR(__xludf.DUMMYFUNCTION("""COMPUTED_VALUE"""),"CSE110-06 (LAB)
ANNH,MVH
09B-09L")</f>
        <v>CSE110-06 (LAB)
ANNH,MVH
09B-09L</v>
      </c>
      <c r="C13" s="90" t="str">
        <f>IFERROR(__xludf.DUMMYFUNCTION("""COMPUTED_VALUE"""),"CSE110-06 (LAB)
ANNH,MVH
09B-09L")</f>
        <v>CSE110-06 (LAB)
ANNH,MVH
09B-09L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IFERROR(__xludf.DUMMYFUNCTION("""COMPUTED_VALUE"""),"CSE331-05
09A-07C")</f>
        <v>CSE331-05
09A-07C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IFERROR(__xludf.DUMMYFUNCTION("""COMPUTED_VALUE"""),"CSE110-01 (LAB)
AOH,ANNH
09B-08L")</f>
        <v>CSE110-01 (LAB)
AOH,ANNH
09B-08L</v>
      </c>
      <c r="C14" s="90" t="str">
        <f>IFERROR(__xludf.DUMMYFUNCTION("""COMPUTED_VALUE"""),"CSE110-01 (LAB)
AOH,ANNH
09B-08L")</f>
        <v>CSE110-01 (LAB)
AOH,ANNH
09B-08L</v>
      </c>
      <c r="D14" s="90" t="str">
        <f>IFERROR(__xludf.DUMMYFUNCTION("""COMPUTED_VALUE"""),"CSE110-16 (LAB)
ANNH,SLAR
09B-11L")</f>
        <v>CSE110-16 (LAB)
ANNH,SLAR
09B-11L</v>
      </c>
      <c r="E14" s="90" t="str">
        <f>IFERROR(__xludf.DUMMYFUNCTION("""COMPUTED_VALUE"""),"CSE110-16 (LAB)
ANNH,SLAR
09B-11L")</f>
        <v>CSE110-16 (LAB)
ANNH,SLAR
09B-11L</v>
      </c>
      <c r="F14" s="90" t="str">
        <f>IFERROR(__xludf.DUMMYFUNCTION("""COMPUTED_VALUE"""),"CSE110-09 (LAB)
ANNH,CAYR
09B-08L")</f>
        <v>CSE110-09 (LAB)
ANNH,CAYR
09B-08L</v>
      </c>
      <c r="G14" s="90" t="str">
        <f>IFERROR(__xludf.DUMMYFUNCTION("""COMPUTED_VALUE"""),"CSE110-09 (LAB)
ANNH,CAYR
09B-08L")</f>
        <v>CSE110-09 (LAB)
ANNH,CAYR
09B-08L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Anika Tasnim</v>
      </c>
      <c r="E4" s="57"/>
      <c r="F4" s="58" t="s">
        <v>1</v>
      </c>
      <c r="G4" s="59" t="s">
        <v>191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ext.anika.tasnim@bracu.ac.bd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IFERROR(__xludf.DUMMYFUNCTION("""COMPUTED_VALUE"""),"CSE220-11 (LAB)
MZG,ANT
09B-10L")</f>
        <v>CSE220-11 (LAB)
MZG,ANT
09B-10L</v>
      </c>
      <c r="C10" s="90" t="str">
        <f>IFERROR(__xludf.DUMMYFUNCTION("""COMPUTED_VALUE"""),"CSE220-11 (LAB)
MZG,ANT
09B-10L")</f>
        <v>CSE220-11 (LAB)
MZG,ANT
09B-10L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IFERROR(__xludf.DUMMYFUNCTION("""COMPUTED_VALUE"""),"CSE423-11 (LAB)
NMP,ANT
09F-25L,CSE423-12 (LAB)
NMP,ANT
09F-25L")</f>
        <v>CSE423-11 (LAB)
NMP,ANT
09F-25L,CSE423-12 (LAB)
NMP,ANT
09F-25L</v>
      </c>
      <c r="G10" s="90" t="str">
        <f>IFERROR(__xludf.DUMMYFUNCTION("""COMPUTED_VALUE"""),"CSE423-11 (LAB)
NMP,ANT
09F-25L,CSE423-12 (LAB)
NMP,ANT
09F-25L")</f>
        <v>CSE423-11 (LAB)
NMP,ANT
09F-25L,CSE423-12 (LAB)
NMP,ANT
09F-25L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IFERROR(__xludf.DUMMYFUNCTION("""COMPUTED_VALUE"""),"CSE110-16
09H-34C")</f>
        <v>CSE110-16
09H-34C</v>
      </c>
      <c r="C11" s="90" t="str">
        <f>IFERROR(__xludf.DUMMYFUNCTION("""COMPUTED_VALUE"""),"Consultation")</f>
        <v>Consultation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IFERROR(__xludf.DUMMYFUNCTION("""COMPUTED_VALUE"""),"CSE220-05 (LAB)
CESF,ANT
09B-11L")</f>
        <v>CSE220-05 (LAB)
CESF,ANT
09B-11L</v>
      </c>
      <c r="G11" s="90" t="str">
        <f>IFERROR(__xludf.DUMMYFUNCTION("""COMPUTED_VALUE"""),"CSE220-05 (LAB)
CESF,ANT
09B-11L")</f>
        <v>CSE220-05 (LAB)
CESF,ANT
09B-11L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IFERROR(__xludf.DUMMYFUNCTION("""COMPUTED_VALUE"""),"CSE110-16
09H-34C")</f>
        <v>CSE110-16
09H-34C</v>
      </c>
      <c r="C13" s="90" t="str">
        <f>IFERROR(__xludf.DUMMYFUNCTION("""COMPUTED_VALUE"""),"Consultation")</f>
        <v>Consultation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IFERROR(__xludf.DUMMYFUNCTION("""COMPUTED_VALUE"""),"CSE423-22 (LAB)
MHM,ANT
09F-24L")</f>
        <v>CSE423-22 (LAB)
MHM,ANT
09F-24L</v>
      </c>
      <c r="G13" s="90" t="str">
        <f>IFERROR(__xludf.DUMMYFUNCTION("""COMPUTED_VALUE"""),"CSE423-22 (LAB)
MHM,ANT
09F-24L")</f>
        <v>CSE423-22 (LAB)
MHM,ANT
09F-24L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IFERROR(__xludf.DUMMYFUNCTION("""COMPUTED_VALUE"""),"CSE110-10 (LAB)
WLV,ANT
09B-09L")</f>
        <v>CSE110-10 (LAB)
WLV,ANT
09B-09L</v>
      </c>
      <c r="C14" s="90" t="str">
        <f>IFERROR(__xludf.DUMMYFUNCTION("""COMPUTED_VALUE"""),"CSE110-10 (LAB)
WLV,ANT
09B-09L")</f>
        <v>CSE110-10 (LAB)
WLV,ANT
09B-09L</v>
      </c>
      <c r="D14" s="90" t="str">
        <f>IFERROR(__xludf.DUMMYFUNCTION("""COMPUTED_VALUE"""),"CSE423-23 (LAB)
ANT,CAPN
09F-24L,CSE423-24 (LAB)
ANT,CAPN
09F-24L")</f>
        <v>CSE423-23 (LAB)
ANT,CAPN
09F-24L,CSE423-24 (LAB)
ANT,CAPN
09F-24L</v>
      </c>
      <c r="E14" s="90" t="str">
        <f>IFERROR(__xludf.DUMMYFUNCTION("""COMPUTED_VALUE"""),"CSE423-23 (LAB)
ANT,CAPN
09F-24L,CSE423-24 (LAB)
ANT,CAPN
09F-24L")</f>
        <v>CSE423-23 (LAB)
ANT,CAPN
09F-24L,CSE423-24 (LAB)
ANT,CAPN
09F-24L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Abdullah Nayem Wasi Emran</v>
      </c>
      <c r="E4" s="57"/>
      <c r="F4" s="58" t="s">
        <v>1</v>
      </c>
      <c r="G4" s="59" t="s">
        <v>38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abdullah.nayem@bracu.ac.bd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IFERROR(__xludf.DUMMYFUNCTION("""COMPUTED_VALUE"""),"CSE421-17
09D-18C")</f>
        <v>CSE421-17
09D-18C</v>
      </c>
      <c r="C9" s="86" t="str">
        <f>IFERROR(__xludf.DUMMYFUNCTION("""COMPUTED_VALUE"""),"CSE421-18
09D-18C")</f>
        <v>CSE421-18
09D-18C</v>
      </c>
      <c r="D9" s="86" t="str">
        <f>IFERROR(__xludf.DUMMYFUNCTION("""COMPUTED_VALUE"""),"Consultation")</f>
        <v>Consultation</v>
      </c>
      <c r="E9" s="86" t="str">
        <f>IFERROR(__xludf.DUMMYFUNCTION("""COMPUTED_VALUE"""),"")</f>
        <v/>
      </c>
      <c r="F9" s="86" t="str">
        <f>IFERROR(__xludf.DUMMYFUNCTION("""COMPUTED_VALUE"""),"CSE221-16 (LAB)
ANWE,CSYR
09B-10L")</f>
        <v>CSE221-16 (LAB)
ANWE,CSYR
09B-10L</v>
      </c>
      <c r="G9" s="86" t="str">
        <f>IFERROR(__xludf.DUMMYFUNCTION("""COMPUTED_VALUE"""),"CSE221-16 (LAB)
ANWE,CSYR
09B-10L")</f>
        <v>CSE221-16 (LAB)
ANWE,CSYR
09B-10L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IFERROR(__xludf.DUMMYFUNCTION("""COMPUTED_VALUE"""),"CSE230-08
07F-22C")</f>
        <v>CSE230-08
07F-22C</v>
      </c>
      <c r="C10" s="90" t="str">
        <f>IFERROR(__xludf.DUMMYFUNCTION("""COMPUTED_VALUE"""),"CSE230-15
07F-22C")</f>
        <v>CSE230-15
07F-22C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IFERROR(__xludf.DUMMYFUNCTION("""COMPUTED_VALUE"""),"CSE221-22 (LAB)
ZLNM,ANWE
09E-22L")</f>
        <v>CSE221-22 (LAB)
ZLNM,ANWE
09E-22L</v>
      </c>
      <c r="G10" s="90" t="str">
        <f>IFERROR(__xludf.DUMMYFUNCTION("""COMPUTED_VALUE"""),"CSE221-22 (LAB)
ZLNM,ANWE
09E-22L")</f>
        <v>CSE221-22 (LAB)
ZLNM,ANWE
09E-22L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IFERROR(__xludf.DUMMYFUNCTION("""COMPUTED_VALUE"""),"CSE230-08
07F-22C")</f>
        <v>CSE230-08
07F-22C</v>
      </c>
      <c r="C12" s="90" t="str">
        <f>IFERROR(__xludf.DUMMYFUNCTION("""COMPUTED_VALUE"""),"CSE230-15
07F-22C")</f>
        <v>CSE230-15
07F-22C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IFERROR(__xludf.DUMMYFUNCTION("""COMPUTED_VALUE"""),"CSE421-17
09D-18C")</f>
        <v>CSE421-17
09D-18C</v>
      </c>
      <c r="C14" s="90" t="str">
        <f>IFERROR(__xludf.DUMMYFUNCTION("""COMPUTED_VALUE"""),"CSE421-18
09D-18C")</f>
        <v>CSE421-18
09D-18C</v>
      </c>
      <c r="D14" s="90" t="str">
        <f>IFERROR(__xludf.DUMMYFUNCTION("""COMPUTED_VALUE"""),"Consultation")</f>
        <v>Consultation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send me an email at least one day in advance for attending consultation hours")</f>
        <v>**Please send me an email at least one day in advance for attending consultation hours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Abu Obaida Hasme</v>
      </c>
      <c r="E4" s="57"/>
      <c r="F4" s="58" t="s">
        <v>1</v>
      </c>
      <c r="G4" s="59" t="s">
        <v>192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ext.abu.hasme@bracu.ac.bd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IFERROR(__xludf.DUMMYFUNCTION("""COMPUTED_VALUE"""),"CSE110-08
09A-07C")</f>
        <v>CSE110-08
09A-07C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IFERROR(__xludf.DUMMYFUNCTION("""COMPUTED_VALUE"""),"CSE111-05 (LAB)
HBN,AOH
09B-09L")</f>
        <v>CSE111-05 (LAB)
HBN,AOH
09B-09L</v>
      </c>
      <c r="C12" s="90" t="str">
        <f>IFERROR(__xludf.DUMMYFUNCTION("""COMPUTED_VALUE"""),"CSE111-05 (LAB)
HBN,AOH
09B-09L")</f>
        <v>CSE111-05 (LAB)
HBN,AOH
09B-09L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IFERROR(__xludf.DUMMYFUNCTION("""COMPUTED_VALUE"""),"Consultation")</f>
        <v>Consultation</v>
      </c>
      <c r="G12" s="90" t="str">
        <f>IFERROR(__xludf.DUMMYFUNCTION("""COMPUTED_VALUE"""),"CSE110-08
09A-07C")</f>
        <v>CSE110-08
09A-07C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IFERROR(__xludf.DUMMYFUNCTION("""COMPUTED_VALUE"""),"CSE111-14 (LAB)
CNFH,AOH
09B-11L")</f>
        <v>CSE111-14 (LAB)
CNFH,AOH
09B-11L</v>
      </c>
      <c r="C13" s="90" t="str">
        <f>IFERROR(__xludf.DUMMYFUNCTION("""COMPUTED_VALUE"""),"CSE111-14 (LAB)
CNFH,AOH
09B-11L")</f>
        <v>CSE111-14 (LAB)
CNFH,AOH
09B-11L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IFERROR(__xludf.DUMMYFUNCTION("""COMPUTED_VALUE"""),"CSE111-02 (LAB)
TAW,AOH
12F-32L")</f>
        <v>CSE111-02 (LAB)
TAW,AOH
12F-32L</v>
      </c>
      <c r="G13" s="90" t="str">
        <f>IFERROR(__xludf.DUMMYFUNCTION("""COMPUTED_VALUE"""),"CSE111-02 (LAB)
TAW,AOH
12F-32L")</f>
        <v>CSE111-02 (LAB)
TAW,AOH
12F-32L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IFERROR(__xludf.DUMMYFUNCTION("""COMPUTED_VALUE"""),"CSE110-01 (LAB)
AOH,ANNH
09B-08L")</f>
        <v>CSE110-01 (LAB)
AOH,ANNH
09B-08L</v>
      </c>
      <c r="C14" s="90" t="str">
        <f>IFERROR(__xludf.DUMMYFUNCTION("""COMPUTED_VALUE"""),"CSE110-01 (LAB)
AOH,ANNH
09B-08L")</f>
        <v>CSE110-01 (LAB)
AOH,ANNH
09B-08L</v>
      </c>
      <c r="D14" s="90" t="str">
        <f>IFERROR(__xludf.DUMMYFUNCTION("""COMPUTED_VALUE"""),"CSE110-05 (LAB)
MAF,AOH
09B-08L")</f>
        <v>CSE110-05 (LAB)
MAF,AOH
09B-08L</v>
      </c>
      <c r="E14" s="90" t="str">
        <f>IFERROR(__xludf.DUMMYFUNCTION("""COMPUTED_VALUE"""),"CSE110-05 (LAB)
MAF,AOH
09B-08L")</f>
        <v>CSE110-05 (LAB)
MAF,AOH
09B-08L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Ashiqur Jubaier</v>
      </c>
      <c r="E4" s="57"/>
      <c r="F4" s="58" t="s">
        <v>1</v>
      </c>
      <c r="G4" s="59" t="s">
        <v>193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ext.ashiqur.jubaier@bracu.ac.bd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IFERROR(__xludf.DUMMYFUNCTION("""COMPUTED_VALUE"""),"CSE101-02 (LAB)
CESF,AQJ
FT11-03L")</f>
        <v>CSE101-02 (LAB)
CESF,AQJ
FT11-03L</v>
      </c>
      <c r="E12" s="90" t="str">
        <f>IFERROR(__xludf.DUMMYFUNCTION("""COMPUTED_VALUE"""),"CSE101-02 (LAB)
CESF,AQJ
FT11-03L")</f>
        <v>CSE101-02 (LAB)
CESF,AQJ
FT11-03L</v>
      </c>
      <c r="F12" s="90" t="str">
        <f>IFERROR(__xludf.DUMMYFUNCTION("""COMPUTED_VALUE"""),"CSE391-01 (LAB)
ADR,AQJ
FT11-04L")</f>
        <v>CSE391-01 (LAB)
ADR,AQJ
FT11-04L</v>
      </c>
      <c r="G12" s="90" t="str">
        <f>IFERROR(__xludf.DUMMYFUNCTION("""COMPUTED_VALUE"""),"CSE391-01 (LAB)
ADR,AQJ
FT11-04L")</f>
        <v>CSE391-01 (LAB)
ADR,AQJ
FT11-04L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Aniqa Tabassum</v>
      </c>
      <c r="E4" s="57"/>
      <c r="F4" s="58" t="s">
        <v>1</v>
      </c>
      <c r="G4" s="59" t="s">
        <v>39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aniqa.tabassum@bracu.ac.bd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IFERROR(__xludf.DUMMYFUNCTION("""COMPUTED_VALUE"""),"CSE251-07B (LAB)
AQT,MOM
12B-20L")</f>
        <v>CSE251-07B (LAB)
AQT,MOM
12B-20L</v>
      </c>
      <c r="C10" s="90" t="str">
        <f>IFERROR(__xludf.DUMMYFUNCTION("""COMPUTED_VALUE"""),"CSE251-07B (LAB)
AQT,MOM
12B-20L")</f>
        <v>CSE251-07B (LAB)
AQT,MOM
12B-20L</v>
      </c>
      <c r="D10" s="90" t="str">
        <f>IFERROR(__xludf.DUMMYFUNCTION("""COMPUTED_VALUE"""),"Consultation")</f>
        <v>Consultation</v>
      </c>
      <c r="E10" s="90" t="str">
        <f>IFERROR(__xludf.DUMMYFUNCTION("""COMPUTED_VALUE"""),"CSE250-02A
10B-17C,CSE250-02B
10B-17C")</f>
        <v>CSE250-02A
10B-17C,CSE250-02B
10B-17C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IFERROR(__xludf.DUMMYFUNCTION("""COMPUTED_VALUE"""),"CSE251-05A
09A-01C,CSE251-05B
09A-01C")</f>
        <v>CSE251-05A
09A-01C,CSE251-05B
09A-01C</v>
      </c>
      <c r="D11" s="90" t="str">
        <f>IFERROR(__xludf.DUMMYFUNCTION("""COMPUTED_VALUE"""),"CSE250-11B (LAB)
AQT,MHY
12B-20L")</f>
        <v>CSE250-11B (LAB)
AQT,MHY
12B-20L</v>
      </c>
      <c r="E11" s="90" t="str">
        <f>IFERROR(__xludf.DUMMYFUNCTION("""COMPUTED_VALUE"""),"CSE250-11B (LAB)
AQT,MHY
12B-20L")</f>
        <v>CSE250-11B (LAB)
AQT,MHY
12B-20L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/>
      <c r="E12" s="90" t="str">
        <f>IFERROR(__xludf.DUMMYFUNCTION("""COMPUTED_VALUE"""),"CSE250-02A
10B-17C,CSE250-02B
10B-17C")</f>
        <v>CSE250-02A
10B-17C,CSE250-02B
10B-17C</v>
      </c>
      <c r="F12" s="90" t="str">
        <f>IFERROR(__xludf.DUMMYFUNCTION("""COMPUTED_VALUE"""),"CSE350-06B (LAB)
UTS,AQT
12B-20L")</f>
        <v>CSE350-06B (LAB)
UTS,AQT
12B-20L</v>
      </c>
      <c r="G12" s="90" t="str">
        <f>IFERROR(__xludf.DUMMYFUNCTION("""COMPUTED_VALUE"""),"CSE350-06B (LAB)
UTS,AQT
12B-20L")</f>
        <v>CSE350-06B (LAB)
UTS,AQT
12B-20L</v>
      </c>
      <c r="H12" s="90" t="str">
        <f>IFERROR(__xludf.DUMMYFUNCTION("""COMPUTED_VALUE"""),"Consultation")</f>
        <v>Consultation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IFERROR(__xludf.DUMMYFUNCTION("""COMPUTED_VALUE"""),"CSE251-05A
09A-01C,CSE251-05B
09A-01C")</f>
        <v>CSE251-05A
09A-01C,CSE251-05B
09A-01C</v>
      </c>
      <c r="D13" s="90" t="str">
        <f>IFERROR(__xludf.DUMMYFUNCTION("""COMPUTED_VALUE"""),"CSE350-11A (LAB)
ARA,AQT
FT10-01L")</f>
        <v>CSE350-11A (LAB)
ARA,AQT
FT10-01L</v>
      </c>
      <c r="E13" s="90" t="str">
        <f>IFERROR(__xludf.DUMMYFUNCTION("""COMPUTED_VALUE"""),"CSE350-11A (LAB)
ARA,AQT
FT10-01L")</f>
        <v>CSE350-11A (LAB)
ARA,AQT
FT10-01L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Aquib Azmain</v>
      </c>
      <c r="E4" s="57"/>
      <c r="F4" s="58" t="s">
        <v>1</v>
      </c>
      <c r="G4" s="59" t="s">
        <v>40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aquib.azmain@bracu.ac.bd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IFERROR(__xludf.DUMMYFUNCTION("""COMPUTED_VALUE"""),"CSE330-03
09H-35C")</f>
        <v>CSE330-03
09H-35C</v>
      </c>
      <c r="E10" s="90" t="str">
        <f>IFERROR(__xludf.DUMMYFUNCTION("""COMPUTED_VALUE"""),"CSE330-04
09H-35C")</f>
        <v>CSE330-04
09H-35C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IFERROR(__xludf.DUMMYFUNCTION("""COMPUTED_VALUE"""),"CSE471-04
09H-35C")</f>
        <v>CSE471-04
09H-35C</v>
      </c>
      <c r="G11" s="90" t="str">
        <f>IFERROR(__xludf.DUMMYFUNCTION("""COMPUTED_VALUE"""),"CSE471-05
09H-35C")</f>
        <v>CSE471-05
09H-35C</v>
      </c>
      <c r="H11" s="90" t="str">
        <f>IFERROR(__xludf.DUMMYFUNCTION("""COMPUTED_VALUE"""),"Consultation")</f>
        <v>Consultation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IFERROR(__xludf.DUMMYFUNCTION("""COMPUTED_VALUE"""),"CSE330-03
09H-35C")</f>
        <v>CSE330-03
09H-35C</v>
      </c>
      <c r="E12" s="90" t="str">
        <f>IFERROR(__xludf.DUMMYFUNCTION("""COMPUTED_VALUE"""),"CSE330-04
09H-35C")</f>
        <v>CSE330-04
09H-35C</v>
      </c>
      <c r="F12" s="90" t="str">
        <f>IFERROR(__xludf.DUMMYFUNCTION("""COMPUTED_VALUE"""),"CSE330-08 (LAB)
AQU,SADF
10G-34L")</f>
        <v>CSE330-08 (LAB)
AQU,SADF
10G-34L</v>
      </c>
      <c r="G12" s="90" t="str">
        <f>IFERROR(__xludf.DUMMYFUNCTION("""COMPUTED_VALUE"""),"CSE330-08 (LAB)
AQU,SADF
10G-34L")</f>
        <v>CSE330-08 (LAB)
AQU,SADF
10G-34L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IFERROR(__xludf.DUMMYFUNCTION("""COMPUTED_VALUE"""),"CSE471-04
09H-35C")</f>
        <v>CSE471-04
09H-35C</v>
      </c>
      <c r="G13" s="90" t="str">
        <f>IFERROR(__xludf.DUMMYFUNCTION("""COMPUTED_VALUE"""),"CSE471-05
09H-35C")</f>
        <v>CSE471-05
09H-35C</v>
      </c>
      <c r="H13" s="90" t="str">
        <f>IFERROR(__xludf.DUMMYFUNCTION("""COMPUTED_VALUE"""),"Consultation")</f>
        <v>Consultation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IFERROR(__xludf.DUMMYFUNCTION("""COMPUTED_VALUE"""),"CSE471-01 (LAB)
AQU,KZMN
09E-22L")</f>
        <v>CSE471-01 (LAB)
AQU,KZMN
09E-22L</v>
      </c>
      <c r="E14" s="90" t="str">
        <f>IFERROR(__xludf.DUMMYFUNCTION("""COMPUTED_VALUE"""),"CSE471-01 (LAB)
AQU,KZMN
09E-22L")</f>
        <v>CSE471-01 (LAB)
AQU,KZMN
09E-22L</v>
      </c>
      <c r="F14" s="90" t="str">
        <f>IFERROR(__xludf.DUMMYFUNCTION("""COMPUTED_VALUE"""),"CSE330-13 (LAB)
AQU,SHBK
12D-27L")</f>
        <v>CSE330-13 (LAB)
AQU,SHBK
12D-27L</v>
      </c>
      <c r="G14" s="90" t="str">
        <f>IFERROR(__xludf.DUMMYFUNCTION("""COMPUTED_VALUE"""),"CSE330-13 (LAB)
AQU,SHBK
12D-27L")</f>
        <v>CSE330-13 (LAB)
AQU,SHBK
12D-27L</v>
      </c>
      <c r="H14" s="90" t="str">
        <f>IFERROR(__xludf.DUMMYFUNCTION("""COMPUTED_VALUE"""),"Consultation")</f>
        <v>Consultation</v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IFERROR(__xludf.DUMMYFUNCTION("""COMPUTED_VALUE"""),"**Send an email to book a consultation slot")</f>
        <v>**Send an email to book a consultation slot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Ashikur Rahman Any</v>
      </c>
      <c r="E4" s="57"/>
      <c r="F4" s="58" t="s">
        <v>1</v>
      </c>
      <c r="G4" s="59" t="s">
        <v>194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ext.rahman.ashikur@bracu.ac.bd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IFERROR(__xludf.DUMMYFUNCTION("""COMPUTED_VALUE"""),"CSE250-06B (LAB)
ALSM,ARA
12B-20L")</f>
        <v>CSE250-06B (LAB)
ALSM,ARA
12B-20L</v>
      </c>
      <c r="C9" s="86" t="str">
        <f>IFERROR(__xludf.DUMMYFUNCTION("""COMPUTED_VALUE"""),"CSE250-06B (LAB)
ALSM,ARA
12B-20L")</f>
        <v>CSE250-06B (LAB)
ALSM,ARA
12B-20L</v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IFERROR(__xludf.DUMMYFUNCTION("""COMPUTED_VALUE"""),"CSE250-01B (LAB)
ZBH,ARA
12B-20L")</f>
        <v>CSE250-01B (LAB)
ZBH,ARA
12B-20L</v>
      </c>
      <c r="G9" s="86" t="str">
        <f>IFERROR(__xludf.DUMMYFUNCTION("""COMPUTED_VALUE"""),"CSE250-01B (LAB)
ZBH,ARA
12B-20L")</f>
        <v>CSE250-01B (LAB)
ZBH,ARA
12B-20L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IFERROR(__xludf.DUMMYFUNCTION("""COMPUTED_VALUE"""),"CSE350-04A
07H-26C,CSE350-04B
07H-26C")</f>
        <v>CSE350-04A
07H-26C,CSE350-04B
07H-26C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IFERROR(__xludf.DUMMYFUNCTION("""COMPUTED_VALUE"""),"CSE250-08B (LAB)
AKJ,ARA
FT11-01L")</f>
        <v>CSE250-08B (LAB)
AKJ,ARA
FT11-01L</v>
      </c>
      <c r="E12" s="90" t="str">
        <f>IFERROR(__xludf.DUMMYFUNCTION("""COMPUTED_VALUE"""),"CSE250-08B (LAB)
AKJ,ARA
FT11-01L")</f>
        <v>CSE250-08B (LAB)
AKJ,ARA
FT11-01L</v>
      </c>
      <c r="F12" s="90" t="str">
        <f>IFERROR(__xludf.DUMMYFUNCTION("""COMPUTED_VALUE"""),"CSE350-04A
07H-26C,CSE350-04B
07H-26C")</f>
        <v>CSE350-04A
07H-26C,CSE350-04B
07H-26C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IFERROR(__xludf.DUMMYFUNCTION("""COMPUTED_VALUE"""),"CSE350-11A (LAB)
ARA,AQT
FT10-01L")</f>
        <v>CSE350-11A (LAB)
ARA,AQT
FT10-01L</v>
      </c>
      <c r="E13" s="90" t="str">
        <f>IFERROR(__xludf.DUMMYFUNCTION("""COMPUTED_VALUE"""),"CSE350-11A (LAB)
ARA,AQT
FT10-01L")</f>
        <v>CSE350-11A (LAB)
ARA,AQT
FT10-01L</v>
      </c>
      <c r="F13" s="90" t="str">
        <f>IFERROR(__xludf.DUMMYFUNCTION("""COMPUTED_VALUE"""),"CSE250-12A (LAB)
HMH,ARA
12B-20L")</f>
        <v>CSE250-12A (LAB)
HMH,ARA
12B-20L</v>
      </c>
      <c r="G13" s="90" t="str">
        <f>IFERROR(__xludf.DUMMYFUNCTION("""COMPUTED_VALUE"""),"CSE250-12A (LAB)
HMH,ARA
12B-20L")</f>
        <v>CSE250-12A (LAB)
HMH,ARA
12B-20L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Ayman Rasheed</v>
      </c>
      <c r="E4" s="57"/>
      <c r="F4" s="58" t="s">
        <v>1</v>
      </c>
      <c r="G4" s="59" t="s">
        <v>41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ayman.rasheed@bracu.ac.bd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IFERROR(__xludf.DUMMYFUNCTION("""COMPUTED_VALUE"""),"CSE221-02 (LAB)
ARD,ANV
09B-08L")</f>
        <v>CSE221-02 (LAB)
ARD,ANV
09B-08L</v>
      </c>
      <c r="C9" s="86" t="str">
        <f>IFERROR(__xludf.DUMMYFUNCTION("""COMPUTED_VALUE"""),"CSE221-02 (LAB)
ARD,ANV
09B-08L")</f>
        <v>CSE221-02 (LAB)
ARD,ANV
09B-08L</v>
      </c>
      <c r="D9" s="86" t="str">
        <f>IFERROR(__xludf.DUMMYFUNCTION("""COMPUTED_VALUE"""),"CSE221-03 (LAB)
ARD,ASRF
09B-08L")</f>
        <v>CSE221-03 (LAB)
ARD,ASRF
09B-08L</v>
      </c>
      <c r="E9" s="86" t="str">
        <f>IFERROR(__xludf.DUMMYFUNCTION("""COMPUTED_VALUE"""),"CSE221-03 (LAB)
ARD,ASRF
09B-08L")</f>
        <v>CSE221-03 (LAB)
ARD,ASRF
09B-08L</v>
      </c>
      <c r="F9" s="86" t="str">
        <f>IFERROR(__xludf.DUMMYFUNCTION("""COMPUTED_VALUE"""),"CSE221-08 (LAB)
ARD,MZW
09B-08L")</f>
        <v>CSE221-08 (LAB)
ARD,MZW
09B-08L</v>
      </c>
      <c r="G9" s="86" t="str">
        <f>IFERROR(__xludf.DUMMYFUNCTION("""COMPUTED_VALUE"""),"CSE221-08 (LAB)
ARD,MZW
09B-08L")</f>
        <v>CSE221-08 (LAB)
ARD,MZW
09B-08L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IFERROR(__xludf.DUMMYFUNCTION("""COMPUTED_VALUE"""),"CSE221-01 (LAB)
ARD,CMHQ
09E-21L")</f>
        <v>CSE221-01 (LAB)
ARD,CMHQ
09E-21L</v>
      </c>
      <c r="C10" s="90" t="str">
        <f>IFERROR(__xludf.DUMMYFUNCTION("""COMPUTED_VALUE"""),"CSE221-01 (LAB)
ARD,CMHQ
09E-21L")</f>
        <v>CSE221-01 (LAB)
ARD,CMHQ
09E-21L</v>
      </c>
      <c r="D10" s="90" t="str">
        <f>IFERROR(__xludf.DUMMYFUNCTION("""COMPUTED_VALUE"""),"CSE221-04 (LAB)
ARD,AYO
09E-21L")</f>
        <v>CSE221-04 (LAB)
ARD,AYO
09E-21L</v>
      </c>
      <c r="E10" s="90" t="str">
        <f>IFERROR(__xludf.DUMMYFUNCTION("""COMPUTED_VALUE"""),"CSE221-04 (LAB)
ARD,AYO
09E-21L")</f>
        <v>CSE221-04 (LAB)
ARD,AYO
09E-21L</v>
      </c>
      <c r="F10" s="90" t="str">
        <f>IFERROR(__xludf.DUMMYFUNCTION("""COMPUTED_VALUE"""),"CSE221-15 (LAB)
ARD,CRHB
09E-21L")</f>
        <v>CSE221-15 (LAB)
ARD,CRHB
09E-21L</v>
      </c>
      <c r="G10" s="90" t="str">
        <f>IFERROR(__xludf.DUMMYFUNCTION("""COMPUTED_VALUE"""),"CSE221-15 (LAB)
ARD,CRHB
09E-21L")</f>
        <v>CSE221-15 (LAB)
ARD,CRHB
09E-21L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IFERROR(__xludf.DUMMYFUNCTION("""COMPUTED_VALUE"""),6.0)</f>
        <v>6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IFERROR(__xludf.DUMMYFUNCTION("""COMPUTED_VALUE"""),"CSE330-14 (LAB)
ARD,SULT
10G-34L")</f>
        <v>CSE330-14 (LAB)
ARD,SULT
10G-34L</v>
      </c>
      <c r="E11" s="90" t="str">
        <f>IFERROR(__xludf.DUMMYFUNCTION("""COMPUTED_VALUE"""),"CSE330-14 (LAB)
ARD,SULT
10G-34L")</f>
        <v>CSE330-14 (LAB)
ARD,SULT
10G-34L</v>
      </c>
      <c r="F11" s="90" t="str">
        <f>IFERROR(__xludf.DUMMYFUNCTION("""COMPUTED_VALUE"""),"Consultation by Appointment")</f>
        <v>Consultation by Appointment</v>
      </c>
      <c r="G11" s="90" t="str">
        <f>IFERROR(__xludf.DUMMYFUNCTION("""COMPUTED_VALUE"""),"Consultation by Appointment")</f>
        <v>Consultation by Appointment</v>
      </c>
      <c r="H11" s="90" t="str">
        <f>IFERROR(__xludf.DUMMYFUNCTION("""COMPUTED_VALUE"""),"Consultation by Appointment")</f>
        <v>Consultation by Appointment</v>
      </c>
      <c r="I11" s="90" t="str">
        <f>IFERROR(__xludf.DUMMYFUNCTION("""COMPUTED_VALUE"""),"Consultation by Appointment")</f>
        <v>Consultation by Appointment</v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IFERROR(__xludf.DUMMYFUNCTION("""COMPUTED_VALUE"""),"CSE330-02 (LAB)
ARD,SADF
10G-34L")</f>
        <v>CSE330-02 (LAB)
ARD,SADF
10G-34L</v>
      </c>
      <c r="E12" s="90" t="str">
        <f>IFERROR(__xludf.DUMMYFUNCTION("""COMPUTED_VALUE"""),"CSE330-02 (LAB)
ARD,SADF
10G-34L")</f>
        <v>CSE330-02 (LAB)
ARD,SADF
10G-34L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Arif Shakil</v>
      </c>
      <c r="E4" s="57"/>
      <c r="F4" s="58" t="s">
        <v>1</v>
      </c>
      <c r="G4" s="59" t="s">
        <v>19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arif.shakil@bracu.ac.bd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
(from 12 Noon; If earlier, DM)")</f>
        <v>Consultation
(from 12 Noon; If earlier, DM)</v>
      </c>
      <c r="E11" s="90" t="str">
        <f>IFERROR(__xludf.DUMMYFUNCTION("""COMPUTED_VALUE"""),"CSE421-01
10A-04C")</f>
        <v>CSE421-01
10A-04C</v>
      </c>
      <c r="F11" s="90" t="str">
        <f>IFERROR(__xludf.DUMMYFUNCTION("""COMPUTED_VALUE"""),"CSE421-02
10A-04C")</f>
        <v>CSE421-02
10A-04C</v>
      </c>
      <c r="G11" s="90" t="str">
        <f>IFERROR(__xludf.DUMMYFUNCTION("""COMPUTED_VALUE"""),"Consultation")</f>
        <v>Consultation</v>
      </c>
      <c r="H11" s="90" t="str">
        <f>IFERROR(__xludf.DUMMYFUNCTION("""COMPUTED_VALUE"""),"Consultation
(by Appointment)")</f>
        <v>Consultation
(by Appointment)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
(from 12 Noon; If earlier, DM)")</f>
        <v>Consultation
(from 12 Noon; If earlier, DM)</v>
      </c>
      <c r="E13" s="90" t="str">
        <f>IFERROR(__xludf.DUMMYFUNCTION("""COMPUTED_VALUE"""),"CSE421-01
10A-04C")</f>
        <v>CSE421-01
10A-04C</v>
      </c>
      <c r="F13" s="90" t="str">
        <f>IFERROR(__xludf.DUMMYFUNCTION("""COMPUTED_VALUE"""),"CSE421-02
10A-04C")</f>
        <v>CSE421-02
10A-04C</v>
      </c>
      <c r="G13" s="90" t="str">
        <f>IFERROR(__xludf.DUMMYFUNCTION("""COMPUTED_VALUE"""),"Consultation")</f>
        <v>Consultation</v>
      </c>
      <c r="H13" s="90" t="str">
        <f>IFERROR(__xludf.DUMMYFUNCTION("""COMPUTED_VALUE"""),"Consultation
(by Appointment)")</f>
        <v>Consultation
(by Appointment)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come to 10A-4C in between my classes. At 5, you may find me on the 13th floor in the Sports Gym.")</f>
        <v>**You can come to 10A-4C in between my classes. At 5, you may find me on the 13th floor in the Sports Gym.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42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/>
      <c r="E13" s="90"/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Atonu Roy Chowdhury</v>
      </c>
      <c r="E4" s="57"/>
      <c r="F4" s="58" t="s">
        <v>1</v>
      </c>
      <c r="G4" s="59" t="s">
        <v>195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ext.atonu.roy@bracu.ac.bd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IFERROR(__xludf.DUMMYFUNCTION("""COMPUTED_VALUE"""),"CSE221-17 (LAB)
AROY,CESF
09B-11L")</f>
        <v>CSE221-17 (LAB)
AROY,CESF
09B-11L</v>
      </c>
      <c r="C9" s="86" t="str">
        <f>IFERROR(__xludf.DUMMYFUNCTION("""COMPUTED_VALUE"""),"CSE221-17 (LAB)
AROY,CESF
09B-11L")</f>
        <v>CSE221-17 (LAB)
AROY,CESF
09B-11L</v>
      </c>
      <c r="D9" s="86" t="str">
        <f>IFERROR(__xludf.DUMMYFUNCTION("""COMPUTED_VALUE"""),"CSE221-20 (LAB)
AROY,CESF
09B-11L")</f>
        <v>CSE221-20 (LAB)
AROY,CESF
09B-11L</v>
      </c>
      <c r="E9" s="86" t="str">
        <f>IFERROR(__xludf.DUMMYFUNCTION("""COMPUTED_VALUE"""),"CSE221-20 (LAB)
AROY,CESF
09B-11L")</f>
        <v>CSE221-20 (LAB)
AROY,CESF
09B-11L</v>
      </c>
      <c r="F9" s="86" t="str">
        <f>IFERROR(__xludf.DUMMYFUNCTION("""COMPUTED_VALUE"""),"CSE330-20
09D-18C")</f>
        <v>CSE330-20
09D-18C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IFERROR(__xludf.DUMMYFUNCTION("""COMPUTED_VALUE"""),"CSE260-18B (LAB)
SMDS,AROY
FT10-03L")</f>
        <v>CSE260-18B (LAB)
SMDS,AROY
FT10-03L</v>
      </c>
      <c r="C11" s="90" t="str">
        <f>IFERROR(__xludf.DUMMYFUNCTION("""COMPUTED_VALUE"""),"CSE260-18B (LAB)
SMDS,AROY
FT10-03L")</f>
        <v>CSE260-18B (LAB)
SMDS,AROY
FT10-03L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IFERROR(__xludf.DUMMYFUNCTION("""COMPUTED_VALUE"""),"CSE260-17A (LAB)
FIC,AROY
FT10-02L")</f>
        <v>CSE260-17A (LAB)
FIC,AROY
FT10-02L</v>
      </c>
      <c r="G11" s="90" t="str">
        <f>IFERROR(__xludf.DUMMYFUNCTION("""COMPUTED_VALUE"""),"CSE260-17A (LAB)
FIC,AROY
FT10-02L")</f>
        <v>CSE260-17A (LAB)
FIC,AROY
FT10-02L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IFERROR(__xludf.DUMMYFUNCTION("""COMPUTED_VALUE"""),"CSE330-20
09D-18C")</f>
        <v>CSE330-20
09D-18C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Arpa Roy Dastider</v>
      </c>
      <c r="E4" s="57"/>
      <c r="F4" s="58" t="s">
        <v>1</v>
      </c>
      <c r="G4" s="59" t="s">
        <v>196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ext.arpa.roy@bracu.ac.bd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IFERROR(__xludf.DUMMYFUNCTION("""COMPUTED_VALUE"""),"CSE460-04
07H-26C")</f>
        <v>CSE460-04
07H-26C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IFERROR(__xludf.DUMMYFUNCTION("""COMPUTED_VALUE"""),"CSE250-10B (LAB)
RAO,ARPD
FT10-01L")</f>
        <v>CSE250-10B (LAB)
RAO,ARPD
FT10-01L</v>
      </c>
      <c r="C12" s="90" t="str">
        <f>IFERROR(__xludf.DUMMYFUNCTION("""COMPUTED_VALUE"""),"CSE250-10B (LAB)
RAO,ARPD
FT10-01L")</f>
        <v>CSE250-10B (LAB)
RAO,ARPD
FT10-01L</v>
      </c>
      <c r="D12" s="90" t="str">
        <f>IFERROR(__xludf.DUMMYFUNCTION("""COMPUTED_VALUE"""),"CSE251-08A (LAB)
PDS,ARPD
12B-20L")</f>
        <v>CSE251-08A (LAB)
PDS,ARPD
12B-20L</v>
      </c>
      <c r="E12" s="90" t="str">
        <f>IFERROR(__xludf.DUMMYFUNCTION("""COMPUTED_VALUE"""),"CSE251-08A (LAB)
PDS,ARPD
12B-20L")</f>
        <v>CSE251-08A (LAB)
PDS,ARPD
12B-20L</v>
      </c>
      <c r="F12" s="90" t="str">
        <f>IFERROR(__xludf.DUMMYFUNCTION("""COMPUTED_VALUE"""),"")</f>
        <v/>
      </c>
      <c r="G12" s="90" t="str">
        <f>IFERROR(__xludf.DUMMYFUNCTION("""COMPUTED_VALUE"""),"CSE460-04
07H-26C")</f>
        <v>CSE460-04
07H-26C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IFERROR(__xludf.DUMMYFUNCTION("""COMPUTED_VALUE"""),5.0)</f>
        <v>5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IFERROR(__xludf.DUMMYFUNCTION("""COMPUTED_VALUE"""),"CSE460-07 (LAB)
RAS,ARPD
09E-21L")</f>
        <v>CSE460-07 (LAB)
RAS,ARPD
09E-21L</v>
      </c>
      <c r="E14" s="90" t="str">
        <f>IFERROR(__xludf.DUMMYFUNCTION("""COMPUTED_VALUE"""),"CSE460-07 (LAB)
RAS,ARPD
09E-21L")</f>
        <v>CSE460-07 (LAB)
RAS,ARPD
09E-21L</v>
      </c>
      <c r="F14" s="90" t="str">
        <f>IFERROR(__xludf.DUMMYFUNCTION("""COMPUTED_VALUE"""),"CSE460-03 (LAB)
SDU,ARPD
09E-21L")</f>
        <v>CSE460-03 (LAB)
SDU,ARPD
09E-21L</v>
      </c>
      <c r="G14" s="90" t="str">
        <f>IFERROR(__xludf.DUMMYFUNCTION("""COMPUTED_VALUE"""),"CSE460-03 (LAB)
SDU,ARPD
09E-21L")</f>
        <v>CSE460-03 (LAB)
SDU,ARPD
09E-21L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Atanu Roy</v>
      </c>
      <c r="E4" s="57"/>
      <c r="F4" s="58" t="s">
        <v>1</v>
      </c>
      <c r="G4" s="59" t="s">
        <v>43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atanu.roy@bracu.ac.bd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IFERROR(__xludf.DUMMYFUNCTION("""COMPUTED_VALUE"""),"6:30 PM")</f>
        <v>6:30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IFERROR(__xludf.DUMMYFUNCTION("""COMPUTED_VALUE"""),"CSE470-17
09C-13C")</f>
        <v>CSE470-17
09C-13C</v>
      </c>
      <c r="E9" s="86" t="str">
        <f>IFERROR(__xludf.DUMMYFUNCTION("""COMPUTED_VALUE"""),"CSE470-15
09C-13C")</f>
        <v>CSE470-15
09C-13C</v>
      </c>
      <c r="F9" s="86" t="str">
        <f>IFERROR(__xludf.DUMMYFUNCTION("""COMPUTED_VALUE"""),"CSE471-10 (LAB)
ART,CSSN
09E-22L")</f>
        <v>CSE471-10 (LAB)
ART,CSSN
09E-22L</v>
      </c>
      <c r="G9" s="86" t="str">
        <f>IFERROR(__xludf.DUMMYFUNCTION("""COMPUTED_VALUE"""),"CSE471-10 (LAB)
ART,CSSN
09E-22L")</f>
        <v>CSE471-10 (LAB)
ART,CSSN
09E-22L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IFERROR(__xludf.DUMMYFUNCTION("""COMPUTED_VALUE"""),"CSE470-16
09A-03C")</f>
        <v>CSE470-16
09A-03C</v>
      </c>
      <c r="F11" s="90" t="str">
        <f>IFERROR(__xludf.DUMMYFUNCTION("""COMPUTED_VALUE"""),"")</f>
        <v/>
      </c>
      <c r="G11" s="90" t="str">
        <f>IFERROR(__xludf.DUMMYFUNCTION("""COMPUTED_VALUE"""),"Consultation")</f>
        <v>Consultation</v>
      </c>
      <c r="H11" s="90" t="str">
        <f>IFERROR(__xludf.DUMMYFUNCTION("""COMPUTED_VALUE"""),"Consultation")</f>
        <v>Consultation</v>
      </c>
      <c r="I11" s="90" t="str">
        <f>IFERROR(__xludf.DUMMYFUNCTION("""COMPUTED_VALUE"""),"MSc Class")</f>
        <v>MSc Class</v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IFERROR(__xludf.DUMMYFUNCTION("""COMPUTED_VALUE"""),"Consultation")</f>
        <v>Consultation</v>
      </c>
      <c r="H12" s="90" t="str">
        <f>IFERROR(__xludf.DUMMYFUNCTION("""COMPUTED_VALUE"""),"Consultation")</f>
        <v>Consultation</v>
      </c>
      <c r="I12" s="90" t="str">
        <f>IFERROR(__xludf.DUMMYFUNCTION("""COMPUTED_VALUE"""),"MSc Class")</f>
        <v>MSc Class</v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/>
      <c r="E13" s="90" t="str">
        <f>IFERROR(__xludf.DUMMYFUNCTION("""COMPUTED_VALUE"""),"CSE470-16
09A-03C")</f>
        <v>CSE470-16
09A-03C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IFERROR(__xludf.DUMMYFUNCTION("""COMPUTED_VALUE"""),"CSE470-17
09C-13C")</f>
        <v>CSE470-17
09C-13C</v>
      </c>
      <c r="E14" s="90" t="str">
        <f>IFERROR(__xludf.DUMMYFUNCTION("""COMPUTED_VALUE"""),"CSE470-15
09C-13C")</f>
        <v>CSE470-15
09C-13C</v>
      </c>
      <c r="F14" s="90" t="str">
        <f>IFERROR(__xludf.DUMMYFUNCTION("""COMPUTED_VALUE"""),"CSE471-06 (LAB)
ART,CKMH
09E-22L")</f>
        <v>CSE471-06 (LAB)
ART,CKMH
09E-22L</v>
      </c>
      <c r="G14" s="90" t="str">
        <f>IFERROR(__xludf.DUMMYFUNCTION("""COMPUTED_VALUE"""),"CSE471-06 (LAB)
ART,CKMH
09E-22L")</f>
        <v>CSE471-06 (LAB)
ART,CKMH
09E-22L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Md. Ashraful Alam</v>
      </c>
      <c r="E4" s="57"/>
      <c r="F4" s="58" t="s">
        <v>1</v>
      </c>
      <c r="G4" s="59" t="s">
        <v>44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ashraful.alam@bracu.ac.bd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IFERROR(__xludf.DUMMYFUNCTION("""COMPUTED_VALUE"""),"Consultation")</f>
        <v>Consultation</v>
      </c>
      <c r="G9" s="86" t="str">
        <f>IFERROR(__xludf.DUMMYFUNCTION("""COMPUTED_VALUE"""),"CSE463-01
10B-16C")</f>
        <v>CSE463-01
10B-16C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IFERROR(__xludf.DUMMYFUNCTION("""COMPUTED_VALUE"""),"Consultation")</f>
        <v>Consultation</v>
      </c>
      <c r="F10" s="90" t="str">
        <f>IFERROR(__xludf.DUMMYFUNCTION("""COMPUTED_VALUE"""),"Consultation")</f>
        <v>Consultation</v>
      </c>
      <c r="G10" s="90" t="str">
        <f>IFERROR(__xludf.DUMMYFUNCTION("""COMPUTED_VALUE"""),"CSE360-01
09C-16T,CSE360-02
09C-16T,CSE360-03
09C-16T")</f>
        <v>CSE360-01
09C-16T,CSE360-02
09C-16T,CSE360-03
09C-16T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IFERROR(__xludf.DUMMYFUNCTION("""COMPUTED_VALUE"""),"Consultation")</f>
        <v>Consultation</v>
      </c>
      <c r="F12" s="90" t="str">
        <f>IFERROR(__xludf.DUMMYFUNCTION("""COMPUTED_VALUE"""),"Consultation")</f>
        <v>Consultation</v>
      </c>
      <c r="G12" s="90" t="str">
        <f>IFERROR(__xludf.DUMMYFUNCTION("""COMPUTED_VALUE"""),"CSE360-01
09C-16T,CSE360-02
09C-16T,CSE360-03
09C-16T")</f>
        <v>CSE360-01
09C-16T,CSE360-02
09C-16T,CSE360-03
09C-16T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IFERROR(__xludf.DUMMYFUNCTION("""COMPUTED_VALUE"""),"Thesis (PG)")</f>
        <v>Thesis (PG)</v>
      </c>
      <c r="G13" s="90" t="str">
        <f>IFERROR(__xludf.DUMMYFUNCTION("""COMPUTED_VALUE"""),"")</f>
        <v/>
      </c>
      <c r="H13" s="90" t="str">
        <f>IFERROR(__xludf.DUMMYFUNCTION("""COMPUTED_VALUE"""),"Consultation")</f>
        <v>Consultation</v>
      </c>
      <c r="I13" s="90" t="str">
        <f>IFERROR(__xludf.DUMMYFUNCTION("""COMPUTED_VALUE"""),"CSE754-01
09A-01C")</f>
        <v>CSE754-01
09A-01C</v>
      </c>
      <c r="J13" s="91" t="str">
        <f>IFERROR(__xludf.DUMMYFUNCTION("""COMPUTED_VALUE"""),"CSE754-01
09A-01C")</f>
        <v>CSE754-01
09A-01C</v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IFERROR(__xludf.DUMMYFUNCTION("""COMPUTED_VALUE"""),"Consultation")</f>
        <v>Consultation</v>
      </c>
      <c r="G14" s="90" t="str">
        <f>IFERROR(__xludf.DUMMYFUNCTION("""COMPUTED_VALUE"""),"CSE463-01
10B-16C")</f>
        <v>CSE463-01
10B-16C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Arnob Saha Ankon</v>
      </c>
      <c r="E4" s="57"/>
      <c r="F4" s="58" t="s">
        <v>1</v>
      </c>
      <c r="G4" s="59" t="s">
        <v>45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arnob.ankon@bracu.ac.bd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IFERROR(__xludf.DUMMYFUNCTION("""COMPUTED_VALUE"""),"9:15 AM")</f>
        <v>9:15 AM</v>
      </c>
      <c r="D8" s="80" t="str">
        <f>IFERROR(__xludf.DUMMYFUNCTION("""COMPUTED_VALUE"""),"10:30 AM")</f>
        <v>10:30 AM</v>
      </c>
      <c r="E8" s="80" t="str">
        <f>IFERROR(__xludf.DUMMYFUNCTION("""COMPUTED_VALUE"""),"11:45 PM")</f>
        <v>11:45 PM</v>
      </c>
      <c r="F8" s="80" t="str">
        <f>IFERROR(__xludf.DUMMYFUNCTION("""COMPUTED_VALUE"""),"1:00 PM")</f>
        <v>1:00 PM</v>
      </c>
      <c r="G8" s="80" t="str">
        <f>IFERROR(__xludf.DUMMYFUNCTION("""COMPUTED_VALUE"""),"2:15 PM")</f>
        <v>2:15 PM</v>
      </c>
      <c r="H8" s="80" t="str">
        <f>IFERROR(__xludf.DUMMYFUNCTION("""COMPUTED_VALUE"""),"3:30 PM")</f>
        <v>3:30 PM</v>
      </c>
      <c r="I8" s="81"/>
      <c r="J8" s="82"/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IFERROR(__xludf.DUMMYFUNCTION("""COMPUTED_VALUE"""),"CSE260-21A
08D-12C,CSE260-21B
08D-12C")</f>
        <v>CSE260-21A
08D-12C,CSE260-21B
08D-12C</v>
      </c>
      <c r="D9" s="86" t="str">
        <f>IFERROR(__xludf.DUMMYFUNCTION("""COMPUTED_VALUE"""),"CSE423-17
09B-12C")</f>
        <v>CSE423-17
09B-12C</v>
      </c>
      <c r="E9" s="86" t="str">
        <f>IFERROR(__xludf.DUMMYFUNCTION("""COMPUTED_VALUE"""),"Consultation")</f>
        <v>Consultation</v>
      </c>
      <c r="F9" s="86" t="str">
        <f>IFERROR(__xludf.DUMMYFUNCTION("""COMPUTED_VALUE"""),"CSE423-22
09B-12C")</f>
        <v>CSE423-22
09B-12C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/>
      <c r="D10" s="90"/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IFERROR(__xludf.DUMMYFUNCTION("""COMPUTED_VALUE"""),"CSE260-10A
09A-04C,CSE260-10B
09A-04C")</f>
        <v>CSE260-10A
09A-04C,CSE260-10B
09A-04C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IFERROR(__xludf.DUMMYFUNCTION("""COMPUTED_VALUE"""),"CSE260-10A
09A-04C,CSE260-10B
09A-04C")</f>
        <v>CSE260-10A
09A-04C,CSE260-10B
09A-04C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IFERROR(__xludf.DUMMYFUNCTION("""COMPUTED_VALUE"""),"CSE260-21A
08D-12C,CSE260-21B
08D-12C")</f>
        <v>CSE260-21A
08D-12C,CSE260-21B
08D-12C</v>
      </c>
      <c r="D14" s="90" t="str">
        <f>IFERROR(__xludf.DUMMYFUNCTION("""COMPUTED_VALUE"""),"CSE423-17
09B-12C")</f>
        <v>CSE423-17
09B-12C</v>
      </c>
      <c r="E14" s="90" t="str">
        <f>IFERROR(__xludf.DUMMYFUNCTION("""COMPUTED_VALUE"""),"Consultation")</f>
        <v>Consultation</v>
      </c>
      <c r="F14" s="90" t="str">
        <f>IFERROR(__xludf.DUMMYFUNCTION("""COMPUTED_VALUE"""),"CSE423-22
09B-12C")</f>
        <v>CSE423-22
09B-12C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IFERROR(__xludf.DUMMYFUNCTION("""COMPUTED_VALUE"""),"**Email me for the consultation slots at least one day in advance, mentioning the course and section")</f>
        <v>**Email me for the consultation slots at least one day in advance, mentioning the course and section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 S M Nasim Khan</v>
      </c>
      <c r="E4" s="57"/>
      <c r="F4" s="58" t="s">
        <v>1</v>
      </c>
      <c r="G4" s="59" t="s">
        <v>197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ext.nasim.khan@bracu.ac.bd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IFERROR(__xludf.DUMMYFUNCTION("""COMPUTED_VALUE"""),"CSE220-02 (LAB)
ASMN,SKIB
09B-09L")</f>
        <v>CSE220-02 (LAB)
ASMN,SKIB
09B-09L</v>
      </c>
      <c r="C10" s="90" t="str">
        <f>IFERROR(__xludf.DUMMYFUNCTION("""COMPUTED_VALUE"""),"CSE220-02 (LAB)
ASMN,SKIB
09B-09L")</f>
        <v>CSE220-02 (LAB)
ASMN,SKIB
09B-09L</v>
      </c>
      <c r="D10" s="90" t="str">
        <f>IFERROR(__xludf.DUMMYFUNCTION("""COMPUTED_VALUE"""),"CSE220-09 (LAB)
RFTS,ASMN
09B-08L")</f>
        <v>CSE220-09 (LAB)
RFTS,ASMN
09B-08L</v>
      </c>
      <c r="E10" s="90" t="str">
        <f>IFERROR(__xludf.DUMMYFUNCTION("""COMPUTED_VALUE"""),"CSE220-09 (LAB)
RFTS,ASMN
09B-08L")</f>
        <v>CSE220-09 (LAB)
RFTS,ASMN
09B-08L</v>
      </c>
      <c r="F10" s="90" t="str">
        <f>IFERROR(__xludf.DUMMYFUNCTION("""COMPUTED_VALUE"""),"Consultation")</f>
        <v>Consultation</v>
      </c>
      <c r="G10" s="90" t="str">
        <f>IFERROR(__xludf.DUMMYFUNCTION("""COMPUTED_VALUE"""),"CSE421-28
07F-22C")</f>
        <v>CSE421-28
07F-22C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IFERROR(__xludf.DUMMYFUNCTION("""COMPUTED_VALUE"""),5.0)</f>
        <v>5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IFERROR(__xludf.DUMMYFUNCTION("""COMPUTED_VALUE"""),"CSE220-01 (LAB)
ASMN,CESF
09B-08L")</f>
        <v>CSE220-01 (LAB)
ASMN,CESF
09B-08L</v>
      </c>
      <c r="C11" s="90" t="str">
        <f>IFERROR(__xludf.DUMMYFUNCTION("""COMPUTED_VALUE"""),"CSE220-01 (LAB)
ASMN,CESF
09B-08L")</f>
        <v>CSE220-01 (LAB)
ASMN,CESF
09B-08L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IFERROR(__xludf.DUMMYFUNCTION("""COMPUTED_VALUE"""),"CSE220-07 (LAB)
ASMN,ATY
09B-08L")</f>
        <v>CSE220-07 (LAB)
ASMN,ATY
09B-08L</v>
      </c>
      <c r="G11" s="90" t="str">
        <f>IFERROR(__xludf.DUMMYFUNCTION("""COMPUTED_VALUE"""),"CSE220-07 (LAB)
ASMN,ATY
09B-08L")</f>
        <v>CSE220-07 (LAB)
ASMN,ATY
09B-08L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IFERROR(__xludf.DUMMYFUNCTION("""COMPUTED_VALUE"""),"CSE321-18 (LAB)
SULT,ASMN
12D-26L")</f>
        <v>CSE321-18 (LAB)
SULT,ASMN
12D-26L</v>
      </c>
      <c r="C12" s="90" t="str">
        <f>IFERROR(__xludf.DUMMYFUNCTION("""COMPUTED_VALUE"""),"CSE321-18 (LAB)
SULT,ASMN
12D-26L")</f>
        <v>CSE321-18 (LAB)
SULT,ASMN
12D-26L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IFERROR(__xludf.DUMMYFUNCTION("""COMPUTED_VALUE"""),"Consultation")</f>
        <v>Consultation</v>
      </c>
      <c r="G12" s="90" t="str">
        <f>IFERROR(__xludf.DUMMYFUNCTION("""COMPUTED_VALUE"""),"CSE421-28
07F-22C")</f>
        <v>CSE421-28
07F-22C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Ashraful Islam Shanto Sikder</v>
      </c>
      <c r="E4" s="57"/>
      <c r="F4" s="58" t="s">
        <v>1</v>
      </c>
      <c r="G4" s="59" t="s">
        <v>46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ashraful.islam@bracu.ac.bd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4P173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IFERROR(__xludf.DUMMYFUNCTION("""COMPUTED_VALUE"""),"CSE221-12 (LAB)
ASRF,FDZ
09B-10L")</f>
        <v>CSE221-12 (LAB)
ASRF,FDZ
09B-10L</v>
      </c>
      <c r="C9" s="86" t="str">
        <f>IFERROR(__xludf.DUMMYFUNCTION("""COMPUTED_VALUE"""),"CSE221-12 (LAB)
ASRF,FDZ
09B-10L")</f>
        <v>CSE221-12 (LAB)
ASRF,FDZ
09B-10L</v>
      </c>
      <c r="D9" s="86" t="str">
        <f>IFERROR(__xludf.DUMMYFUNCTION("""COMPUTED_VALUE"""),"CSE221-03 (LAB)
ARD,ASRF
09B-08L")</f>
        <v>CSE221-03 (LAB)
ARD,ASRF
09B-08L</v>
      </c>
      <c r="E9" s="86" t="str">
        <f>IFERROR(__xludf.DUMMYFUNCTION("""COMPUTED_VALUE"""),"CSE221-03 (LAB)
ARD,ASRF
09B-08L
Consultation")</f>
        <v>CSE221-03 (LAB)
ARD,ASRF
09B-08L
Consultation</v>
      </c>
      <c r="F9" s="86" t="str">
        <f>IFERROR(__xludf.DUMMYFUNCTION("""COMPUTED_VALUE"""),"Consultation")</f>
        <v>Consultation</v>
      </c>
      <c r="G9" s="86" t="str">
        <f>IFERROR(__xludf.DUMMYFUNCTION("""COMPUTED_VALUE"""),"CSE423-19
09D-18C")</f>
        <v>CSE423-19
09D-18C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IFERROR(__xludf.DUMMYFUNCTION("""COMPUTED_VALUE"""),"CSE220-22 (LAB)
ASRF,FDM
09B-08L")</f>
        <v>CSE220-22 (LAB)
ASRF,FDM
09B-08L</v>
      </c>
      <c r="C10" s="90" t="str">
        <f>IFERROR(__xludf.DUMMYFUNCTION("""COMPUTED_VALUE"""),"CSE220-22 (LAB)
ASRF,FDM
09B-08L")</f>
        <v>CSE220-22 (LAB)
ASRF,FDM
09B-08L</v>
      </c>
      <c r="D10" s="90" t="str">
        <f>IFERROR(__xludf.DUMMYFUNCTION("""COMPUTED_VALUE"""),"CSE330-06 (LAB)
ALB,ASRF
09F-27L")</f>
        <v>CSE330-06 (LAB)
ALB,ASRF
09F-27L</v>
      </c>
      <c r="E10" s="90" t="str">
        <f>IFERROR(__xludf.DUMMYFUNCTION("""COMPUTED_VALUE"""),"CSE330-06 (LAB)
ALB,ASRF
09F-27L")</f>
        <v>CSE330-06 (LAB)
ALB,ASRF
09F-27L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IFERROR(__xludf.DUMMYFUNCTION("""COMPUTED_VALUE"""),"CSE330-11 (LAB)
ASRF,AAF
10G-34L")</f>
        <v>CSE330-11 (LAB)
ASRF,AAF
10G-34L</v>
      </c>
      <c r="C11" s="90" t="str">
        <f>IFERROR(__xludf.DUMMYFUNCTION("""COMPUTED_VALUE"""),"CSE330-11 (LAB)
ASRF,AAF
10G-34L")</f>
        <v>CSE330-11 (LAB)
ASRF,AAF
10G-34L</v>
      </c>
      <c r="D11" s="90" t="str">
        <f>IFERROR(__xludf.DUMMYFUNCTION("""COMPUTED_VALUE"""),"CSE220-19 (LAB)
MNP,ASRF
09B-10L")</f>
        <v>CSE220-19 (LAB)
MNP,ASRF
09B-10L</v>
      </c>
      <c r="E11" s="90" t="str">
        <f>IFERROR(__xludf.DUMMYFUNCTION("""COMPUTED_VALUE"""),"CSE220-19 (LAB)
MNP,ASRF
09B-10L")</f>
        <v>CSE220-19 (LAB)
MNP,ASRF
09B-10L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IFERROR(__xludf.DUMMYFUNCTION("""COMPUTED_VALUE"""),"Consultation")</f>
        <v>Consultation</v>
      </c>
      <c r="G14" s="90" t="str">
        <f>IFERROR(__xludf.DUMMYFUNCTION("""COMPUTED_VALUE"""),"CSE423-19
09D-18C")</f>
        <v>CSE423-19
09D-18C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Ateya Ahmed Subarna</v>
      </c>
      <c r="E4" s="57"/>
      <c r="F4" s="58" t="s">
        <v>1</v>
      </c>
      <c r="G4" s="59" t="s">
        <v>47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ateya.ahmed@bracu.ac.bd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IFERROR(__xludf.DUMMYFUNCTION("""COMPUTED_VALUE"""),"Consultation")</f>
        <v>Consultation</v>
      </c>
      <c r="F10" s="90" t="str">
        <f>IFERROR(__xludf.DUMMYFUNCTION("""COMPUTED_VALUE"""),"CSE331-01
09H-34C")</f>
        <v>CSE331-01
09H-34C</v>
      </c>
      <c r="G10" s="90" t="str">
        <f>IFERROR(__xludf.DUMMYFUNCTION("""COMPUTED_VALUE"""),"CSE331-02
09H-34C")</f>
        <v>CSE331-02
09H-34C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IFERROR(__xludf.DUMMYFUNCTION("""COMPUTED_VALUE"""),"CSE110-15
09A-05C")</f>
        <v>CSE110-15
09A-05C</v>
      </c>
      <c r="F11" s="90" t="str">
        <f>IFERROR(__xludf.DUMMYFUNCTION("""COMPUTED_VALUE"""),"CSE220-07 (LAB)
ASMN,ATY
09B-08L")</f>
        <v>CSE220-07 (LAB)
ASMN,ATY
09B-08L</v>
      </c>
      <c r="G11" s="90" t="str">
        <f>IFERROR(__xludf.DUMMYFUNCTION("""COMPUTED_VALUE"""),"CSE220-07 (LAB)
ASMN,ATY
09B-08L")</f>
        <v>CSE220-07 (LAB)
ASMN,ATY
09B-08L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IFERROR(__xludf.DUMMYFUNCTION("""COMPUTED_VALUE"""),"CSE111-01 (LAB)
AIB,ATY
09B-08L")</f>
        <v>CSE111-01 (LAB)
AIB,ATY
09B-08L</v>
      </c>
      <c r="E12" s="90" t="str">
        <f>IFERROR(__xludf.DUMMYFUNCTION("""COMPUTED_VALUE"""),"CSE111-01 (LAB)
AIB,ATY
09B-08L")</f>
        <v>CSE111-01 (LAB)
AIB,ATY
09B-08L</v>
      </c>
      <c r="F12" s="90" t="str">
        <f>IFERROR(__xludf.DUMMYFUNCTION("""COMPUTED_VALUE"""),"CSE331-01
09H-34C")</f>
        <v>CSE331-01
09H-34C</v>
      </c>
      <c r="G12" s="90" t="str">
        <f>IFERROR(__xludf.DUMMYFUNCTION("""COMPUTED_VALUE"""),"CSE331-02
09H-34C")</f>
        <v>CSE331-02
09H-34C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IFERROR(__xludf.DUMMYFUNCTION("""COMPUTED_VALUE"""),"CSE110-15
09A-05C")</f>
        <v>CSE110-15
09A-05C</v>
      </c>
      <c r="F13" s="90" t="str">
        <f>IFERROR(__xludf.DUMMYFUNCTION("""COMPUTED_VALUE"""),"CSE111-13 (LAB)
ATY,CSSA
09E-21L")</f>
        <v>CSE111-13 (LAB)
ATY,CSSA
09E-21L</v>
      </c>
      <c r="G13" s="90" t="str">
        <f>IFERROR(__xludf.DUMMYFUNCTION("""COMPUTED_VALUE"""),"CSE111-13 (LAB)
ATY,CSSA
09E-21L")</f>
        <v>CSE111-13 (LAB)
ATY,CSSA
09E-21L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Avinandan Banerjee</v>
      </c>
      <c r="E4" s="57"/>
      <c r="F4" s="58" t="s">
        <v>1</v>
      </c>
      <c r="G4" s="59" t="s">
        <v>48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avinandan@bracu.ac.bd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IFERROR(__xludf.DUMMYFUNCTION("""COMPUTED_VALUE"""),"CSE420-02
10B-13C")</f>
        <v>CSE420-02
10B-13C</v>
      </c>
      <c r="C9" s="86" t="str">
        <f>IFERROR(__xludf.DUMMYFUNCTION("""COMPUTED_VALUE"""),"CSE420-09
10B-13C")</f>
        <v>CSE420-09
10B-13C</v>
      </c>
      <c r="D9" s="86" t="str">
        <f>IFERROR(__xludf.DUMMYFUNCTION("""COMPUTED_VALUE"""),"Consultation")</f>
        <v>Consultation</v>
      </c>
      <c r="E9" s="86" t="str">
        <f>IFERROR(__xludf.DUMMYFUNCTION("""COMPUTED_VALUE"""),"CSE230-07
10B-13C")</f>
        <v>CSE230-07
10B-13C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IFERROR(__xludf.DUMMYFUNCTION("""COMPUTED_VALUE"""),"Consultation
by appointment")</f>
        <v>Consultation
by appointment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IFERROR(__xludf.DUMMYFUNCTION("""COMPUTED_VALUE"""),"Consultation
by appointment")</f>
        <v>Consultation
by appointment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IFERROR(__xludf.DUMMYFUNCTION("""COMPUTED_VALUE"""),"CSE111-15 (LAB)
AFA,AVB
09B-10L")</f>
        <v>CSE111-15 (LAB)
AFA,AVB
09B-10L</v>
      </c>
      <c r="C12" s="90" t="str">
        <f>IFERROR(__xludf.DUMMYFUNCTION("""COMPUTED_VALUE"""),"CSE111-15 (LAB)
AFA,AVB
09B-10L")</f>
        <v>CSE111-15 (LAB)
AFA,AVB
09B-10L</v>
      </c>
      <c r="D12" s="90" t="str">
        <f>IFERROR(__xludf.DUMMYFUNCTION("""COMPUTED_VALUE"""),"CSE111-06 (LAB)
FGZ,AVB
09B-09L")</f>
        <v>CSE111-06 (LAB)
FGZ,AVB
09B-09L</v>
      </c>
      <c r="E12" s="90" t="str">
        <f>IFERROR(__xludf.DUMMYFUNCTION("""COMPUTED_VALUE"""),"CSE111-06 (LAB)
FGZ,AVB
09B-09L")</f>
        <v>CSE111-06 (LAB)
FGZ,AVB
09B-09L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IFERROR(__xludf.DUMMYFUNCTION("""COMPUTED_VALUE"""),"CSE111-10 (LAB)
AVB,QUZA
09E-21L")</f>
        <v>CSE111-10 (LAB)
AVB,QUZA
09E-21L</v>
      </c>
      <c r="C13" s="90" t="str">
        <f>IFERROR(__xludf.DUMMYFUNCTION("""COMPUTED_VALUE"""),"CSE111-10 (LAB)
AVB,QUZA
09E-21L")</f>
        <v>CSE111-10 (LAB)
AVB,QUZA
09E-21L</v>
      </c>
      <c r="D13" s="90" t="str">
        <f>IFERROR(__xludf.DUMMYFUNCTION("""COMPUTED_VALUE"""),"CSE111-11 (LAB)
AVB,FEK
09E-21L")</f>
        <v>CSE111-11 (LAB)
AVB,FEK
09E-21L</v>
      </c>
      <c r="E13" s="90" t="str">
        <f>IFERROR(__xludf.DUMMYFUNCTION("""COMPUTED_VALUE"""),"CSE111-11 (LAB)
AVB,FEK
09E-21L")</f>
        <v>CSE111-11 (LAB)
AVB,FEK
09E-21L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IFERROR(__xludf.DUMMYFUNCTION("""COMPUTED_VALUE"""),"CSE420-02
10B-13C")</f>
        <v>CSE420-02
10B-13C</v>
      </c>
      <c r="C14" s="90" t="str">
        <f>IFERROR(__xludf.DUMMYFUNCTION("""COMPUTED_VALUE"""),"CSE420-09
10B-13C")</f>
        <v>CSE420-09
10B-13C</v>
      </c>
      <c r="D14" s="90" t="str">
        <f>IFERROR(__xludf.DUMMYFUNCTION("""COMPUTED_VALUE"""),"Consultation")</f>
        <v>Consultation</v>
      </c>
      <c r="E14" s="90" t="str">
        <f>IFERROR(__xludf.DUMMYFUNCTION("""COMPUTED_VALUE"""),"CSE230-07
10B-13C")</f>
        <v>CSE230-07
10B-13C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 Each slot is of 1 hour 20 minutes. During Ramadan, each slot is 1 hour 5 minutes.")</f>
        <v>** Each slot is of 1 hour 20 minutes. During Ramadan, each slot is 1 hour 5 minutes.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 In case you do not find me at my desk, DM me in Slack / Discord or send an email.")</f>
        <v>** In case you do not find me at my desk, DM me in Slack / Discord or send an email.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Mirza Azwad Wakil</v>
      </c>
      <c r="E4" s="57"/>
      <c r="F4" s="58" t="s">
        <v>1</v>
      </c>
      <c r="G4" s="59" t="s">
        <v>198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ext.azwad.wakil@bracu.ac.bd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IFERROR(__xludf.DUMMYFUNCTION("""COMPUTED_VALUE"""),"CSE471-02 (LAB)
AWK,AJK
12D-26L")</f>
        <v>CSE471-02 (LAB)
AWK,AJK
12D-26L</v>
      </c>
      <c r="E10" s="90" t="str">
        <f>IFERROR(__xludf.DUMMYFUNCTION("""COMPUTED_VALUE"""),"CSE471-02 (LAB)
AWK,AJK
12D-26L")</f>
        <v>CSE471-02 (LAB)
AWK,AJK
12D-26L</v>
      </c>
      <c r="F10" s="90" t="str">
        <f>IFERROR(__xludf.DUMMYFUNCTION("""COMPUTED_VALUE"""),"CSE260-27A (LAB)
MAJIJ,AWK
FT10-02L")</f>
        <v>CSE260-27A (LAB)
MAJIJ,AWK
FT10-02L</v>
      </c>
      <c r="G10" s="90" t="str">
        <f>IFERROR(__xludf.DUMMYFUNCTION("""COMPUTED_VALUE"""),"CSE260-27A (LAB)
MAJIJ,AWK
FT10-02L")</f>
        <v>CSE260-27A (LAB)
MAJIJ,AWK
FT10-02L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IFERROR(__xludf.DUMMYFUNCTION("""COMPUTED_VALUE"""),"Consultation")</f>
        <v>Consultation</v>
      </c>
      <c r="C11" s="90" t="str">
        <f>IFERROR(__xludf.DUMMYFUNCTION("""COMPUTED_VALUE"""),"Consultation")</f>
        <v>Consultation</v>
      </c>
      <c r="D11" s="90" t="str">
        <f>IFERROR(__xludf.DUMMYFUNCTION("""COMPUTED_VALUE"""),"CSE471-11 (LAB)
PLN,AWK
12F-30L")</f>
        <v>CSE471-11 (LAB)
PLN,AWK
12F-30L</v>
      </c>
      <c r="E11" s="90" t="str">
        <f>IFERROR(__xludf.DUMMYFUNCTION("""COMPUTED_VALUE"""),"CSE471-11 (LAB)
PLN,AWK
12F-30L")</f>
        <v>CSE471-11 (LAB)
PLN,AWK
12F-30L</v>
      </c>
      <c r="F11" s="90" t="str">
        <f>IFERROR(__xludf.DUMMYFUNCTION("""COMPUTED_VALUE"""),"CSE471-12 (LAB)
CSSN,AWK
12F-30L")</f>
        <v>CSE471-12 (LAB)
CSSN,AWK
12F-30L</v>
      </c>
      <c r="G11" s="90" t="str">
        <f>IFERROR(__xludf.DUMMYFUNCTION("""COMPUTED_VALUE"""),"CSE471-12 (LAB)
CSSN,AWK
12F-30L")</f>
        <v>CSE471-12 (LAB)
CSSN,AWK
12F-30L</v>
      </c>
      <c r="H11" s="90" t="str">
        <f>IFERROR(__xludf.DUMMYFUNCTION("""COMPUTED_VALUE"""),"Research")</f>
        <v>Research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IFERROR(__xludf.DUMMYFUNCTION("""COMPUTED_VALUE"""),"CSE471-13 (LAB)
CABS,AWK
12F-30L")</f>
        <v>CSE471-13 (LAB)
CABS,AWK
12F-30L</v>
      </c>
      <c r="C12" s="90" t="str">
        <f>IFERROR(__xludf.DUMMYFUNCTION("""COMPUTED_VALUE"""),"CSE471-13 (LAB)
CABS,AWK
12F-30L")</f>
        <v>CSE471-13 (LAB)
CABS,AWK
12F-30L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IFERROR(__xludf.DUMMYFUNCTION("""COMPUTED_VALUE"""),"CSE260-13A (LAB)
RDS,AWK
FT10-02L")</f>
        <v>CSE260-13A (LAB)
RDS,AWK
FT10-02L</v>
      </c>
      <c r="G12" s="90" t="str">
        <f>IFERROR(__xludf.DUMMYFUNCTION("""COMPUTED_VALUE"""),"CSE260-13A (LAB)
RDS,AWK
FT10-02L")</f>
        <v>CSE260-13A (LAB)
RDS,AWK
FT10-02L</v>
      </c>
      <c r="H12" s="90" t="str">
        <f>IFERROR(__xludf.DUMMYFUNCTION("""COMPUTED_VALUE"""),"Research")</f>
        <v>Research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IFERROR(__xludf.DUMMYFUNCTION("""COMPUTED_VALUE"""),"CSE260-09A (LAB)
AWK,RDS
FT10-02L")</f>
        <v>CSE260-09A (LAB)
AWK,RDS
FT10-02L</v>
      </c>
      <c r="C13" s="90" t="str">
        <f>IFERROR(__xludf.DUMMYFUNCTION("""COMPUTED_VALUE"""),"CSE260-09A (LAB)
AWK,RDS
FT10-02L")</f>
        <v>CSE260-09A (LAB)
AWK,RDS
FT10-02L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Ariyan Hossain</v>
      </c>
      <c r="E4" s="57"/>
      <c r="F4" s="58" t="s">
        <v>1</v>
      </c>
      <c r="G4" s="59" t="s">
        <v>49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ariyan.hossain@bracu.ac.bd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IFERROR(__xludf.DUMMYFUNCTION("""COMPUTED_VALUE"""),"CSE221-04 (LAB)
ARD,AYO
09E-21L")</f>
        <v>CSE221-04 (LAB)
ARD,AYO
09E-21L</v>
      </c>
      <c r="E10" s="90" t="str">
        <f>IFERROR(__xludf.DUMMYFUNCTION("""COMPUTED_VALUE"""),"CSE221-04 (LAB)
ARD,AYO
09E-21L")</f>
        <v>CSE221-04 (LAB)
ARD,AYO
09E-21L</v>
      </c>
      <c r="F10" s="90" t="str">
        <f>IFERROR(__xludf.DUMMYFUNCTION("""COMPUTED_VALUE"""),"CSE221-05 (LAB)
CAYR,AYO
09F-24L")</f>
        <v>CSE221-05 (LAB)
CAYR,AYO
09F-24L</v>
      </c>
      <c r="G10" s="90" t="str">
        <f>IFERROR(__xludf.DUMMYFUNCTION("""COMPUTED_VALUE"""),"CSE221-05 (LAB)
CAYR,AYO
09F-24L")</f>
        <v>CSE221-05 (LAB)
CAYR,AYO
09F-24L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IFERROR(__xludf.DUMMYFUNCTION("""COMPUTED_VALUE"""),"CSE220-06 (LAB)
RAK,AYO
09B-08L")</f>
        <v>CSE220-06 (LAB)
RAK,AYO
09B-08L</v>
      </c>
      <c r="E11" s="90" t="str">
        <f>IFERROR(__xludf.DUMMYFUNCTION("""COMPUTED_VALUE"""),"CSE220-06 (LAB)
RAK,AYO
09B-08L")</f>
        <v>CSE220-06 (LAB)
RAK,AYO
09B-08L</v>
      </c>
      <c r="F11" s="90" t="str">
        <f>IFERROR(__xludf.DUMMYFUNCTION("""COMPUTED_VALUE"""),"CSE221-16
09B-12C")</f>
        <v>CSE221-16
09B-12C</v>
      </c>
      <c r="G11" s="90" t="str">
        <f>IFERROR(__xludf.DUMMYFUNCTION("""COMPUTED_VALUE"""),"CSE221-17
09B-12C")</f>
        <v>CSE221-17
09B-12C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IFERROR(__xludf.DUMMYFUNCTION("""COMPUTED_VALUE"""),"CSE440-03 (LAB)
AYO,LBBH
12F-32L,CSE440-04 (LAB)
AYO,LBBH
12F-32L")</f>
        <v>CSE440-03 (LAB)
AYO,LBBH
12F-32L,CSE440-04 (LAB)
AYO,LBBH
12F-32L</v>
      </c>
      <c r="E12" s="90" t="str">
        <f>IFERROR(__xludf.DUMMYFUNCTION("""COMPUTED_VALUE"""),"CSE440-03 (LAB)
AYO,LBBH
12F-32L,CSE440-04 (LAB)
AYO,LBBH
12F-32L")</f>
        <v>CSE440-03 (LAB)
AYO,LBBH
12F-32L,CSE440-04 (LAB)
AYO,LBBH
12F-32L</v>
      </c>
      <c r="F12" s="90" t="str">
        <f>IFERROR(__xludf.DUMMYFUNCTION("""COMPUTED_VALUE"""),"CSE422-21 (LAB)
AYO,SHAH
09F-26L")</f>
        <v>CSE422-21 (LAB)
AYO,SHAH
09F-26L</v>
      </c>
      <c r="G12" s="90" t="str">
        <f>IFERROR(__xludf.DUMMYFUNCTION("""COMPUTED_VALUE"""),"CSE422-21 (LAB)
AYO,SHAH
09F-26L")</f>
        <v>CSE422-21 (LAB)
AYO,SHAH
09F-26L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IFERROR(__xludf.DUMMYFUNCTION("""COMPUTED_VALUE"""),"CSE221-16
09B-12C")</f>
        <v>CSE221-16
09B-12C</v>
      </c>
      <c r="G13" s="90" t="str">
        <f>IFERROR(__xludf.DUMMYFUNCTION("""COMPUTED_VALUE"""),"CSE221-17
09B-12C")</f>
        <v>CSE221-17
09B-12C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Mohammad Badrul Hossain</v>
      </c>
      <c r="E4" s="57"/>
      <c r="F4" s="58" t="s">
        <v>1</v>
      </c>
      <c r="G4" s="59" t="s">
        <v>50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badrul.hossain@bracu.ac.bd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IFERROR(__xludf.DUMMYFUNCTION("""COMPUTED_VALUE"""),"CSE321-07
09D-18C")</f>
        <v>CSE321-07
09D-18C</v>
      </c>
      <c r="E10" s="90" t="str">
        <f>IFERROR(__xludf.DUMMYFUNCTION("""COMPUTED_VALUE"""),"CSE321-08
09D-18C")</f>
        <v>CSE321-08
09D-18C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IFERROR(__xludf.DUMMYFUNCTION("""COMPUTED_VALUE"""),"CSE321-07 (LAB)
BDH,MLH
12D-27L")</f>
        <v>CSE321-07 (LAB)
BDH,MLH
12D-27L</v>
      </c>
      <c r="E11" s="90" t="str">
        <f>IFERROR(__xludf.DUMMYFUNCTION("""COMPUTED_VALUE"""),"CSE321-07 (LAB)
BDH,MLH
12D-27L")</f>
        <v>CSE321-07 (LAB)
BDH,MLH
12D-27L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IFERROR(__xludf.DUMMYFUNCTION("""COMPUTED_VALUE"""),"CSE321-07
09D-18C")</f>
        <v>CSE321-07
09D-18C</v>
      </c>
      <c r="E12" s="90" t="str">
        <f>IFERROR(__xludf.DUMMYFUNCTION("""COMPUTED_VALUE"""),"CSE321-08
09D-18C")</f>
        <v>CSE321-08
09D-18C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IFERROR(__xludf.DUMMYFUNCTION("""COMPUTED_VALUE"""),"CSE321-08 (LAB)
BDH,MLH
12D-26L")</f>
        <v>CSE321-08 (LAB)
BDH,MLH
12D-26L</v>
      </c>
      <c r="E13" s="90" t="str">
        <f>IFERROR(__xludf.DUMMYFUNCTION("""COMPUTED_VALUE"""),"CSE321-08 (LAB)
BDH,MLH
12D-26L")</f>
        <v>CSE321-08 (LAB)
BDH,MLH
12D-26L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IFERROR(__xludf.DUMMYFUNCTION("""COMPUTED_VALUE"""),"Mail me before coming.")</f>
        <v>Mail me before coming.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Bijoy Ahmed Saiem</v>
      </c>
      <c r="E4" s="57"/>
      <c r="F4" s="58" t="s">
        <v>1</v>
      </c>
      <c r="G4" s="59" t="s">
        <v>51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bijoy.saiem@bracu.ac.bd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4M130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IFERROR(__xludf.DUMMYFUNCTION("""COMPUTED_VALUE"""),"CSE421-23
07D-19C")</f>
        <v>CSE421-23
07D-19C</v>
      </c>
      <c r="C10" s="90" t="str">
        <f>IFERROR(__xludf.DUMMYFUNCTION("""COMPUTED_VALUE"""),"CSE421-24
07D-19C")</f>
        <v>CSE421-24
07D-19C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IFERROR(__xludf.DUMMYFUNCTION("""COMPUTED_VALUE"""),"CSE421-21
09D-17C")</f>
        <v>CSE421-21
09D-17C</v>
      </c>
      <c r="C11" s="90" t="str">
        <f>IFERROR(__xludf.DUMMYFUNCTION("""COMPUTED_VALUE"""),"CSE421-22
09D-17C")</f>
        <v>CSE421-22
09D-17C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IFERROR(__xludf.DUMMYFUNCTION("""COMPUTED_VALUE"""),"CSE421-23
07D-19C")</f>
        <v>CSE421-23
07D-19C</v>
      </c>
      <c r="C12" s="90" t="str">
        <f>IFERROR(__xludf.DUMMYFUNCTION("""COMPUTED_VALUE"""),"CSE421-24
07D-19C")</f>
        <v>CSE421-24
07D-19C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IFERROR(__xludf.DUMMYFUNCTION("""COMPUTED_VALUE"""),"CSE421-21
09D-17C")</f>
        <v>CSE421-21
09D-17C</v>
      </c>
      <c r="C13" s="90" t="str">
        <f>IFERROR(__xludf.DUMMYFUNCTION("""COMPUTED_VALUE"""),"CSE421-22
09D-17C")</f>
        <v>CSE421-22
09D-17C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Aabrar Islam</v>
      </c>
      <c r="E4" s="57"/>
      <c r="F4" s="58" t="s">
        <v>1</v>
      </c>
      <c r="G4" s="59" t="s">
        <v>199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ext.aabrar.islam@bracu.ac.bd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IFERROR(__xludf.DUMMYFUNCTION("""COMPUTED_VALUE"""),"CSE341-10 (LAB)
CMHH,CABS
12F-31L")</f>
        <v>CSE341-10 (LAB)
CMHH,CABS
12F-31L</v>
      </c>
      <c r="C11" s="90" t="str">
        <f>IFERROR(__xludf.DUMMYFUNCTION("""COMPUTED_VALUE"""),"CSE341-10 (LAB)
CMHH,CABS
12F-31L")</f>
        <v>CSE341-10 (LAB)
CMHH,CABS
12F-31L</v>
      </c>
      <c r="D11" s="90" t="str">
        <f>IFERROR(__xludf.DUMMYFUNCTION("""COMPUTED_VALUE"""),"CSE260-23B (LAB)
CABS,CMHH
FT10-04L")</f>
        <v>CSE260-23B (LAB)
CABS,CMHH
FT10-04L</v>
      </c>
      <c r="E11" s="90" t="str">
        <f>IFERROR(__xludf.DUMMYFUNCTION("""COMPUTED_VALUE"""),"CSE260-23B (LAB)
CABS,CMHH
FT10-04L")</f>
        <v>CSE260-23B (LAB)
CABS,CMHH
FT10-04L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IFERROR(__xludf.DUMMYFUNCTION("""COMPUTED_VALUE"""),"CSE471-13 (LAB)
CABS,AWK
12F-30L")</f>
        <v>CSE471-13 (LAB)
CABS,AWK
12F-30L</v>
      </c>
      <c r="C12" s="90" t="str">
        <f>IFERROR(__xludf.DUMMYFUNCTION("""COMPUTED_VALUE"""),"CSE471-13 (LAB)
CABS,AWK
12F-30L")</f>
        <v>CSE471-13 (LAB)
CABS,AWK
12F-30L</v>
      </c>
      <c r="D12" s="90" t="str">
        <f>IFERROR(__xludf.DUMMYFUNCTION("""COMPUTED_VALUE"""),"CSE471-14 (LAB)
CABS,AJK
12F-30L")</f>
        <v>CSE471-14 (LAB)
CABS,AJK
12F-30L</v>
      </c>
      <c r="E12" s="90" t="str">
        <f>IFERROR(__xludf.DUMMYFUNCTION("""COMPUTED_VALUE"""),"CSE471-14 (LAB)
CABS,AJK
12F-30L")</f>
        <v>CSE471-14 (LAB)
CABS,AJK
12F-30L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IFERROR(__xludf.DUMMYFUNCTION("""COMPUTED_VALUE"""),"MSc Class")</f>
        <v>MSc Class</v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IFERROR(__xludf.DUMMYFUNCTION("""COMPUTED_VALUE"""),"CSE260-04B (LAB)
CABS,NQM
FT10-04L")</f>
        <v>CSE260-04B (LAB)
CABS,NQM
FT10-04L</v>
      </c>
      <c r="G13" s="90" t="str">
        <f>IFERROR(__xludf.DUMMYFUNCTION("""COMPUTED_VALUE"""),"CSE260-04B (LAB)
CABS,NQM
FT10-04L")</f>
        <v>CSE260-04B (LAB)
CABS,NQM
FT10-04L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IFERROR(__xludf.DUMMYFUNCTION("""COMPUTED_VALUE"""),"CSE341-01 (LAB)
CABS,CKMH
12F-30L")</f>
        <v>CSE341-01 (LAB)
CABS,CKMH
12F-30L</v>
      </c>
      <c r="E14" s="90" t="str">
        <f>IFERROR(__xludf.DUMMYFUNCTION("""COMPUTED_VALUE"""),"CSE341-01 (LAB)
CABS,CKMH
12F-30L")</f>
        <v>CSE341-01 (LAB)
CABS,CKMH
12F-30L</v>
      </c>
      <c r="F14" s="90" t="str">
        <f>IFERROR(__xludf.DUMMYFUNCTION("""COMPUTED_VALUE"""),"CSE370-11 (LAB)
RAHA,CABS
12F-31L")</f>
        <v>CSE370-11 (LAB)
RAHA,CABS
12F-31L</v>
      </c>
      <c r="G14" s="90" t="str">
        <f>IFERROR(__xludf.DUMMYFUNCTION("""COMPUTED_VALUE"""),"CSE370-11 (LAB)
RAHA,CABS
12F-31L")</f>
        <v>CSE370-11 (LAB)
RAHA,CABS
12F-31L</v>
      </c>
      <c r="H14" s="90" t="str">
        <f>IFERROR(__xludf.DUMMYFUNCTION("""COMPUTED_VALUE"""),"")</f>
        <v/>
      </c>
      <c r="I14" s="90" t="str">
        <f>IFERROR(__xludf.DUMMYFUNCTION("""COMPUTED_VALUE"""),"MSc Class")</f>
        <v>MSc Class</v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ANIKA ISLAM</v>
      </c>
      <c r="E4" s="57"/>
      <c r="F4" s="58" t="s">
        <v>1</v>
      </c>
      <c r="G4" s="59" t="s">
        <v>200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ext.anika.islam@bracu.ac.bd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IFERROR(__xludf.DUMMYFUNCTION("""COMPUTED_VALUE"""),"MSc Class")</f>
        <v>MSc Class</v>
      </c>
      <c r="J9" s="87" t="str">
        <f>IFERROR(__xludf.DUMMYFUNCTION("""COMPUTED_VALUE"""),"MSc Class")</f>
        <v>MSc Class</v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IFERROR(__xludf.DUMMYFUNCTION("""COMPUTED_VALUE"""),"CSE321-03 (LAB)
HFN,CAKM
12D-26L")</f>
        <v>CSE321-03 (LAB)
HFN,CAKM
12D-26L</v>
      </c>
      <c r="C10" s="90" t="str">
        <f>IFERROR(__xludf.DUMMYFUNCTION("""COMPUTED_VALUE"""),"CSE321-03 (LAB)
HFN,CAKM
12D-26L")</f>
        <v>CSE321-03 (LAB)
HFN,CAKM
12D-26L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IFERROR(__xludf.DUMMYFUNCTION("""COMPUTED_VALUE"""),"MSc Class")</f>
        <v>MSc Class</v>
      </c>
      <c r="J10" s="91" t="str">
        <f>IFERROR(__xludf.DUMMYFUNCTION("""COMPUTED_VALUE"""),"MSc Class")</f>
        <v>MSc Class</v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IFERROR(__xludf.DUMMYFUNCTION("""COMPUTED_VALUE"""),"CSE321-17 (LAB)
CAKM,HFN
12D-27L")</f>
        <v>CSE321-17 (LAB)
CAKM,HFN
12D-27L</v>
      </c>
      <c r="C12" s="90" t="str">
        <f>IFERROR(__xludf.DUMMYFUNCTION("""COMPUTED_VALUE"""),"CSE321-17 (LAB)
CAKM,HFN
12D-27L")</f>
        <v>CSE321-17 (LAB)
CAKM,HFN
12D-27L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IFERROR(__xludf.DUMMYFUNCTION("""COMPUTED_VALUE"""),"CSE321-01 (LAB)
CAKM,MLH
12D-26L")</f>
        <v>CSE321-01 (LAB)
CAKM,MLH
12D-26L</v>
      </c>
      <c r="G12" s="90" t="str">
        <f>IFERROR(__xludf.DUMMYFUNCTION("""COMPUTED_VALUE"""),"CSE321-01 (LAB)
CAKM,MLH
12D-26L")</f>
        <v>CSE321-01 (LAB)
CAKM,MLH
12D-26L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IFERROR(__xludf.DUMMYFUNCTION("""COMPUTED_VALUE"""),"CSE110-04 (LAB)
MSI,CAKM
09B-10L")</f>
        <v>CSE110-04 (LAB)
MSI,CAKM
09B-10L</v>
      </c>
      <c r="E13" s="90" t="str">
        <f>IFERROR(__xludf.DUMMYFUNCTION("""COMPUTED_VALUE"""),"CSE110-04 (LAB)
MSI,CAKM
09B-10L")</f>
        <v>CSE110-04 (LAB)
MSI,CAKM
09B-10L</v>
      </c>
      <c r="F13" s="90" t="str">
        <f>IFERROR(__xludf.DUMMYFUNCTION("""COMPUTED_VALUE"""),"CSE111-03 (LAB)
CAKM,HBN
12D-27L")</f>
        <v>CSE111-03 (LAB)
CAKM,HBN
12D-27L</v>
      </c>
      <c r="G13" s="90" t="str">
        <f>IFERROR(__xludf.DUMMYFUNCTION("""COMPUTED_VALUE"""),"CSE111-03 (LAB)
CAKM,HBN
12D-27L")</f>
        <v>CSE111-03 (LAB)
CAKM,HBN
12D-27L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IFERROR(__xludf.DUMMYFUNCTION("""COMPUTED_VALUE"""),"CSE110-15 (LAB)
CAKM,CSAB
09B-11L")</f>
        <v>CSE110-15 (LAB)
CAKM,CSAB
09B-11L</v>
      </c>
      <c r="C14" s="90" t="str">
        <f>IFERROR(__xludf.DUMMYFUNCTION("""COMPUTED_VALUE"""),"CSE110-15 (LAB)
CAKM,CSAB
09B-11L")</f>
        <v>CSE110-15 (LAB)
CAKM,CSAB
09B-11L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IFERROR(__xludf.DUMMYFUNCTION("""COMPUTED_VALUE"""),"CSE110-12 (LAB)
CSAB,CAKM
09B-10L")</f>
        <v>CSE110-12 (LAB)
CSAB,CAKM
09B-10L</v>
      </c>
      <c r="G14" s="90" t="str">
        <f>IFERROR(__xludf.DUMMYFUNCTION("""COMPUTED_VALUE"""),"CSE110-12 (LAB)
CSAB,CAKM
09B-10L")</f>
        <v>CSE110-12 (LAB)
CSAB,CAKM
09B-10L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/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Argha Protim Angon</v>
      </c>
      <c r="E4" s="57"/>
      <c r="F4" s="58" t="s">
        <v>1</v>
      </c>
      <c r="G4" s="59" t="s">
        <v>201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ext.argha.angon@bracu.ac.bd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IFERROR(__xludf.DUMMYFUNCTION("""COMPUTED_VALUE"""),"CSE423-01 (LAB)
MZFZ,CAPN
09F-27L,CSE423-02 (LAB)
MZFZ,CAPN
09F-27L")</f>
        <v>CSE423-01 (LAB)
MZFZ,CAPN
09F-27L,CSE423-02 (LAB)
MZFZ,CAPN
09F-27L</v>
      </c>
      <c r="E9" s="86" t="str">
        <f>IFERROR(__xludf.DUMMYFUNCTION("""COMPUTED_VALUE"""),"CSE423-01 (LAB)
MZFZ,CAPN
09F-27L,CSE423-02 (LAB)
MZFZ,CAPN
09F-27L")</f>
        <v>CSE423-01 (LAB)
MZFZ,CAPN
09F-27L,CSE423-02 (LAB)
MZFZ,CAPN
09F-27L</v>
      </c>
      <c r="F9" s="86" t="str">
        <f>IFERROR(__xludf.DUMMYFUNCTION("""COMPUTED_VALUE"""),"CSE260-20B (LAB)
ANKH,CAPN
FT10-04L")</f>
        <v>CSE260-20B (LAB)
ANKH,CAPN
FT10-04L</v>
      </c>
      <c r="G9" s="86" t="str">
        <f>IFERROR(__xludf.DUMMYFUNCTION("""COMPUTED_VALUE"""),"CSE260-20B (LAB)
ANKH,CAPN
FT10-04L")</f>
        <v>CSE260-20B (LAB)
ANKH,CAPN
FT10-04L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IFERROR(__xludf.DUMMYFUNCTION("""COMPUTED_VALUE"""),"CSE260-25B (LAB)
ANKH,CAPN
FT10-04L")</f>
        <v>CSE260-25B (LAB)
ANKH,CAPN
FT10-04L</v>
      </c>
      <c r="E10" s="90" t="str">
        <f>IFERROR(__xludf.DUMMYFUNCTION("""COMPUTED_VALUE"""),"CSE260-25B (LAB)
ANKH,CAPN
FT10-04L")</f>
        <v>CSE260-25B (LAB)
ANKH,CAPN
FT10-04L</v>
      </c>
      <c r="F10" s="90" t="str">
        <f>IFERROR(__xludf.DUMMYFUNCTION("""COMPUTED_VALUE"""),"CSE260-27B (LAB)
AAF,CAPN
FT10-03L")</f>
        <v>CSE260-27B (LAB)
AAF,CAPN
FT10-03L</v>
      </c>
      <c r="G10" s="90" t="str">
        <f>IFERROR(__xludf.DUMMYFUNCTION("""COMPUTED_VALUE"""),"CSE260-27B (LAB)
AAF,CAPN
FT10-03L")</f>
        <v>CSE260-27B (LAB)
AAF,CAPN
FT10-03L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IFERROR(__xludf.DUMMYFUNCTION("""COMPUTED_VALUE"""),"CSE260-11A (LAB)
SUE,CAPN
FT10-04L")</f>
        <v>CSE260-11A (LAB)
SUE,CAPN
FT10-04L</v>
      </c>
      <c r="C12" s="90" t="str">
        <f>IFERROR(__xludf.DUMMYFUNCTION("""COMPUTED_VALUE"""),"CSE260-11A (LAB)
SUE,CAPN
FT10-04L")</f>
        <v>CSE260-11A (LAB)
SUE,CAPN
FT10-04L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IFERROR(__xludf.DUMMYFUNCTION("""COMPUTED_VALUE"""),"CSE423-07 (LAB)
AJA,CAPN
09F-24L,CSE423-10 (LAB)
AJA,CAPN
09F-24L")</f>
        <v>CSE423-07 (LAB)
AJA,CAPN
09F-24L,CSE423-10 (LAB)
AJA,CAPN
09F-24L</v>
      </c>
      <c r="G12" s="90" t="str">
        <f>IFERROR(__xludf.DUMMYFUNCTION("""COMPUTED_VALUE"""),"CSE423-07 (LAB)
AJA,CAPN
09F-24L,CSE423-10 (LAB)
AJA,CAPN
09F-24L")</f>
        <v>CSE423-07 (LAB)
AJA,CAPN
09F-24L,CSE423-10 (LAB)
AJA,CAPN
09F-24L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IFERROR(__xludf.DUMMYFUNCTION("""COMPUTED_VALUE"""),"CSE423-23 (LAB)
ANT,CAPN
09F-24L,CSE423-24 (LAB)
ANT,CAPN
09F-24L")</f>
        <v>CSE423-23 (LAB)
ANT,CAPN
09F-24L,CSE423-24 (LAB)
ANT,CAPN
09F-24L</v>
      </c>
      <c r="E14" s="90" t="str">
        <f>IFERROR(__xludf.DUMMYFUNCTION("""COMPUTED_VALUE"""),"CSE423-23 (LAB)
ANT,CAPN
09F-24L,CSE423-24 (LAB)
ANT,CAPN
09F-24L")</f>
        <v>CSE423-23 (LAB)
ANT,CAPN
09F-24L,CSE423-24 (LAB)
ANT,CAPN
09F-24L</v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Eshat Fareeha</v>
      </c>
      <c r="E4" s="57"/>
      <c r="F4" s="58" t="s">
        <v>1</v>
      </c>
      <c r="G4" s="59" t="s">
        <v>202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ext.eshat.fareeha@bracu.ac.bd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IFERROR(__xludf.DUMMYFUNCTION("""COMPUTED_VALUE"""),"CSE221-17 (LAB)
AROY,CESF
09B-11L")</f>
        <v>CSE221-17 (LAB)
AROY,CESF
09B-11L</v>
      </c>
      <c r="C9" s="86" t="str">
        <f>IFERROR(__xludf.DUMMYFUNCTION("""COMPUTED_VALUE"""),"CSE221-17 (LAB)
AROY,CESF
09B-11L")</f>
        <v>CSE221-17 (LAB)
AROY,CESF
09B-11L</v>
      </c>
      <c r="D9" s="86" t="str">
        <f>IFERROR(__xludf.DUMMYFUNCTION("""COMPUTED_VALUE"""),"CSE221-20 (LAB)
AROY,CESF
09B-11L")</f>
        <v>CSE221-20 (LAB)
AROY,CESF
09B-11L</v>
      </c>
      <c r="E9" s="86" t="str">
        <f>IFERROR(__xludf.DUMMYFUNCTION("""COMPUTED_VALUE"""),"CSE221-20 (LAB)
AROY,CESF
09B-11L")</f>
        <v>CSE221-20 (LAB)
AROY,CESF
09B-11L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IFERROR(__xludf.DUMMYFUNCTION("""COMPUTED_VALUE"""),"CSE101-01 (LAB)
SBHN,CESF
FT11-04L")</f>
        <v>CSE101-01 (LAB)
SBHN,CESF
FT11-04L</v>
      </c>
      <c r="E10" s="90" t="str">
        <f>IFERROR(__xludf.DUMMYFUNCTION("""COMPUTED_VALUE"""),"CSE101-01 (LAB)
SBHN,CESF
FT11-04L")</f>
        <v>CSE101-01 (LAB)
SBHN,CESF
FT11-04L</v>
      </c>
      <c r="F10" s="90" t="str">
        <f>IFERROR(__xludf.DUMMYFUNCTION("""COMPUTED_VALUE"""),"CSE220-18 (LAB)
CESF,MAF
09B-11L")</f>
        <v>CSE220-18 (LAB)
CESF,MAF
09B-11L</v>
      </c>
      <c r="G10" s="90" t="str">
        <f>IFERROR(__xludf.DUMMYFUNCTION("""COMPUTED_VALUE"""),"CSE220-18 (LAB)
CESF,MAF
09B-11L")</f>
        <v>CSE220-18 (LAB)
CESF,MAF
09B-11L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IFERROR(__xludf.DUMMYFUNCTION("""COMPUTED_VALUE"""),"CSE220-01 (LAB)
ASMN,CESF
09B-08L")</f>
        <v>CSE220-01 (LAB)
ASMN,CESF
09B-08L</v>
      </c>
      <c r="C11" s="90" t="str">
        <f>IFERROR(__xludf.DUMMYFUNCTION("""COMPUTED_VALUE"""),"CSE220-01 (LAB)
ASMN,CESF
09B-08L")</f>
        <v>CSE220-01 (LAB)
ASMN,CESF
09B-08L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IFERROR(__xludf.DUMMYFUNCTION("""COMPUTED_VALUE"""),"CSE220-05 (LAB)
CESF,ANT
09B-11L")</f>
        <v>CSE220-05 (LAB)
CESF,ANT
09B-11L</v>
      </c>
      <c r="G11" s="90" t="str">
        <f>IFERROR(__xludf.DUMMYFUNCTION("""COMPUTED_VALUE"""),"CSE220-05 (LAB)
CESF,ANT
09B-11L")</f>
        <v>CSE220-05 (LAB)
CESF,ANT
09B-11L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IFERROR(__xludf.DUMMYFUNCTION("""COMPUTED_VALUE"""),"CSE101-02 (LAB)
CESF,AQJ
FT11-03L")</f>
        <v>CSE101-02 (LAB)
CESF,AQJ
FT11-03L</v>
      </c>
      <c r="E12" s="90" t="str">
        <f>IFERROR(__xludf.DUMMYFUNCTION("""COMPUTED_VALUE"""),"CSE101-02 (LAB)
CESF,AQJ
FT11-03L")</f>
        <v>CSE101-02 (LAB)
CESF,AQJ
FT11-03L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Khondokar Mohammad Ahanaf Hannan</v>
      </c>
      <c r="E4" s="57"/>
      <c r="F4" s="58" t="s">
        <v>1</v>
      </c>
      <c r="G4" s="59" t="s">
        <v>203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ext.ahanaf.hannan@bracu.ac.bd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IFERROR(__xludf.DUMMYFUNCTION("""COMPUTED_VALUE"""),"CSE341-06 (LAB)
TRZA,CKMH
12F-30L")</f>
        <v>CSE341-06 (LAB)
TRZA,CKMH
12F-30L</v>
      </c>
      <c r="E9" s="86" t="str">
        <f>IFERROR(__xludf.DUMMYFUNCTION("""COMPUTED_VALUE"""),"CSE341-06 (LAB)
TRZA,CKMH
12F-30L")</f>
        <v>CSE341-06 (LAB)
TRZA,CKMH
12F-30L</v>
      </c>
      <c r="F9" s="86" t="str">
        <f>IFERROR(__xludf.DUMMYFUNCTION("""COMPUTED_VALUE"""),"CSE447-03 (LAB)
FFU,CKMH
09F-24L")</f>
        <v>CSE447-03 (LAB)
FFU,CKMH
09F-24L</v>
      </c>
      <c r="G9" s="86" t="str">
        <f>IFERROR(__xludf.DUMMYFUNCTION("""COMPUTED_VALUE"""),"CSE447-03 (LAB)
FFU,CKMH
09F-24L")</f>
        <v>CSE447-03 (LAB)
FFU,CKMH
09F-24L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IFERROR(__xludf.DUMMYFUNCTION("""COMPUTED_VALUE"""),"CSE341-11 (LAB)
CKMH,TRZA
12F-31L")</f>
        <v>CSE341-11 (LAB)
CKMH,TRZA
12F-31L</v>
      </c>
      <c r="E11" s="90" t="str">
        <f>IFERROR(__xludf.DUMMYFUNCTION("""COMPUTED_VALUE"""),"CSE341-11 (LAB)
CKMH,TRZA
12F-31L")</f>
        <v>CSE341-11 (LAB)
CKMH,TRZA
12F-31L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IFERROR(__xludf.DUMMYFUNCTION("""COMPUTED_VALUE"""),"MSc Class")</f>
        <v>MSc Class</v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IFERROR(__xludf.DUMMYFUNCTION("""COMPUTED_VALUE"""),"CSE341-12 (LAB)
RKN,CKMH
12D-27L")</f>
        <v>CSE341-12 (LAB)
RKN,CKMH
12D-27L</v>
      </c>
      <c r="G12" s="90" t="str">
        <f>IFERROR(__xludf.DUMMYFUNCTION("""COMPUTED_VALUE"""),"CSE341-12 (LAB)
RKN,CKMH
12D-27L")</f>
        <v>CSE341-12 (LAB)
RKN,CKMH
12D-27L</v>
      </c>
      <c r="H12" s="90" t="str">
        <f>IFERROR(__xludf.DUMMYFUNCTION("""COMPUTED_VALUE"""),"")</f>
        <v/>
      </c>
      <c r="I12" s="90" t="str">
        <f>IFERROR(__xludf.DUMMYFUNCTION("""COMPUTED_VALUE"""),"MSc Class")</f>
        <v>MSc Class</v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IFERROR(__xludf.DUMMYFUNCTION("""COMPUTED_VALUE"""),"CSE341-04 (LAB)
HBN,CKMH
12F-30L")</f>
        <v>CSE341-04 (LAB)
HBN,CKMH
12F-30L</v>
      </c>
      <c r="C14" s="90" t="str">
        <f>IFERROR(__xludf.DUMMYFUNCTION("""COMPUTED_VALUE"""),"CSE341-04 (LAB)
HBN,CKMH
12F-30L")</f>
        <v>CSE341-04 (LAB)
HBN,CKMH
12F-30L</v>
      </c>
      <c r="D14" s="90" t="str">
        <f>IFERROR(__xludf.DUMMYFUNCTION("""COMPUTED_VALUE"""),"CSE341-01 (LAB)
CABS,CKMH
12F-30L")</f>
        <v>CSE341-01 (LAB)
CABS,CKMH
12F-30L</v>
      </c>
      <c r="E14" s="90" t="str">
        <f>IFERROR(__xludf.DUMMYFUNCTION("""COMPUTED_VALUE"""),"CSE341-01 (LAB)
CABS,CKMH
12F-30L")</f>
        <v>CSE341-01 (LAB)
CABS,CKMH
12F-30L</v>
      </c>
      <c r="F14" s="90" t="str">
        <f>IFERROR(__xludf.DUMMYFUNCTION("""COMPUTED_VALUE"""),"CSE471-06 (LAB)
ART,CKMH
09E-22L")</f>
        <v>CSE471-06 (LAB)
ART,CKMH
09E-22L</v>
      </c>
      <c r="G14" s="90" t="str">
        <f>IFERROR(__xludf.DUMMYFUNCTION("""COMPUTED_VALUE"""),"CSE471-06 (LAB)
ART,CKMH
09E-22L")</f>
        <v>CSE471-06 (LAB)
ART,CKMH
09E-22L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Maheer Helal</v>
      </c>
      <c r="E4" s="57"/>
      <c r="F4" s="58" t="s">
        <v>1</v>
      </c>
      <c r="G4" s="59" t="s">
        <v>204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ext.maheer.helal@bracu.ac.bd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IFERROR(__xludf.DUMMYFUNCTION("""COMPUTED_VALUE"""),"CSE221-09 (LAB)
CMHH,MZW
09B-09L")</f>
        <v>CSE221-09 (LAB)
CMHH,MZW
09B-09L</v>
      </c>
      <c r="C9" s="86" t="str">
        <f>IFERROR(__xludf.DUMMYFUNCTION("""COMPUTED_VALUE"""),"CSE221-09 (LAB)
CMHH,MZW
09B-09L")</f>
        <v>CSE221-09 (LAB)
CMHH,MZW
09B-09L</v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IFERROR(__xludf.DUMMYFUNCTION("""COMPUTED_VALUE"""),"CSE341-10 (LAB)
CMHH,CABS
12F-31L")</f>
        <v>CSE341-10 (LAB)
CMHH,CABS
12F-31L</v>
      </c>
      <c r="C11" s="90" t="str">
        <f>IFERROR(__xludf.DUMMYFUNCTION("""COMPUTED_VALUE"""),"CSE341-10 (LAB)
CMHH,CABS
12F-31L")</f>
        <v>CSE341-10 (LAB)
CMHH,CABS
12F-31L</v>
      </c>
      <c r="D11" s="90" t="str">
        <f>IFERROR(__xludf.DUMMYFUNCTION("""COMPUTED_VALUE"""),"CSE260-23B (LAB)
CABS,CMHH
FT10-04L")</f>
        <v>CSE260-23B (LAB)
CABS,CMHH
FT10-04L</v>
      </c>
      <c r="E11" s="90" t="str">
        <f>IFERROR(__xludf.DUMMYFUNCTION("""COMPUTED_VALUE"""),"CSE260-23B (LAB)
CABS,CMHH
FT10-04L")</f>
        <v>CSE260-23B (LAB)
CABS,CMHH
FT10-04L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IFERROR(__xludf.DUMMYFUNCTION("""COMPUTED_VALUE"""),"CSE427-10 (LAB)
CMHH,CQAE
09B-11L")</f>
        <v>CSE427-10 (LAB)
CMHH,CQAE
09B-11L</v>
      </c>
      <c r="E12" s="90" t="str">
        <f>IFERROR(__xludf.DUMMYFUNCTION("""COMPUTED_VALUE"""),"CSE427-10 (LAB)
CMHH,CQAE
09B-11L")</f>
        <v>CSE427-10 (LAB)
CMHH,CQAE
09B-11L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IFERROR(__xludf.DUMMYFUNCTION("""COMPUTED_VALUE"""),"CSE260-08B (LAB)
MCW,CMHH
FT10-03L")</f>
        <v>CSE260-08B (LAB)
MCW,CMHH
FT10-03L</v>
      </c>
      <c r="G13" s="90" t="str">
        <f>IFERROR(__xludf.DUMMYFUNCTION("""COMPUTED_VALUE"""),"CSE260-08B (LAB)
MCW,CMHH
FT10-03L")</f>
        <v>CSE260-08B (LAB)
MCW,CMHH
FT10-03L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IFERROR(__xludf.DUMMYFUNCTION("""COMPUTED_VALUE"""),"CSE422-11 (LAB)
PLN,CMHH
09F-26L")</f>
        <v>CSE422-11 (LAB)
PLN,CMHH
09F-26L</v>
      </c>
      <c r="C14" s="90" t="str">
        <f>IFERROR(__xludf.DUMMYFUNCTION("""COMPUTED_VALUE"""),"CSE422-11 (LAB)
PLN,CMHH
09F-26L")</f>
        <v>CSE422-11 (LAB)
PLN,CMHH
09F-26L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IFERROR(__xludf.DUMMYFUNCTION("""COMPUTED_VALUE"""),"CSE260-07B (LAB)
CMHH,MHM
FT10-02L")</f>
        <v>CSE260-07B (LAB)
CMHH,MHM
FT10-02L</v>
      </c>
      <c r="G14" s="90" t="str">
        <f>IFERROR(__xludf.DUMMYFUNCTION("""COMPUTED_VALUE"""),"CSE260-07B (LAB)
CMHH,MHM
FT10-02L")</f>
        <v>CSE260-07B (LAB)
CMHH,MHM
FT10-02L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Chowdhury Mofizur Rahman</v>
      </c>
      <c r="E4" s="57"/>
      <c r="F4" s="58" t="s">
        <v>1</v>
      </c>
      <c r="G4" s="59" t="s">
        <v>52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rahman.mofizur@bracu.ac.bd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IFERROR(__xludf.DUMMYFUNCTION("IMPORTRANGE(Links!B12,G4&amp;""!A8:K17"")"),"Sunday")</f>
        <v>Sunday</v>
      </c>
      <c r="B8" s="80" t="str">
        <f>IFERROR(__xludf.DUMMYFUNCTION("""COMPUTED_VALUE"""),"")</f>
        <v/>
      </c>
      <c r="C8" s="80" t="str">
        <f>IFERROR(__xludf.DUMMYFUNCTION("""COMPUTED_VALUE"""),"Research")</f>
        <v>Research</v>
      </c>
      <c r="D8" s="80" t="str">
        <f>IFERROR(__xludf.DUMMYFUNCTION("""COMPUTED_VALUE"""),"Research")</f>
        <v>Research</v>
      </c>
      <c r="E8" s="80" t="str">
        <f>IFERROR(__xludf.DUMMYFUNCTION("""COMPUTED_VALUE"""),"Thesis (UG)")</f>
        <v>Thesis (UG)</v>
      </c>
      <c r="F8" s="80" t="str">
        <f>IFERROR(__xludf.DUMMYFUNCTION("""COMPUTED_VALUE"""),"Thesis (UG)")</f>
        <v>Thesis (UG)</v>
      </c>
      <c r="G8" s="80" t="str">
        <f>IFERROR(__xludf.DUMMYFUNCTION("""COMPUTED_VALUE"""),"Thesis (UG)")</f>
        <v>Thesis (UG)</v>
      </c>
      <c r="H8" s="80" t="str">
        <f>IFERROR(__xludf.DUMMYFUNCTION("""COMPUTED_VALUE"""),"")</f>
        <v/>
      </c>
      <c r="I8" s="81" t="str">
        <f>IFERROR(__xludf.DUMMYFUNCTION("""COMPUTED_VALUE"""),"")</f>
        <v/>
      </c>
      <c r="J8" s="82" t="str">
        <f>IFERROR(__xludf.DUMMYFUNCTION("""COMPUTED_VALUE"""),"")</f>
        <v/>
      </c>
      <c r="K8" s="83">
        <f>IFERROR(__xludf.DUMMYFUNCTION("""COMPUTED_VALUE"""),0.0)</f>
        <v>0</v>
      </c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IFERROR(__xludf.DUMMYFUNCTION("""COMPUTED_VALUE"""),"Monday")</f>
        <v>Monday</v>
      </c>
      <c r="B9" s="85" t="str">
        <f>IFERROR(__xludf.DUMMYFUNCTION("""COMPUTED_VALUE"""),"")</f>
        <v/>
      </c>
      <c r="C9" s="86" t="str">
        <f>IFERROR(__xludf.DUMMYFUNCTION("""COMPUTED_VALUE"""),"Research")</f>
        <v>Research</v>
      </c>
      <c r="D9" s="86" t="str">
        <f>IFERROR(__xludf.DUMMYFUNCTION("""COMPUTED_VALUE"""),"Research")</f>
        <v>Research</v>
      </c>
      <c r="E9" s="86" t="str">
        <f>IFERROR(__xludf.DUMMYFUNCTION("""COMPUTED_VALUE"""),"Thesis (UG)")</f>
        <v>Thesis (UG)</v>
      </c>
      <c r="F9" s="86" t="str">
        <f>IFERROR(__xludf.DUMMYFUNCTION("""COMPUTED_VALUE"""),"Thesis (UG)")</f>
        <v>Thesis (UG)</v>
      </c>
      <c r="G9" s="86" t="str">
        <f>IFERROR(__xludf.DUMMYFUNCTION("""COMPUTED_VALUE"""),"Thesis (UG)")</f>
        <v>Thesis (UG)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IFERROR(__xludf.DUMMYFUNCTION("""COMPUTED_VALUE"""),"Tuesday")</f>
        <v>Tuesday</v>
      </c>
      <c r="B10" s="89" t="str">
        <f>IFERROR(__xludf.DUMMYFUNCTION("""COMPUTED_VALUE"""),"")</f>
        <v/>
      </c>
      <c r="C10" s="90" t="str">
        <f>IFERROR(__xludf.DUMMYFUNCTION("""COMPUTED_VALUE"""),"Research")</f>
        <v>Research</v>
      </c>
      <c r="D10" s="90" t="str">
        <f>IFERROR(__xludf.DUMMYFUNCTION("""COMPUTED_VALUE"""),"Research")</f>
        <v>Research</v>
      </c>
      <c r="E10" s="90" t="str">
        <f>IFERROR(__xludf.DUMMYFUNCTION("""COMPUTED_VALUE"""),"Thesis (UG)")</f>
        <v>Thesis (UG)</v>
      </c>
      <c r="F10" s="90" t="str">
        <f>IFERROR(__xludf.DUMMYFUNCTION("""COMPUTED_VALUE"""),"Thesis (UG)")</f>
        <v>Thesis (UG)</v>
      </c>
      <c r="G10" s="90" t="str">
        <f>IFERROR(__xludf.DUMMYFUNCTION("""COMPUTED_VALUE"""),"Thesis (UG)")</f>
        <v>Thesis (UG)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IFERROR(__xludf.DUMMYFUNCTION("""COMPUTED_VALUE"""),"Wednesday")</f>
        <v>Wednesday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IFERROR(__xludf.DUMMYFUNCTION("""COMPUTED_VALUE"""),"Thursday")</f>
        <v>Thursday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IFERROR(__xludf.DUMMYFUNCTION("""COMPUTED_VALUE"""),"Consultation")</f>
        <v>Consultation</v>
      </c>
      <c r="E12" s="90" t="str">
        <f>IFERROR(__xludf.DUMMYFUNCTION("""COMPUTED_VALUE"""),"CSE427-01
09C-16T,CSE427-02
09C-16T,CSE427-03
09C-16T")</f>
        <v>CSE427-01
09C-16T,CSE427-02
09C-16T,CSE427-03
09C-16T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IFERROR(__xludf.DUMMYFUNCTION("""COMPUTED_VALUE"""),"Friday")</f>
        <v>Friday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/>
      <c r="B14" s="89" t="str">
        <f>IFERROR(__xludf.DUMMYFUNCTION("""COMPUTED_VALUE"""),"Consultation Hour Planner")</f>
        <v>Consultation Hour Planner</v>
      </c>
      <c r="C14" s="90"/>
      <c r="D14" s="90"/>
      <c r="E14" s="90"/>
      <c r="F14" s="90"/>
      <c r="G14" s="90"/>
      <c r="H14" s="90"/>
      <c r="I14" s="90"/>
      <c r="J14" s="91"/>
      <c r="K14" s="88"/>
      <c r="L14" s="88"/>
    </row>
    <row r="15" ht="63.0" customHeight="1">
      <c r="A15" s="92"/>
      <c r="B15" s="93" t="str">
        <f>IFERROR(__xludf.DUMMYFUNCTION("""COMPUTED_VALUE"""),"BRAC University")</f>
        <v>BRAC University</v>
      </c>
      <c r="C15" s="94"/>
      <c r="D15" s="94"/>
      <c r="E15" s="94"/>
      <c r="F15" s="94"/>
      <c r="G15" s="94"/>
      <c r="H15" s="94"/>
      <c r="I15" s="94"/>
      <c r="J15" s="95"/>
      <c r="K15" s="88"/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Nusrat Zaman Raya</v>
      </c>
      <c r="E4" s="57"/>
      <c r="F4" s="58" t="s">
        <v>1</v>
      </c>
      <c r="G4" s="59" t="s">
        <v>205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ext.nusrat.raya@bracu.ac.bd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IFERROR(__xludf.DUMMYFUNCTION("""COMPUTED_VALUE"""),"CSE321-25 (LAB)
CNZR,CRHB
12D-26L")</f>
        <v>CSE321-25 (LAB)
CNZR,CRHB
12D-26L</v>
      </c>
      <c r="C9" s="86" t="str">
        <f>IFERROR(__xludf.DUMMYFUNCTION("""COMPUTED_VALUE"""),"CSE321-25 (LAB)
CNZR,CRHB
12D-26L")</f>
        <v>CSE321-25 (LAB)
CNZR,CRHB
12D-26L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IFERROR(__xludf.DUMMYFUNCTION("""COMPUTED_VALUE"""),"CSE321-04 (LAB)
CRHB,CNZR
12D-26L")</f>
        <v>CSE321-04 (LAB)
CRHB,CNZR
12D-26L</v>
      </c>
      <c r="G9" s="86" t="str">
        <f>IFERROR(__xludf.DUMMYFUNCTION("""COMPUTED_VALUE"""),"CSE321-04 (LAB)
CRHB,CNZR
12D-26L")</f>
        <v>CSE321-04 (LAB)
CRHB,CNZR
12D-26L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IFERROR(__xludf.DUMMYFUNCTION("""COMPUTED_VALUE"""),"CSE321-09 (LAB)
CRHB,CNZR
12D-27L")</f>
        <v>CSE321-09 (LAB)
CRHB,CNZR
12D-27L</v>
      </c>
      <c r="C10" s="90" t="str">
        <f>IFERROR(__xludf.DUMMYFUNCTION("""COMPUTED_VALUE"""),"CSE321-09 (LAB)
CRHB,CNZR
12D-27L")</f>
        <v>CSE321-09 (LAB)
CRHB,CNZR
12D-27L</v>
      </c>
      <c r="D10" s="90" t="str">
        <f>IFERROR(__xludf.DUMMYFUNCTION("""COMPUTED_VALUE"""),"CSE321-14 (LAB)
CNZR,MAO
12D-27L")</f>
        <v>CSE321-14 (LAB)
CNZR,MAO
12D-27L</v>
      </c>
      <c r="E10" s="90" t="str">
        <f>IFERROR(__xludf.DUMMYFUNCTION("""COMPUTED_VALUE"""),"CSE321-14 (LAB)
CNZR,MAO
12D-27L")</f>
        <v>CSE321-14 (LAB)
CNZR,MAO
12D-27L</v>
      </c>
      <c r="F10" s="90" t="str">
        <f>IFERROR(__xludf.DUMMYFUNCTION("""COMPUTED_VALUE"""),"Consultation by Appointment")</f>
        <v>Consultation by Appointment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IFERROR(__xludf.DUMMYFUNCTION("""COMPUTED_VALUE"""),"CSE260-18A (LAB)
CNZR,CSSN
FT10-02L")</f>
        <v>CSE260-18A (LAB)
CNZR,CSSN
FT10-02L</v>
      </c>
      <c r="C11" s="90" t="str">
        <f>IFERROR(__xludf.DUMMYFUNCTION("""COMPUTED_VALUE"""),"CSE260-18A (LAB)
CNZR,CSSN
FT10-02L")</f>
        <v>CSE260-18A (LAB)
CNZR,CSSN
FT10-02L</v>
      </c>
      <c r="D11" s="90" t="str">
        <f>IFERROR(__xludf.DUMMYFUNCTION("""COMPUTED_VALUE"""),"CSE260-19A (LAB)
MAJIJ,CNZR
FT10-02L")</f>
        <v>CSE260-19A (LAB)
MAJIJ,CNZR
FT10-02L</v>
      </c>
      <c r="E11" s="90" t="str">
        <f>IFERROR(__xludf.DUMMYFUNCTION("""COMPUTED_VALUE"""),"CSE260-19A (LAB)
MAJIJ,CNZR
FT10-02L")</f>
        <v>CSE260-19A (LAB)
MAJIJ,CNZR
FT10-02L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 by appointment")</f>
        <v>Consultation by appointment</v>
      </c>
      <c r="D13" s="90" t="str">
        <f>IFERROR(__xludf.DUMMYFUNCTION("""COMPUTED_VALUE"""),"CSE260-04A (LAB)
RFF,CNZR
FT10-04L")</f>
        <v>CSE260-04A (LAB)
RFF,CNZR
FT10-04L</v>
      </c>
      <c r="E13" s="90" t="str">
        <f>IFERROR(__xludf.DUMMYFUNCTION("""COMPUTED_VALUE"""),"CSE260-04A (LAB)
RFF,CNZR
FT10-04L")</f>
        <v>CSE260-04A (LAB)
RFF,CNZR
FT10-04L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Purba Tahia Hassan</v>
      </c>
      <c r="E4" s="57"/>
      <c r="F4" s="58" t="s">
        <v>1</v>
      </c>
      <c r="G4" s="59" t="s">
        <v>206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ext.purba.hassan@bracu.ac.bd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IFERROR(__xludf.DUMMYFUNCTION("""COMPUTED_VALUE"""),"CSE461-07 (LAB)
CPTH,CSAB
10G-33L")</f>
        <v>CSE461-07 (LAB)
CPTH,CSAB
10G-33L</v>
      </c>
      <c r="C9" s="86" t="str">
        <f>IFERROR(__xludf.DUMMYFUNCTION("""COMPUTED_VALUE"""),"CSE461-07 (LAB)
CPTH,CSAB
10G-33L")</f>
        <v>CSE461-07 (LAB)
CPTH,CSAB
10G-33L</v>
      </c>
      <c r="D9" s="86" t="str">
        <f>IFERROR(__xludf.DUMMYFUNCTION("""COMPUTED_VALUE"""),"CSE421-05 (LAB)
CQAE,CPTH
09F-25L,CSE421-06 (LAB)
CQAE,CPTH
09F-25L")</f>
        <v>CSE421-05 (LAB)
CQAE,CPTH
09F-25L,CSE421-06 (LAB)
CQAE,CPTH
09F-25L</v>
      </c>
      <c r="E9" s="86" t="str">
        <f>IFERROR(__xludf.DUMMYFUNCTION("""COMPUTED_VALUE"""),"CSE421-05 (LAB)
CQAE,CPTH
09F-25L,CSE421-06 (LAB)
CQAE,CPTH
09F-25L")</f>
        <v>CSE421-05 (LAB)
CQAE,CPTH
09F-25L,CSE421-06 (LAB)
CQAE,CPTH
09F-25L</v>
      </c>
      <c r="F9" s="86" t="str">
        <f>IFERROR(__xludf.DUMMYFUNCTION("""COMPUTED_VALUE"""),"Consultation")</f>
        <v>Consultation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IFERROR(__xludf.DUMMYFUNCTION("""COMPUTED_VALUE"""),"Consultation")</f>
        <v>Consultation</v>
      </c>
      <c r="C10" s="90" t="str">
        <f>IFERROR(__xludf.DUMMYFUNCTION("""COMPUTED_VALUE"""),"Consultation")</f>
        <v>Consultation</v>
      </c>
      <c r="D10" s="90" t="str">
        <f>IFERROR(__xludf.DUMMYFUNCTION("""COMPUTED_VALUE"""),"CSE461-06 (LAB)
KHR,CPTH
10G-33L")</f>
        <v>CSE461-06 (LAB)
KHR,CPTH
10G-33L</v>
      </c>
      <c r="E10" s="90" t="str">
        <f>IFERROR(__xludf.DUMMYFUNCTION("""COMPUTED_VALUE"""),"CSE461-06 (LAB)
KHR,CPTH
10G-33L")</f>
        <v>CSE461-06 (LAB)
KHR,CPTH
10G-33L</v>
      </c>
      <c r="F10" s="90" t="str">
        <f>IFERROR(__xludf.DUMMYFUNCTION("""COMPUTED_VALUE"""),"CSE489-01 (LAB)
CPTH,ADR
FT11-04L")</f>
        <v>CSE489-01 (LAB)
CPTH,ADR
FT11-04L</v>
      </c>
      <c r="G10" s="90" t="str">
        <f>IFERROR(__xludf.DUMMYFUNCTION("""COMPUTED_VALUE"""),"CSE489-01 (LAB)
CPTH,ADR
FT11-04L")</f>
        <v>CSE489-01 (LAB)
CPTH,ADR
FT11-04L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IFERROR(__xludf.DUMMYFUNCTION("""COMPUTED_VALUE"""),"CSE330-09 (LAB)
CPTH,MZFZ
12D-27L")</f>
        <v>CSE330-09 (LAB)
CPTH,MZFZ
12D-27L</v>
      </c>
      <c r="C14" s="90" t="str">
        <f>IFERROR(__xludf.DUMMYFUNCTION("""COMPUTED_VALUE"""),"CSE330-09 (LAB)
CPTH,MZFZ
12D-27L")</f>
        <v>CSE330-09 (LAB)
CPTH,MZFZ
12D-27L</v>
      </c>
      <c r="D14" s="90" t="str">
        <f>IFERROR(__xludf.DUMMYFUNCTION("""COMPUTED_VALUE"""),"CSE421-26 (LAB)
CQAE,CPTH
09F-25L,CSE421-28 (LAB)
CQAE,CPTH
09F-25L")</f>
        <v>CSE421-26 (LAB)
CQAE,CPTH
09F-25L,CSE421-28 (LAB)
CQAE,CPTH
09F-25L</v>
      </c>
      <c r="E14" s="90" t="str">
        <f>IFERROR(__xludf.DUMMYFUNCTION("""COMPUTED_VALUE"""),"CSE421-26 (LAB)
CQAE,CPTH
09F-25L,CSE421-28 (LAB)
CQAE,CPTH
09F-25L")</f>
        <v>CSE421-26 (LAB)
CQAE,CPTH
09F-25L,CSE421-28 (LAB)
CQAE,CPTH
09F-25L</v>
      </c>
      <c r="F14" s="90" t="str">
        <f>IFERROR(__xludf.DUMMYFUNCTION("""COMPUTED_VALUE"""),"CSE421-11 (LAB)
CPTH,THR
09F-25L,CSE421-12 (LAB)
CPTH,THR
09F-25L")</f>
        <v>CSE421-11 (LAB)
CPTH,THR
09F-25L,CSE421-12 (LAB)
CPTH,THR
09F-25L</v>
      </c>
      <c r="G14" s="90" t="str">
        <f>IFERROR(__xludf.DUMMYFUNCTION("""COMPUTED_VALUE"""),"CSE421-11 (LAB)
CPTH,THR
09F-25L,CSE421-12 (LAB)
CPTH,THR
09F-25L")</f>
        <v>CSE421-11 (LAB)
CPTH,THR
09F-25L,CSE421-12 (LAB)
CPTH,THR
09F-25L</v>
      </c>
      <c r="H14" s="90" t="str">
        <f>IFERROR(__xludf.DUMMYFUNCTION("""COMPUTED_VALUE"""),"Consultation")</f>
        <v>Consultation</v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Qurratul Ayen Elma</v>
      </c>
      <c r="E4" s="57"/>
      <c r="F4" s="58" t="s">
        <v>1</v>
      </c>
      <c r="G4" s="59" t="s">
        <v>207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ext.qurratul.elma@bracu.ac.bd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IFERROR(__xludf.DUMMYFUNCTION("""COMPUTED_VALUE"""),"CSE101-06 (LAB)
SLAR,CQAE
FT11-03L")</f>
        <v>CSE101-06 (LAB)
SLAR,CQAE
FT11-03L</v>
      </c>
      <c r="C9" s="86" t="str">
        <f>IFERROR(__xludf.DUMMYFUNCTION("""COMPUTED_VALUE"""),"CSE101-06 (LAB)
SLAR,CQAE
FT11-03L")</f>
        <v>CSE101-06 (LAB)
SLAR,CQAE
FT11-03L</v>
      </c>
      <c r="D9" s="86" t="str">
        <f>IFERROR(__xludf.DUMMYFUNCTION("""COMPUTED_VALUE"""),"CSE421-05 (LAB)
CQAE,CPTH
09F-25L,CSE421-06 (LAB)
CQAE,CPTH
09F-25L")</f>
        <v>CSE421-05 (LAB)
CQAE,CPTH
09F-25L,CSE421-06 (LAB)
CQAE,CPTH
09F-25L</v>
      </c>
      <c r="E9" s="86" t="str">
        <f>IFERROR(__xludf.DUMMYFUNCTION("""COMPUTED_VALUE"""),"CSE421-05 (LAB)
CQAE,CPTH
09F-25L,CSE421-06 (LAB)
CQAE,CPTH
09F-25L")</f>
        <v>CSE421-05 (LAB)
CQAE,CPTH
09F-25L,CSE421-06 (LAB)
CQAE,CPTH
09F-25L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IFERROR(__xludf.DUMMYFUNCTION("""COMPUTED_VALUE"""),"Consultation")</f>
        <v>Consultation</v>
      </c>
      <c r="F11" s="90" t="str">
        <f>IFERROR(__xludf.DUMMYFUNCTION("""COMPUTED_VALUE"""),"CSE427-07 (LAB)
CQAE,CSAB
09F-26L")</f>
        <v>CSE427-07 (LAB)
CQAE,CSAB
09F-26L</v>
      </c>
      <c r="G11" s="90" t="str">
        <f>IFERROR(__xludf.DUMMYFUNCTION("""COMPUTED_VALUE"""),"CSE427-07 (LAB)
CQAE,CSAB
09F-26L")</f>
        <v>CSE427-07 (LAB)
CQAE,CSAB
09F-26L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IFERROR(__xludf.DUMMYFUNCTION("""COMPUTED_VALUE"""),"CSE427-09 (LAB)
RRH,CQAE
09B-11L")</f>
        <v>CSE427-09 (LAB)
RRH,CQAE
09B-11L</v>
      </c>
      <c r="C12" s="90" t="str">
        <f>IFERROR(__xludf.DUMMYFUNCTION("""COMPUTED_VALUE"""),"CSE427-09 (LAB)
RRH,CQAE
09B-11L")</f>
        <v>CSE427-09 (LAB)
RRH,CQAE
09B-11L</v>
      </c>
      <c r="D12" s="90" t="str">
        <f>IFERROR(__xludf.DUMMYFUNCTION("""COMPUTED_VALUE"""),"CSE427-10 (LAB)
CMHH,CQAE
09B-11L")</f>
        <v>CSE427-10 (LAB)
CMHH,CQAE
09B-11L</v>
      </c>
      <c r="E12" s="90" t="str">
        <f>IFERROR(__xludf.DUMMYFUNCTION("""COMPUTED_VALUE"""),"CSE427-10 (LAB)
CMHH,CQAE
09B-11L")</f>
        <v>CSE427-10 (LAB)
CMHH,CQAE
09B-11L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IFERROR(__xludf.DUMMYFUNCTION("""COMPUTED_VALUE"""),"CSE421-26 (LAB)
CQAE,CPTH
09F-25L,CSE421-28 (LAB)
CQAE,CPTH
09F-25L")</f>
        <v>CSE421-26 (LAB)
CQAE,CPTH
09F-25L,CSE421-28 (LAB)
CQAE,CPTH
09F-25L</v>
      </c>
      <c r="E14" s="90" t="str">
        <f>IFERROR(__xludf.DUMMYFUNCTION("""COMPUTED_VALUE"""),"CSE421-26 (LAB)
CQAE,CPTH
09F-25L,CSE421-28 (LAB)
CQAE,CPTH
09F-25L")</f>
        <v>CSE421-26 (LAB)
CQAE,CPTH
09F-25L,CSE421-28 (LAB)
CQAE,CPTH
09F-25L</v>
      </c>
      <c r="F14" s="90" t="str">
        <f>IFERROR(__xludf.DUMMYFUNCTION("""COMPUTED_VALUE"""),"CSE101-03 (LAB)
SLAR,CQAE
FT11-04L")</f>
        <v>CSE101-03 (LAB)
SLAR,CQAE
FT11-04L</v>
      </c>
      <c r="G14" s="90" t="str">
        <f>IFERROR(__xludf.DUMMYFUNCTION("""COMPUTED_VALUE"""),"CSE101-03 (LAB)
SLAR,CQAE
FT11-04L")</f>
        <v>CSE101-03 (LAB)
SLAR,CQAE
FT11-04L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Ruhan Habib</v>
      </c>
      <c r="E4" s="57"/>
      <c r="F4" s="58" t="s">
        <v>1</v>
      </c>
      <c r="G4" s="59" t="s">
        <v>208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ext.ruhan.habib@bracu.ac.bd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IFERROR(__xludf.DUMMYFUNCTION("""COMPUTED_VALUE"""),"CSE321-25 (LAB)
CNZR,CRHB
12D-26L")</f>
        <v>CSE321-25 (LAB)
CNZR,CRHB
12D-26L</v>
      </c>
      <c r="C9" s="86" t="str">
        <f>IFERROR(__xludf.DUMMYFUNCTION("""COMPUTED_VALUE"""),"CSE321-25 (LAB)
CNZR,CRHB
12D-26L")</f>
        <v>CSE321-25 (LAB)
CNZR,CRHB
12D-26L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IFERROR(__xludf.DUMMYFUNCTION("""COMPUTED_VALUE"""),"CSE321-04 (LAB)
CRHB,CNZR
12D-26L")</f>
        <v>CSE321-04 (LAB)
CRHB,CNZR
12D-26L</v>
      </c>
      <c r="G9" s="86" t="str">
        <f>IFERROR(__xludf.DUMMYFUNCTION("""COMPUTED_VALUE"""),"CSE321-04 (LAB)
CRHB,CNZR
12D-26L")</f>
        <v>CSE321-04 (LAB)
CRHB,CNZR
12D-26L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IFERROR(__xludf.DUMMYFUNCTION("""COMPUTED_VALUE"""),"CSE321-09 (LAB)
CRHB,CNZR
12D-27L")</f>
        <v>CSE321-09 (LAB)
CRHB,CNZR
12D-27L</v>
      </c>
      <c r="C10" s="90" t="str">
        <f>IFERROR(__xludf.DUMMYFUNCTION("""COMPUTED_VALUE"""),"CSE321-09 (LAB)
CRHB,CNZR
12D-27L")</f>
        <v>CSE321-09 (LAB)
CRHB,CNZR
12D-27L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IFERROR(__xludf.DUMMYFUNCTION("""COMPUTED_VALUE"""),"CSE221-15 (LAB)
ARD,CRHB
09E-21L")</f>
        <v>CSE221-15 (LAB)
ARD,CRHB
09E-21L</v>
      </c>
      <c r="G10" s="90" t="str">
        <f>IFERROR(__xludf.DUMMYFUNCTION("""COMPUTED_VALUE"""),"CSE221-15 (LAB)
ARD,CRHB
09E-21L")</f>
        <v>CSE221-15 (LAB)
ARD,CRHB
09E-21L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IFERROR(__xludf.DUMMYFUNCTION("""COMPUTED_VALUE"""),"CSE419-01 (LAB)
CRHB,KKP
FT11-03L")</f>
        <v>CSE419-01 (LAB)
CRHB,KKP
FT11-03L</v>
      </c>
      <c r="G11" s="90" t="str">
        <f>IFERROR(__xludf.DUMMYFUNCTION("""COMPUTED_VALUE"""),"CSE419-01 (LAB)
CRHB,KKP
FT11-03L")</f>
        <v>CSE419-01 (LAB)
CRHB,KKP
FT11-03L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IFERROR(__xludf.DUMMYFUNCTION("""COMPUTED_VALUE"""),"CSE111-07 (LAB)
AFA,CRHB
09B-11L")</f>
        <v>CSE111-07 (LAB)
AFA,CRHB
09B-11L</v>
      </c>
      <c r="G13" s="90" t="str">
        <f>IFERROR(__xludf.DUMMYFUNCTION("""COMPUTED_VALUE"""),"CSE111-07 (LAB)
AFA,CRHB
09B-11L")</f>
        <v>CSE111-07 (LAB)
AFA,CRHB
09B-11L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IFERROR(__xludf.DUMMYFUNCTION("""COMPUTED_VALUE"""),"CSE321-22 (LAB)
CRHB,SJM
10G-34L")</f>
        <v>CSE321-22 (LAB)
CRHB,SJM
10G-34L</v>
      </c>
      <c r="G14" s="90" t="str">
        <f>IFERROR(__xludf.DUMMYFUNCTION("""COMPUTED_VALUE"""),"CSE321-22 (LAB)
CRHB,SJM
10G-34L")</f>
        <v>CSE321-22 (LAB)
CRHB,SJM
10G-34L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email me the day before consultation.")</f>
        <v>**Please email me the day before consultation.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Shreya Adrita Banik</v>
      </c>
      <c r="E4" s="57"/>
      <c r="F4" s="58" t="s">
        <v>1</v>
      </c>
      <c r="G4" s="59" t="s">
        <v>209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ext.shreya.banik@bracu.ac.bd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IFERROR(__xludf.DUMMYFUNCTION("""COMPUTED_VALUE"""),"CSE461-07 (LAB)
CPTH,CSAB
10G-33L")</f>
        <v>CSE461-07 (LAB)
CPTH,CSAB
10G-33L</v>
      </c>
      <c r="C9" s="86" t="str">
        <f>IFERROR(__xludf.DUMMYFUNCTION("""COMPUTED_VALUE"""),"CSE461-07 (LAB)
CPTH,CSAB
10G-33L")</f>
        <v>CSE461-07 (LAB)
CPTH,CSAB
10G-33L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IFERROR(__xludf.DUMMYFUNCTION("""COMPUTED_VALUE"""),"CSE427-01 (LAB)
CSYR,CSAB
09F-27L,CSE427-01 (LAB)
CSYR,CSAB
09F-27L")</f>
        <v>CSE427-01 (LAB)
CSYR,CSAB
09F-27L,CSE427-01 (LAB)
CSYR,CSAB
09F-27L</v>
      </c>
      <c r="C11" s="90" t="str">
        <f>IFERROR(__xludf.DUMMYFUNCTION("""COMPUTED_VALUE"""),"CSE427-01 (LAB)
CSYR,CSAB
09F-27L,CSE427-01 (LAB)
CSYR,CSAB
09F-27L")</f>
        <v>CSE427-01 (LAB)
CSYR,CSAB
09F-27L,CSE427-01 (LAB)
CSYR,CSAB
09F-27L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IFERROR(__xludf.DUMMYFUNCTION("""COMPUTED_VALUE"""),"CSE427-07 (LAB)
CQAE,CSAB
09F-26L")</f>
        <v>CSE427-07 (LAB)
CQAE,CSAB
09F-26L</v>
      </c>
      <c r="G11" s="90" t="str">
        <f>IFERROR(__xludf.DUMMYFUNCTION("""COMPUTED_VALUE"""),"CSE427-07 (LAB)
CQAE,CSAB
09F-26L")</f>
        <v>CSE427-07 (LAB)
CQAE,CSAB
09F-26L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IFERROR(__xludf.DUMMYFUNCTION("""COMPUTED_VALUE"""),"CSE463-01 (LAB)
STNM,CSAB
12F-32L")</f>
        <v>CSE463-01 (LAB)
STNM,CSAB
12F-32L</v>
      </c>
      <c r="G12" s="90" t="str">
        <f>IFERROR(__xludf.DUMMYFUNCTION("""COMPUTED_VALUE"""),"CSE463-01 (LAB)
STNM,CSAB
12F-32L")</f>
        <v>CSE463-01 (LAB)
STNM,CSAB
12F-32L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IFERROR(__xludf.DUMMYFUNCTION("""COMPUTED_VALUE"""),"CSE110-15 (LAB)
CAKM,CSAB
09B-11L")</f>
        <v>CSE110-15 (LAB)
CAKM,CSAB
09B-11L</v>
      </c>
      <c r="C14" s="90" t="str">
        <f>IFERROR(__xludf.DUMMYFUNCTION("""COMPUTED_VALUE"""),"CSE110-15 (LAB)
CAKM,CSAB
09B-11L")</f>
        <v>CSE110-15 (LAB)
CAKM,CSAB
09B-11L</v>
      </c>
      <c r="D14" s="90" t="str">
        <f>IFERROR(__xludf.DUMMYFUNCTION("""COMPUTED_VALUE"""),"CSE461-04 (LAB)
UTKR,CSAB
10G-32L")</f>
        <v>CSE461-04 (LAB)
UTKR,CSAB
10G-32L</v>
      </c>
      <c r="E14" s="90" t="str">
        <f>IFERROR(__xludf.DUMMYFUNCTION("""COMPUTED_VALUE"""),"CSE461-04 (LAB)
UTKR,CSAB
10G-32L")</f>
        <v>CSE461-04 (LAB)
UTKR,CSAB
10G-32L</v>
      </c>
      <c r="F14" s="90" t="str">
        <f>IFERROR(__xludf.DUMMYFUNCTION("""COMPUTED_VALUE"""),"CSE110-12 (LAB)
CSAB,CAKM
09B-10L")</f>
        <v>CSE110-12 (LAB)
CSAB,CAKM
09B-10L</v>
      </c>
      <c r="G14" s="90" t="str">
        <f>IFERROR(__xludf.DUMMYFUNCTION("""COMPUTED_VALUE"""),"CSE110-12 (LAB)
CSAB,CAKM
09B-10L")</f>
        <v>CSE110-12 (LAB)
CSAB,CAKM
09B-10L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Sadman Sakib Alif</v>
      </c>
      <c r="E4" s="57"/>
      <c r="F4" s="58" t="s">
        <v>1</v>
      </c>
      <c r="G4" s="59" t="s">
        <v>210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ext.sadman.alif@bracu.ac.bd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IFERROR(__xludf.DUMMYFUNCTION("""COMPUTED_VALUE"""),"CSE321-05 (LAB)
CSSA,AHA
12D-27L")</f>
        <v>CSE321-05 (LAB)
CSSA,AHA
12D-27L</v>
      </c>
      <c r="C9" s="86" t="str">
        <f>IFERROR(__xludf.DUMMYFUNCTION("""COMPUTED_VALUE"""),"CSE321-05 (LAB)
CSSA,AHA
12D-27L")</f>
        <v>CSE321-05 (LAB)
CSSA,AHA
12D-27L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IFERROR(__xludf.DUMMYFUNCTION("""COMPUTED_VALUE"""),"CSE221-21 (LAB)
CSSA,FBAW
09B-11L")</f>
        <v>CSE221-21 (LAB)
CSSA,FBAW
09B-11L</v>
      </c>
      <c r="G9" s="86" t="str">
        <f>IFERROR(__xludf.DUMMYFUNCTION("""COMPUTED_VALUE"""),"CSE221-21 (LAB)
CSSA,FBAW
09B-11L")</f>
        <v>CSE221-21 (LAB)
CSSA,FBAW
09B-11L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IFERROR(__xludf.DUMMYFUNCTION("""COMPUTED_VALUE"""),"CSE428-04 (LAB)
AHA,CSSA
09F-26L")</f>
        <v>CSE428-04 (LAB)
AHA,CSSA
09F-26L</v>
      </c>
      <c r="C11" s="90" t="str">
        <f>IFERROR(__xludf.DUMMYFUNCTION("""COMPUTED_VALUE"""),"CSE428-04 (LAB)
AHA,CSSA
09F-26L")</f>
        <v>CSE428-04 (LAB)
AHA,CSSA
09F-26L</v>
      </c>
      <c r="D11" s="90" t="str">
        <f>IFERROR(__xludf.DUMMYFUNCTION("""COMPUTED_VALUE"""),"CSE321-27 (LAB)
CSSA,AHA
09E-22L")</f>
        <v>CSE321-27 (LAB)
CSSA,AHA
09E-22L</v>
      </c>
      <c r="E11" s="90" t="str">
        <f>IFERROR(__xludf.DUMMYFUNCTION("""COMPUTED_VALUE"""),"CSE321-27 (LAB)
CSSA,AHA
09E-22L")</f>
        <v>CSE321-27 (LAB)
CSSA,AHA
09E-22L</v>
      </c>
      <c r="F11" s="90" t="str">
        <f>IFERROR(__xludf.DUMMYFUNCTION("""COMPUTED_VALUE"""),"CSE220-20 (LAB)
SKIB,CSSA
09B-10L")</f>
        <v>CSE220-20 (LAB)
SKIB,CSSA
09B-10L</v>
      </c>
      <c r="G11" s="90" t="str">
        <f>IFERROR(__xludf.DUMMYFUNCTION("""COMPUTED_VALUE"""),"CSE220-20 (LAB)
SKIB,CSSA
09B-10L")</f>
        <v>CSE220-20 (LAB)
SKIB,CSSA
09B-10L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IFERROR(__xludf.DUMMYFUNCTION("""COMPUTED_VALUE"""),6.0)</f>
        <v>6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IFERROR(__xludf.DUMMYFUNCTION("""COMPUTED_VALUE"""),"CSE111-13 (LAB)
ATY,CSSA
09E-21L")</f>
        <v>CSE111-13 (LAB)
ATY,CSSA
09E-21L</v>
      </c>
      <c r="G13" s="90" t="str">
        <f>IFERROR(__xludf.DUMMYFUNCTION("""COMPUTED_VALUE"""),"CSE111-13 (LAB)
ATY,CSSA
09E-21L")</f>
        <v>CSE111-13 (LAB)
ATY,CSSA
09E-21L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IFERROR(__xludf.DUMMYFUNCTION("""COMPUTED_VALUE"""),"CSE422-15 (LAB)
ANV,CSSA
09F-26L")</f>
        <v>CSE422-15 (LAB)
ANV,CSSA
09F-26L</v>
      </c>
      <c r="G14" s="90" t="str">
        <f>IFERROR(__xludf.DUMMYFUNCTION("""COMPUTED_VALUE"""),"CSE422-15 (LAB)
ANV,CSSA
09F-26L")</f>
        <v>CSE422-15 (LAB)
ANV,CSSA
09F-26L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Shamsur Shafi Nur E Aziz</v>
      </c>
      <c r="E4" s="57"/>
      <c r="F4" s="58" t="s">
        <v>1</v>
      </c>
      <c r="G4" s="59" t="s">
        <v>211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ext.shamsur.aziz@bracu.ac.bd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IFERROR(__xludf.DUMMYFUNCTION("""COMPUTED_VALUE"""),"CSE471-05 (LAB)
CSSN,AJK
09E-22L")</f>
        <v>CSE471-05 (LAB)
CSSN,AJK
09E-22L</v>
      </c>
      <c r="E9" s="86" t="str">
        <f>IFERROR(__xludf.DUMMYFUNCTION("""COMPUTED_VALUE"""),"CSE471-05 (LAB)
CSSN,AJK
09E-22L")</f>
        <v>CSE471-05 (LAB)
CSSN,AJK
09E-22L</v>
      </c>
      <c r="F9" s="86" t="str">
        <f>IFERROR(__xludf.DUMMYFUNCTION("""COMPUTED_VALUE"""),"CSE471-10 (LAB)
ART,CSSN
09E-22L")</f>
        <v>CSE471-10 (LAB)
ART,CSSN
09E-22L</v>
      </c>
      <c r="G9" s="86" t="str">
        <f>IFERROR(__xludf.DUMMYFUNCTION("""COMPUTED_VALUE"""),"CSE471-10 (LAB)
ART,CSSN
09E-22L")</f>
        <v>CSE471-10 (LAB)
ART,CSSN
09E-22L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IFERROR(__xludf.DUMMYFUNCTION("""COMPUTED_VALUE"""),"CSE220-10 (LAB)
CSSN,AJK
09B-08L")</f>
        <v>CSE220-10 (LAB)
CSSN,AJK
09B-08L</v>
      </c>
      <c r="G10" s="90" t="str">
        <f>IFERROR(__xludf.DUMMYFUNCTION("""COMPUTED_VALUE"""),"CSE220-10 (LAB)
CSSN,AJK
09B-08L")</f>
        <v>CSE220-10 (LAB)
CSSN,AJK
09B-08L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IFERROR(__xludf.DUMMYFUNCTION("""COMPUTED_VALUE"""),"CSE260-18A (LAB)
CNZR,CSSN
FT10-02L")</f>
        <v>CSE260-18A (LAB)
CNZR,CSSN
FT10-02L</v>
      </c>
      <c r="C11" s="90" t="str">
        <f>IFERROR(__xludf.DUMMYFUNCTION("""COMPUTED_VALUE"""),"CSE260-18A (LAB)
CNZR,CSSN
FT10-02L")</f>
        <v>CSE260-18A (LAB)
CNZR,CSSN
FT10-02L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IFERROR(__xludf.DUMMYFUNCTION("""COMPUTED_VALUE"""),"CSE471-12 (LAB)
CSSN,AWK
12F-30L")</f>
        <v>CSE471-12 (LAB)
CSSN,AWK
12F-30L</v>
      </c>
      <c r="G11" s="90" t="str">
        <f>IFERROR(__xludf.DUMMYFUNCTION("""COMPUTED_VALUE"""),"CSE471-12 (LAB)
CSSN,AWK
12F-30L")</f>
        <v>CSE471-12 (LAB)
CSSN,AWK
12F-30L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IFERROR(__xludf.DUMMYFUNCTION("""COMPUTED_VALUE"""),"CSE260-21B (LAB)
CSSN,AHA
FT10-03L")</f>
        <v>CSE260-21B (LAB)
CSSN,AHA
FT10-03L</v>
      </c>
      <c r="E12" s="90" t="str">
        <f>IFERROR(__xludf.DUMMYFUNCTION("""COMPUTED_VALUE"""),"CSE260-21B (LAB)
CSSN,AHA
FT10-03L")</f>
        <v>CSE260-21B (LAB)
CSSN,AHA
FT10-03L</v>
      </c>
      <c r="F12" s="90" t="str">
        <f>IFERROR(__xludf.DUMMYFUNCTION("""COMPUTED_VALUE"""),"CSE260-13B (LAB)
CSSN,LMI
FT10-03L")</f>
        <v>CSE260-13B (LAB)
CSSN,LMI
FT10-03L</v>
      </c>
      <c r="G12" s="90" t="str">
        <f>IFERROR(__xludf.DUMMYFUNCTION("""COMPUTED_VALUE"""),"CSE260-13B (LAB)
CSSN,LMI
FT10-03L")</f>
        <v>CSE260-13B (LAB)
CSSN,LMI
FT10-03L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Sayeedur Rahman</v>
      </c>
      <c r="E4" s="57"/>
      <c r="F4" s="58" t="s">
        <v>1</v>
      </c>
      <c r="G4" s="59" t="s">
        <v>212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ext.sayeedur.rahman@bracu.ac.bd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IFERROR(__xludf.DUMMYFUNCTION("""COMPUTED_VALUE"""),"CSE370-04 (LAB)
MAHS,CSYR
12F-30L")</f>
        <v>CSE370-04 (LAB)
MAHS,CSYR
12F-30L</v>
      </c>
      <c r="C9" s="86" t="str">
        <f>IFERROR(__xludf.DUMMYFUNCTION("""COMPUTED_VALUE"""),"CSE370-04 (LAB)
MAHS,CSYR
12F-30L")</f>
        <v>CSE370-04 (LAB)
MAHS,CSYR
12F-30L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IFERROR(__xludf.DUMMYFUNCTION("""COMPUTED_VALUE"""),"CSE221-16 (LAB)
ANWE,CSYR
09B-10L")</f>
        <v>CSE221-16 (LAB)
ANWE,CSYR
09B-10L</v>
      </c>
      <c r="G9" s="86" t="str">
        <f>IFERROR(__xludf.DUMMYFUNCTION("""COMPUTED_VALUE"""),"CSE221-16 (LAB)
ANWE,CSYR
09B-10L")</f>
        <v>CSE221-16 (LAB)
ANWE,CSYR
09B-10L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IFERROR(__xludf.DUMMYFUNCTION("""COMPUTED_VALUE"""),"CSE427-01 (LAB)
CSYR,CSAB
09F-27L,CSE427-01 (LAB)
CSYR,CSAB
09F-27L")</f>
        <v>CSE427-01 (LAB)
CSYR,CSAB
09F-27L,CSE427-01 (LAB)
CSYR,CSAB
09F-27L</v>
      </c>
      <c r="C11" s="90" t="str">
        <f>IFERROR(__xludf.DUMMYFUNCTION("""COMPUTED_VALUE"""),"CSE427-01 (LAB)
CSYR,CSAB
09F-27L,CSE427-01 (LAB)
CSYR,CSAB
09F-27L")</f>
        <v>CSE427-01 (LAB)
CSYR,CSAB
09F-27L,CSE427-01 (LAB)
CSYR,CSAB
09F-27L</v>
      </c>
      <c r="D11" s="90" t="str">
        <f>IFERROR(__xludf.DUMMYFUNCTION("""COMPUTED_VALUE"""),"CSE427-04 (LAB)
CSYR,IRZ
09F-26L")</f>
        <v>CSE427-04 (LAB)
CSYR,IRZ
09F-26L</v>
      </c>
      <c r="E11" s="90" t="str">
        <f>IFERROR(__xludf.DUMMYFUNCTION("""COMPUTED_VALUE"""),"CSE427-04 (LAB)
CSYR,IRZ
09F-26L")</f>
        <v>CSE427-04 (LAB)
CSYR,IRZ
09F-26L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IFERROR(__xludf.DUMMYFUNCTION("""COMPUTED_VALUE"""),"CSE471-08 (LAB)
WHMJ,CSYR
12F-32L")</f>
        <v>CSE471-08 (LAB)
WHMJ,CSYR
12F-32L</v>
      </c>
      <c r="C13" s="90" t="str">
        <f>IFERROR(__xludf.DUMMYFUNCTION("""COMPUTED_VALUE"""),"CSE471-08 (LAB)
WHMJ,CSYR
12F-32L")</f>
        <v>CSE471-08 (LAB)
WHMJ,CSYR
12F-32L</v>
      </c>
      <c r="D13" s="90" t="str">
        <f>IFERROR(__xludf.DUMMYFUNCTION("""COMPUTED_VALUE"""),"CSE471-03 (LAB)
WHMJ,CSYR
12F-32L")</f>
        <v>CSE471-03 (LAB)
WHMJ,CSYR
12F-32L</v>
      </c>
      <c r="E13" s="90" t="str">
        <f>IFERROR(__xludf.DUMMYFUNCTION("""COMPUTED_VALUE"""),"CSE471-03 (LAB)
WHMJ,CSYR
12F-32L")</f>
        <v>CSE471-03 (LAB)
WHMJ,CSYR
12F-32L</v>
      </c>
      <c r="F13" s="90" t="str">
        <f>IFERROR(__xludf.DUMMYFUNCTION("""COMPUTED_VALUE"""),"")</f>
        <v/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IFERROR(__xludf.DUMMYFUNCTION("""COMPUTED_VALUE"""),"CSE370-18 (LAB)
CSYR,NQM
10E-27L")</f>
        <v>CSE370-18 (LAB)
CSYR,NQM
10E-27L</v>
      </c>
      <c r="G14" s="90" t="str">
        <f>IFERROR(__xludf.DUMMYFUNCTION("""COMPUTED_VALUE"""),"CSE370-18 (LAB)
CSYR,NQM
10E-27L")</f>
        <v>CSE370-18 (LAB)
CSYR,NQM
10E-27L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Dibyo Fabian Dofadar</v>
      </c>
      <c r="E4" s="57"/>
      <c r="F4" s="58" t="s">
        <v>1</v>
      </c>
      <c r="G4" s="59" t="s">
        <v>53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fabian.dofadar@bracu.ac.bd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IFERROR(__xludf.DUMMYFUNCTION("""COMPUTED_VALUE"""),"Consultation")</f>
        <v>Consultation</v>
      </c>
      <c r="E9" s="86" t="str">
        <f>IFERROR(__xludf.DUMMYFUNCTION("""COMPUTED_VALUE"""),"CSE427-01
CSE427-02
CSE427-03
CSE427-04
09C-16T")</f>
        <v>CSE427-01
CSE427-02
CSE427-03
CSE427-04
09C-16T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IFERROR(__xludf.DUMMYFUNCTION("""COMPUTED_VALUE"""),"Consultation")</f>
        <v>Consultation</v>
      </c>
      <c r="F11" s="90" t="str">
        <f>IFERROR(__xludf.DUMMYFUNCTION("""COMPUTED_VALUE"""),"CSE427-08 (LAB)
DFD,QUZA
09F-27L")</f>
        <v>CSE427-08 (LAB)
DFD,QUZA
09F-27L</v>
      </c>
      <c r="G11" s="90" t="str">
        <f>IFERROR(__xludf.DUMMYFUNCTION("""COMPUTED_VALUE"""),"CSE427-08 (LAB)
DFD,QUZA
09F-27L")</f>
        <v>CSE427-08 (LAB)
DFD,QUZA
09F-27L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IFERROR(__xludf.DUMMYFUNCTION("""COMPUTED_VALUE"""),"Consultation")</f>
        <v>Consultation</v>
      </c>
      <c r="F12" s="90" t="str">
        <f>IFERROR(__xludf.DUMMYFUNCTION("""COMPUTED_VALUE"""),"CSE427-06 (LAB)
DFD,TWK
09F-27L")</f>
        <v>CSE427-06 (LAB)
DFD,TWK
09F-27L</v>
      </c>
      <c r="G12" s="90" t="str">
        <f>IFERROR(__xludf.DUMMYFUNCTION("""COMPUTED_VALUE"""),"CSE427-06 (LAB)
DFD,TWK
09F-27L")</f>
        <v>CSE427-06 (LAB)
DFD,TWK
09F-27L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IFERROR(__xludf.DUMMYFUNCTION("""COMPUTED_VALUE"""),"CSE427-01
CSE427-02
CSE427-03
CSE427-04
09C-16T")</f>
        <v>CSE427-01
CSE427-02
CSE427-03
CSE427-04
09C-16T</v>
      </c>
      <c r="F14" s="90" t="str">
        <f>IFERROR(__xludf.DUMMYFUNCTION("""COMPUTED_VALUE"""),"CSE110-11 (LAB)
WLV,DFD
09B-09L")</f>
        <v>CSE110-11 (LAB)
WLV,DFD
09B-09L</v>
      </c>
      <c r="G14" s="90" t="str">
        <f>IFERROR(__xludf.DUMMYFUNCTION("""COMPUTED_VALUE"""),"CSE110-11 (LAB)
WLV,DFD
09B-09L")</f>
        <v>CSE110-11 (LAB)
WLV,DFD
09B-09L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Dipika Rani Nath</v>
      </c>
      <c r="E4" s="57"/>
      <c r="F4" s="58" t="s">
        <v>1</v>
      </c>
      <c r="G4" s="59" t="s">
        <v>213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ext.dipika.rani@bracu.ac.bd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IFERROR(__xludf.DUMMYFUNCTION("""COMPUTED_VALUE"""),"CSE460-12
10B-17C")</f>
        <v>CSE460-12
10B-17C</v>
      </c>
      <c r="D9" s="86" t="str">
        <f>IFERROR(__xludf.DUMMYFUNCTION("""COMPUTED_VALUE"""),"CSE460-08 (LAB)
AKJ,DPRN
09E-21L")</f>
        <v>CSE460-08 (LAB)
AKJ,DPRN
09E-21L</v>
      </c>
      <c r="E9" s="86" t="str">
        <f>IFERROR(__xludf.DUMMYFUNCTION("""COMPUTED_VALUE"""),"CSE460-08 (LAB)
AKJ,DPRN
09E-21L")</f>
        <v>CSE460-08 (LAB)
AKJ,DPRN
09E-21L</v>
      </c>
      <c r="F9" s="86" t="str">
        <f>IFERROR(__xludf.DUMMYFUNCTION("""COMPUTED_VALUE"""),"CSE460-11
09A-01C")</f>
        <v>CSE460-11
09A-01C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IFERROR(__xludf.DUMMYFUNCTION("""COMPUTED_VALUE"""),"CSE460-12 (LAB)
DPRN,SDL
09E-21L")</f>
        <v>CSE460-12 (LAB)
DPRN,SDL
09E-21L</v>
      </c>
      <c r="G11" s="90" t="str">
        <f>IFERROR(__xludf.DUMMYFUNCTION("""COMPUTED_VALUE"""),"CSE460-12 (LAB)
DPRN,SDL
09E-21L")</f>
        <v>CSE460-12 (LAB)
DPRN,SDL
09E-21L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IFERROR(__xludf.DUMMYFUNCTION("""COMPUTED_VALUE"""),"CSE460-12
10B-17C")</f>
        <v>CSE460-12
10B-17C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IFERROR(__xludf.DUMMYFUNCTION("""COMPUTED_VALUE"""),"CSE460-11
09A-01C")</f>
        <v>CSE460-11
09A-01C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Shoaib Ahmed Dipu</v>
      </c>
      <c r="E4" s="57"/>
      <c r="F4" s="58" t="s">
        <v>1</v>
      </c>
      <c r="G4" s="59" t="s">
        <v>54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shoaib.ahmed@bracu.ac.bd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IFERROR(__xludf.DUMMYFUNCTION("""COMPUTED_VALUE"""),"CSE221-08
09A-06C")</f>
        <v>CSE221-08
09A-06C</v>
      </c>
      <c r="C10" s="90" t="str">
        <f>IFERROR(__xludf.DUMMYFUNCTION("""COMPUTED_VALUE"""),"Consultation")</f>
        <v>Consultation</v>
      </c>
      <c r="D10" s="90" t="str">
        <f>IFERROR(__xludf.DUMMYFUNCTION("""COMPUTED_VALUE"""),"CSE422-18 (LAB)
DPU,NDT
10G-32L")</f>
        <v>CSE422-18 (LAB)
DPU,NDT
10G-32L</v>
      </c>
      <c r="E10" s="90" t="str">
        <f>IFERROR(__xludf.DUMMYFUNCTION("""COMPUTED_VALUE"""),"CSE422-18 (LAB)
DPU,NDT
10G-32L")</f>
        <v>CSE422-18 (LAB)
DPU,NDT
10G-32L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IFERROR(__xludf.DUMMYFUNCTION("""COMPUTED_VALUE"""),"CSE425-04
CSE425-05
CSE425-06
09E-20T")</f>
        <v>CSE425-04
CSE425-05
CSE425-06
09E-20T</v>
      </c>
      <c r="C11" s="90" t="str">
        <f>IFERROR(__xludf.DUMMYFUNCTION("""COMPUTED_VALUE"""),"Consultation")</f>
        <v>Consultation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IFERROR(__xludf.DUMMYFUNCTION("""COMPUTED_VALUE"""),"CSE221-08
09A-06C")</f>
        <v>CSE221-08
09A-06C</v>
      </c>
      <c r="C12" s="90" t="str">
        <f>IFERROR(__xludf.DUMMYFUNCTION("""COMPUTED_VALUE"""),"Consultation")</f>
        <v>Consultation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IFERROR(__xludf.DUMMYFUNCTION("""COMPUTED_VALUE"""),"CSE425-04
CSE425-05
CSE425-06
09E-20T")</f>
        <v>CSE425-04
CSE425-05
CSE425-06
09E-20T</v>
      </c>
      <c r="C13" s="90" t="str">
        <f>IFERROR(__xludf.DUMMYFUNCTION("""COMPUTED_VALUE"""),"Consultation")</f>
        <v>Consultation</v>
      </c>
      <c r="D13" s="90" t="str">
        <f>IFERROR(__xludf.DUMMYFUNCTION("""COMPUTED_VALUE"""),"CSE422-04 (LAB)
DPU,SWG
09F-26L")</f>
        <v>CSE422-04 (LAB)
DPU,SWG
09F-26L</v>
      </c>
      <c r="E13" s="90" t="str">
        <f>IFERROR(__xludf.DUMMYFUNCTION("""COMPUTED_VALUE"""),"CSE422-04 (LAB)
DPU,SWG
09F-26L")</f>
        <v>CSE422-04 (LAB)
DPU,SWG
09F-26L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IFERROR(__xludf.DUMMYFUNCTION("""COMPUTED_VALUE"""),"Thesis (UG)")</f>
        <v>Thesis (UG)</v>
      </c>
      <c r="E14" s="90" t="str">
        <f>IFERROR(__xludf.DUMMYFUNCTION("""COMPUTED_VALUE"""),"Thesis (UG)")</f>
        <v>Thesis (UG)</v>
      </c>
      <c r="F14" s="90" t="str">
        <f>IFERROR(__xludf.DUMMYFUNCTION("""COMPUTED_VALUE"""),"Thesis (UG)")</f>
        <v>Thesis (UG)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contact via Slack / Discord / Email to confirm consultation appointments in other slots. 							")</f>
        <v>**Please contact via Slack / Discord / Email to confirm consultation appointments in other slots. 							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Dewan Ziaul Karim</v>
      </c>
      <c r="E4" s="57"/>
      <c r="F4" s="58" t="s">
        <v>1</v>
      </c>
      <c r="G4" s="59" t="s">
        <v>55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ziaul.karim@bracu.ac.bd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IFERROR(__xludf.DUMMYFUNCTION("""COMPUTED_VALUE"""),"CSE260-22A
09A-04C,CSE260-22B
09A-04C")</f>
        <v>CSE260-22A
09A-04C,CSE260-22B
09A-04C</v>
      </c>
      <c r="E10" s="90" t="str">
        <f>IFERROR(__xludf.DUMMYFUNCTION("""COMPUTED_VALUE"""),"CSE260-01A
09E-20T,CSE260-01B
09E-20T,CSE260-02A
09E-20T,CSE260-02B
09E-20T,CSE260-03A
09E-20T,CSE260-03B
09E-20T")</f>
        <v>CSE260-01A
09E-20T,CSE260-01B
09E-20T,CSE260-02A
09E-20T,CSE260-02B
09E-20T,CSE260-03A
09E-20T,CSE260-03B
09E-20T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IFERROR(__xludf.DUMMYFUNCTION("""COMPUTED_VALUE"""),"CSE260-22A
09A-04C,CSE260-22B
09A-04C")</f>
        <v>CSE260-22A
09A-04C,CSE260-22B
09A-04C</v>
      </c>
      <c r="E12" s="90" t="str">
        <f>IFERROR(__xludf.DUMMYFUNCTION("""COMPUTED_VALUE"""),"CSE260-01A
09E-20T,CSE260-01B
09E-20T,CSE260-02A
09E-20T,CSE260-02B
09E-20T,CSE260-03A
09E-20T,CSE260-03B
09E-20T")</f>
        <v>CSE260-01A
09E-20T,CSE260-01B
09E-20T,CSE260-02A
09E-20T,CSE260-02B
09E-20T,CSE260-03A
09E-20T,CSE260-03B
09E-20T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IFERROR(__xludf.DUMMYFUNCTION("""COMPUTED_VALUE"""),"CSE260-01A (LAB)
DZK,ADD
FT10-04L")</f>
        <v>CSE260-01A (LAB)
DZK,ADD
FT10-04L</v>
      </c>
      <c r="C14" s="90" t="str">
        <f>IFERROR(__xludf.DUMMYFUNCTION("""COMPUTED_VALUE"""),"CSE260-01A (LAB)
DZK,ADD
FT10-04L")</f>
        <v>CSE260-01A (LAB)
DZK,ADD
FT10-04L</v>
      </c>
      <c r="D14" s="90" t="str">
        <f>IFERROR(__xludf.DUMMYFUNCTION("""COMPUTED_VALUE"""),"CSE260-02B (LAB)
DZK,PBK
FT10-04L")</f>
        <v>CSE260-02B (LAB)
DZK,PBK
FT10-04L</v>
      </c>
      <c r="E14" s="90" t="str">
        <f>IFERROR(__xludf.DUMMYFUNCTION("""COMPUTED_VALUE"""),"CSE260-02B (LAB)
DZK,PBK
FT10-04L")</f>
        <v>CSE260-02B (LAB)
DZK,PBK
FT10-04L</v>
      </c>
      <c r="F14" s="90" t="str">
        <f>IFERROR(__xludf.DUMMYFUNCTION("""COMPUTED_VALUE"""),"CSE260-05A (LAB)
DZK,LMI
FT10-03L")</f>
        <v>CSE260-05A (LAB)
DZK,LMI
FT10-03L</v>
      </c>
      <c r="G14" s="90" t="str">
        <f>IFERROR(__xludf.DUMMYFUNCTION("""COMPUTED_VALUE"""),"CSE260-05A (LAB)
DZK,LMI
FT10-03L")</f>
        <v>CSE260-05A (LAB)
DZK,LMI
FT10-03L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Ehtashamul Haque</v>
      </c>
      <c r="E4" s="57"/>
      <c r="F4" s="58" t="s">
        <v>1</v>
      </c>
      <c r="G4" s="59" t="s">
        <v>56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ehtashamul.haque@bracu.ac.bd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IFERROR(__xludf.DUMMYFUNCTION("""COMPUTED_VALUE"""),"CSE428-04
09A-04C")</f>
        <v>CSE428-04
09A-04C</v>
      </c>
      <c r="F10" s="90" t="str">
        <f>IFERROR(__xludf.DUMMYFUNCTION("""COMPUTED_VALUE"""),"Consultation")</f>
        <v>Consultation</v>
      </c>
      <c r="G10" s="90" t="str">
        <f>IFERROR(__xludf.DUMMYFUNCTION("""COMPUTED_VALUE"""),"CSE430-01
10B-16C")</f>
        <v>CSE430-01
10B-16C</v>
      </c>
      <c r="H10" s="90" t="str">
        <f>IFERROR(__xludf.DUMMYFUNCTION("""COMPUTED_VALUE"""),"Consultation")</f>
        <v>Consultation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IFERROR(__xludf.DUMMYFUNCTION("""COMPUTED_VALUE"""),"CSE428-02 (LAB)
EHQ,UTS
10G-32L")</f>
        <v>CSE428-02 (LAB)
EHQ,UTS
10G-32L</v>
      </c>
      <c r="E11" s="90" t="str">
        <f>IFERROR(__xludf.DUMMYFUNCTION("""COMPUTED_VALUE"""),"CSE428-02 (LAB)
EHQ,UTS
10G-32L")</f>
        <v>CSE428-02 (LAB)
EHQ,UTS
10G-32L</v>
      </c>
      <c r="F11" s="90" t="str">
        <f>IFERROR(__xludf.DUMMYFUNCTION("""COMPUTED_VALUE"""),"CSE430-01 (LAB)
EHQ,TAV
12D-26L")</f>
        <v>CSE430-01 (LAB)
EHQ,TAV
12D-26L</v>
      </c>
      <c r="G11" s="90" t="str">
        <f>IFERROR(__xludf.DUMMYFUNCTION("""COMPUTED_VALUE"""),"CSE430-01 (LAB)
EHQ,TAV
12D-26L")</f>
        <v>CSE430-01 (LAB)
EHQ,TAV
12D-26L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IFERROR(__xludf.DUMMYFUNCTION("""COMPUTED_VALUE"""),"CSE428-04
09A-04C")</f>
        <v>CSE428-04
09A-04C</v>
      </c>
      <c r="F12" s="90" t="str">
        <f>IFERROR(__xludf.DUMMYFUNCTION("""COMPUTED_VALUE"""),"Consultation")</f>
        <v>Consultation</v>
      </c>
      <c r="G12" s="90" t="str">
        <f>IFERROR(__xludf.DUMMYFUNCTION("""COMPUTED_VALUE"""),"CSE430-01
10B-16C")</f>
        <v>CSE430-01
10B-16C</v>
      </c>
      <c r="H12" s="90" t="str">
        <f>IFERROR(__xludf.DUMMYFUNCTION("""COMPUTED_VALUE"""),"Consultation")</f>
        <v>Consultation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Ahmad Farhan Shahriar Chowdhury</v>
      </c>
      <c r="E4" s="57"/>
      <c r="F4" s="58" t="s">
        <v>1</v>
      </c>
      <c r="G4" s="59" t="s">
        <v>57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farhan.shahriar@bracu.ac.bd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IFERROR(__xludf.DUMMYFUNCTION("""COMPUTED_VALUE"""),"CSE427-07
09A-04C")</f>
        <v>CSE427-07
09A-04C</v>
      </c>
      <c r="C10" s="90" t="str">
        <f>IFERROR(__xludf.DUMMYFUNCTION("""COMPUTED_VALUE"""),"CSE230-14
09A-04C")</f>
        <v>CSE230-14
09A-04C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IFERROR(__xludf.DUMMYFUNCTION("""COMPUTED_VALUE"""),"CSE340-21
09B-12C")</f>
        <v>CSE340-21
09B-12C</v>
      </c>
      <c r="C11" s="90" t="str">
        <f>IFERROR(__xludf.DUMMYFUNCTION("""COMPUTED_VALUE"""),"CSE340-22
09B-12C")</f>
        <v>CSE340-22
09B-12C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IFERROR(__xludf.DUMMYFUNCTION("""COMPUTED_VALUE"""),"CSE427-07
09A-04C")</f>
        <v>CSE427-07
09A-04C</v>
      </c>
      <c r="C12" s="90" t="str">
        <f>IFERROR(__xludf.DUMMYFUNCTION("""COMPUTED_VALUE"""),"CSE230-14
09A-04C")</f>
        <v>CSE230-14
09A-04C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IFERROR(__xludf.DUMMYFUNCTION("""COMPUTED_VALUE"""),"CSE340-21
09B-12C")</f>
        <v>CSE340-21
09B-12C</v>
      </c>
      <c r="C13" s="90" t="str">
        <f>IFERROR(__xludf.DUMMYFUNCTION("""COMPUTED_VALUE"""),"CSE340-22
09B-12C")</f>
        <v>CSE340-22
09B-12C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IFERROR(__xludf.DUMMYFUNCTION("""COMPUTED_VALUE"""),"**If you want to visit during consultation hours, you have to inform me BEFORE 11 AM. This is mandatory.")</f>
        <v>**If you want to visit during consultation hours, you have to inform me BEFORE 11 AM. This is mandatory.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Faria Binta Awal</v>
      </c>
      <c r="E4" s="57"/>
      <c r="F4" s="58" t="s">
        <v>1</v>
      </c>
      <c r="G4" s="59" t="s">
        <v>58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faria.awal@bracu.ac.bd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IFERROR(__xludf.DUMMYFUNCTION("""COMPUTED_VALUE"""),"CSE221-22
09D-17C")</f>
        <v>CSE221-22
09D-17C</v>
      </c>
      <c r="E9" s="86" t="str">
        <f>IFERROR(__xludf.DUMMYFUNCTION("""COMPUTED_VALUE"""),"Consultation")</f>
        <v>Consultation</v>
      </c>
      <c r="F9" s="86" t="str">
        <f>IFERROR(__xludf.DUMMYFUNCTION("""COMPUTED_VALUE"""),"CSE221-21 (LAB)
CSSA,FBAW
09B-11L")</f>
        <v>CSE221-21 (LAB)
CSSA,FBAW
09B-11L</v>
      </c>
      <c r="G9" s="86" t="str">
        <f>IFERROR(__xludf.DUMMYFUNCTION("""COMPUTED_VALUE"""),"CSE221-21 (LAB)
CSSA,FBAW
09B-11L")</f>
        <v>CSE221-21 (LAB)
CSSA,FBAW
09B-11L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IFERROR(__xludf.DUMMYFUNCTION("""COMPUTED_VALUE"""),"CSE221-23 (LAB)
FBAW,SJM
09F-24L")</f>
        <v>CSE221-23 (LAB)
FBAW,SJM
09F-24L</v>
      </c>
      <c r="C10" s="90" t="str">
        <f>IFERROR(__xludf.DUMMYFUNCTION("""COMPUTED_VALUE"""),"CSE221-23 (LAB)
FBAW,SJM
09F-24L")</f>
        <v>CSE221-23 (LAB)
FBAW,SJM
09F-24L</v>
      </c>
      <c r="D10" s="90" t="str">
        <f>IFERROR(__xludf.DUMMYFUNCTION("""COMPUTED_VALUE"""),"CSE221-20
10B-15C")</f>
        <v>CSE221-20
10B-15C</v>
      </c>
      <c r="E10" s="90" t="str">
        <f>IFERROR(__xludf.DUMMYFUNCTION("""COMPUTED_VALUE"""),"CSE221-21
10B-15C")</f>
        <v>CSE221-21
10B-15C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IFERROR(__xludf.DUMMYFUNCTION("""COMPUTED_VALUE"""),"CSE221-20
10B-15C")</f>
        <v>CSE221-20
10B-15C</v>
      </c>
      <c r="E12" s="90" t="str">
        <f>IFERROR(__xludf.DUMMYFUNCTION("""COMPUTED_VALUE"""),"CSE221-21
10B-15C")</f>
        <v>CSE221-21
10B-15C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IFERROR(__xludf.DUMMYFUNCTION("""COMPUTED_VALUE"""),"CSE221-22
09D-17C")</f>
        <v>CSE221-22
09D-17C</v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IFERROR(__xludf.DUMMYFUNCTION("""COMPUTED_VALUE"""),"Please send me an email to get an appointment before coming to consultation")</f>
        <v>Please send me an email to get an appointment before coming to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Farida Chowdhury</v>
      </c>
      <c r="E4" s="57"/>
      <c r="F4" s="58" t="s">
        <v>1</v>
      </c>
      <c r="G4" s="59" t="s">
        <v>59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farida.chowdhury@bracu.ac.bd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IFERROR(__xludf.DUMMYFUNCTION("""COMPUTED_VALUE"""),"CSE421-03
10B-16C")</f>
        <v>CSE421-03
10B-16C</v>
      </c>
      <c r="E11" s="90" t="str">
        <f>IFERROR(__xludf.DUMMYFUNCTION("""COMPUTED_VALUE"""),"")</f>
        <v/>
      </c>
      <c r="F11" s="90" t="str">
        <f>IFERROR(__xludf.DUMMYFUNCTION("""COMPUTED_VALUE"""),"CSE472-01
10B-16C")</f>
        <v>CSE472-01
10B-16C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IFERROR(__xludf.DUMMYFUNCTION("""COMPUTED_VALUE"""),"CSE421-03
10B-16C")</f>
        <v>CSE421-03
10B-16C</v>
      </c>
      <c r="E13" s="90" t="str">
        <f>IFERROR(__xludf.DUMMYFUNCTION("""COMPUTED_VALUE"""),"")</f>
        <v/>
      </c>
      <c r="F13" s="90" t="str">
        <f>IFERROR(__xludf.DUMMYFUNCTION("""COMPUTED_VALUE"""),"CSE472-01
10B-16C")</f>
        <v>CSE472-01
10B-16C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Fardin Rahman Ami</v>
      </c>
      <c r="E4" s="57"/>
      <c r="F4" s="58" t="s">
        <v>1</v>
      </c>
      <c r="G4" s="59" t="s">
        <v>214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ext.fardin.rahman@bracu.ac.bd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IFERROR(__xludf.DUMMYFUNCTION("""COMPUTED_VALUE"""),"CSE330-16
07D-20C")</f>
        <v>CSE330-16
07D-20C</v>
      </c>
      <c r="E9" s="86" t="str">
        <f>IFERROR(__xludf.DUMMYFUNCTION("""COMPUTED_VALUE"""),"Consultation")</f>
        <v>Consultation</v>
      </c>
      <c r="F9" s="86" t="str">
        <f>IFERROR(__xludf.DUMMYFUNCTION("""COMPUTED_VALUE"""),"CSE103-01 (LAB)
FDM,SLAR
11B-20L")</f>
        <v>CSE103-01 (LAB)
FDM,SLAR
11B-20L</v>
      </c>
      <c r="G9" s="86" t="str">
        <f>IFERROR(__xludf.DUMMYFUNCTION("""COMPUTED_VALUE"""),"CSE103-01 (LAB)
FDM,SLAR
11B-20L")</f>
        <v>CSE103-01 (LAB)
FDM,SLAR
11B-20L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IFERROR(__xludf.DUMMYFUNCTION("""COMPUTED_VALUE"""),"CSE220-22 (LAB)
ASRF,FDM
09B-08L")</f>
        <v>CSE220-22 (LAB)
ASRF,FDM
09B-08L</v>
      </c>
      <c r="C10" s="90" t="str">
        <f>IFERROR(__xludf.DUMMYFUNCTION("""COMPUTED_VALUE"""),"CSE220-22 (LAB)
ASRF,FDM
09B-08L")</f>
        <v>CSE220-22 (LAB)
ASRF,FDM
09B-08L</v>
      </c>
      <c r="D10" s="90" t="str">
        <f>IFERROR(__xludf.DUMMYFUNCTION("""COMPUTED_VALUE"""),"CSE220-12 (LAB)
AIB,FDM
09B-10L")</f>
        <v>CSE220-12 (LAB)
AIB,FDM
09B-10L</v>
      </c>
      <c r="E10" s="90" t="str">
        <f>IFERROR(__xludf.DUMMYFUNCTION("""COMPUTED_VALUE"""),"CSE220-12 (LAB)
AIB,FDM
09B-10L")</f>
        <v>CSE220-12 (LAB)
AIB,FDM
09B-10L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IFERROR(__xludf.DUMMYFUNCTION("""COMPUTED_VALUE"""),"CSE220-21 (LAB)
MZG,FDM
09B-11L")</f>
        <v>CSE220-21 (LAB)
MZG,FDM
09B-11L</v>
      </c>
      <c r="C11" s="90" t="str">
        <f>IFERROR(__xludf.DUMMYFUNCTION("""COMPUTED_VALUE"""),"CSE220-21 (LAB)
MZG,FDM
09B-11L")</f>
        <v>CSE220-21 (LAB)
MZG,FDM
09B-11L</v>
      </c>
      <c r="D11" s="90" t="str">
        <f>IFERROR(__xludf.DUMMYFUNCTION("""COMPUTED_VALUE"""),"Consultation By Appointment")</f>
        <v>Consultation By Appointment</v>
      </c>
      <c r="E11" s="90" t="str">
        <f>IFERROR(__xludf.DUMMYFUNCTION("""COMPUTED_VALUE"""),"Consultation By Appointment")</f>
        <v>Consultation By Appointment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IFERROR(__xludf.DUMMYFUNCTION("""COMPUTED_VALUE"""),"CSE370-01 (LAB)
FDM,TRZA
12F-31L")</f>
        <v>CSE370-01 (LAB)
FDM,TRZA
12F-31L</v>
      </c>
      <c r="C14" s="90" t="str">
        <f>IFERROR(__xludf.DUMMYFUNCTION("""COMPUTED_VALUE"""),"CSE370-01 (LAB)
FDM,TRZA
12F-31L")</f>
        <v>CSE370-01 (LAB)
FDM,TRZA
12F-31L</v>
      </c>
      <c r="D14" s="90" t="str">
        <f>IFERROR(__xludf.DUMMYFUNCTION("""COMPUTED_VALUE"""),"CSE330-16
07D-20C")</f>
        <v>CSE330-16
07D-20C</v>
      </c>
      <c r="E14" s="90" t="str">
        <f>IFERROR(__xludf.DUMMYFUNCTION("""COMPUTED_VALUE"""),"Consultation By Appointment")</f>
        <v>Consultation By Appointment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Fardin Zaman</v>
      </c>
      <c r="E4" s="57"/>
      <c r="F4" s="58" t="s">
        <v>1</v>
      </c>
      <c r="G4" s="59" t="s">
        <v>215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ext.fardin.zaman@bracu.ac.bd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IFERROR(__xludf.DUMMYFUNCTION("""COMPUTED_VALUE"""),"CSE221-12 (LAB)
ASRF,FDZ
09B-10L")</f>
        <v>CSE221-12 (LAB)
ASRF,FDZ
09B-10L</v>
      </c>
      <c r="C9" s="86" t="str">
        <f>IFERROR(__xludf.DUMMYFUNCTION("""COMPUTED_VALUE"""),"CSE221-12 (LAB)
ASRF,FDZ
09B-10L")</f>
        <v>CSE221-12 (LAB)
ASRF,FDZ
09B-10L</v>
      </c>
      <c r="D9" s="86" t="str">
        <f>IFERROR(__xludf.DUMMYFUNCTION("""COMPUTED_VALUE"""),"CSE447-02 (LAB)
FFU,FDZ
09F-24L")</f>
        <v>CSE447-02 (LAB)
FFU,FDZ
09F-24L</v>
      </c>
      <c r="E9" s="86" t="str">
        <f>IFERROR(__xludf.DUMMYFUNCTION("""COMPUTED_VALUE"""),"CSE447-02 (LAB)
FFU,FDZ
09F-24L")</f>
        <v>CSE447-02 (LAB)
FFU,FDZ
09F-24L</v>
      </c>
      <c r="F9" s="86" t="str">
        <f>IFERROR(__xludf.DUMMYFUNCTION("""COMPUTED_VALUE"""),"CSE221-11 (LAB)
FDZ,SJM
09B-09L")</f>
        <v>CSE221-11 (LAB)
FDZ,SJM
09B-09L</v>
      </c>
      <c r="G9" s="86" t="str">
        <f>IFERROR(__xludf.DUMMYFUNCTION("""COMPUTED_VALUE"""),"CSE221-11 (LAB)
FDZ,SJM
09B-09L")</f>
        <v>CSE221-11 (LAB)
FDZ,SJM
09B-09L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Farden Ehsan Khan</v>
      </c>
      <c r="E4" s="57"/>
      <c r="F4" s="58" t="s">
        <v>1</v>
      </c>
      <c r="G4" s="59" t="s">
        <v>60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farden.khan@bracu.ac.bd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 by Appointment")</f>
        <v>Consultation by Appointment</v>
      </c>
      <c r="E10" s="90" t="str">
        <f>IFERROR(__xludf.DUMMYFUNCTION("""COMPUTED_VALUE"""),"Consultation")</f>
        <v>Consultation</v>
      </c>
      <c r="F10" s="90" t="str">
        <f>IFERROR(__xludf.DUMMYFUNCTION("""COMPUTED_VALUE"""),"CSE370-13
09H-33C")</f>
        <v>CSE370-13
09H-33C</v>
      </c>
      <c r="G10" s="90" t="str">
        <f>IFERROR(__xludf.DUMMYFUNCTION("""COMPUTED_VALUE"""),"CSE370-07
09H-33C")</f>
        <v>CSE370-07
09H-33C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IFERROR(__xludf.DUMMYFUNCTION("""COMPUTED_VALUE"""),"CSE370-03 (LAB)
NZU,FEK
12F-32L")</f>
        <v>CSE370-03 (LAB)
NZU,FEK
12F-32L</v>
      </c>
      <c r="C11" s="90" t="str">
        <f>IFERROR(__xludf.DUMMYFUNCTION("""COMPUTED_VALUE"""),"CSE370-03 (LAB)
NZU,FEK
12F-32L")</f>
        <v>CSE370-03 (LAB)
NZU,FEK
12F-32L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IFERROR(__xludf.DUMMYFUNCTION("""COMPUTED_VALUE"""),"CSE370-08
09D-18C")</f>
        <v>CSE370-08
09D-18C</v>
      </c>
      <c r="G11" s="90" t="str">
        <f>IFERROR(__xludf.DUMMYFUNCTION("""COMPUTED_VALUE"""),"CSE370-09
09D-18C")</f>
        <v>CSE370-09
09D-18C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IFERROR(__xludf.DUMMYFUNCTION("""COMPUTED_VALUE"""),"CSE370-02 (LAB)
FEK,NZU
12F-31L")</f>
        <v>CSE370-02 (LAB)
FEK,NZU
12F-31L</v>
      </c>
      <c r="E12" s="90" t="str">
        <f>IFERROR(__xludf.DUMMYFUNCTION("""COMPUTED_VALUE"""),"CSE370-02 (LAB)
FEK,NZU
12F-31L")</f>
        <v>CSE370-02 (LAB)
FEK,NZU
12F-31L</v>
      </c>
      <c r="F12" s="90" t="str">
        <f>IFERROR(__xludf.DUMMYFUNCTION("""COMPUTED_VALUE"""),"CSE370-13
09H-33C")</f>
        <v>CSE370-13
09H-33C</v>
      </c>
      <c r="G12" s="90" t="str">
        <f>IFERROR(__xludf.DUMMYFUNCTION("""COMPUTED_VALUE"""),"CSE370-07
09H-33C")</f>
        <v>CSE370-07
09H-33C</v>
      </c>
      <c r="H12" s="90" t="str">
        <f>IFERROR(__xludf.DUMMYFUNCTION("""COMPUTED_VALUE"""),"Consultation by Appointment")</f>
        <v>Consultation by Appointment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IFERROR(__xludf.DUMMYFUNCTION("""COMPUTED_VALUE"""),"CSE111-11 (LAB)
AVB,FEK
09E-21L")</f>
        <v>CSE111-11 (LAB)
AVB,FEK
09E-21L</v>
      </c>
      <c r="E13" s="90" t="str">
        <f>IFERROR(__xludf.DUMMYFUNCTION("""COMPUTED_VALUE"""),"CSE111-11 (LAB)
AVB,FEK
09E-21L")</f>
        <v>CSE111-11 (LAB)
AVB,FEK
09E-21L</v>
      </c>
      <c r="F13" s="90" t="str">
        <f>IFERROR(__xludf.DUMMYFUNCTION("""COMPUTED_VALUE"""),"CSE370-08
09D-18C")</f>
        <v>CSE370-08
09D-18C</v>
      </c>
      <c r="G13" s="90" t="str">
        <f>IFERROR(__xludf.DUMMYFUNCTION("""COMPUTED_VALUE"""),"CSE370-09
09D-18C")</f>
        <v>CSE370-09
09D-18C</v>
      </c>
      <c r="H13" s="90" t="str">
        <f>IFERROR(__xludf.DUMMYFUNCTION("""COMPUTED_VALUE"""),"Consultation by Appointment")</f>
        <v>Consultation by Appointment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must email me at least one day in advance to book any slots marked as consultation by appointment")</f>
        <v>**You must email me at least one day in advance to book any slots marked as consultation by appointment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Fatin Ishraq Faruqui</v>
      </c>
      <c r="E4" s="57"/>
      <c r="F4" s="58" t="s">
        <v>1</v>
      </c>
      <c r="G4" s="59" t="s">
        <v>61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md.fatin@bracu.ac.bd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IFERROR(__xludf.DUMMYFUNCTION("""COMPUTED_VALUE"""),"CSE250-06A (LAB)
FFR,MHY
12B-20L")</f>
        <v>CSE250-06A (LAB)
FFR,MHY
12B-20L</v>
      </c>
      <c r="C9" s="86" t="str">
        <f>IFERROR(__xludf.DUMMYFUNCTION("""COMPUTED_VALUE"""),"CSE250-06A (LAB)
FFR,MHY
12B-20L")</f>
        <v>CSE250-06A (LAB)
FFR,MHY
12B-20L</v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IFERROR(__xludf.DUMMYFUNCTION("""COMPUTED_VALUE"""),"CSE251-06A (LAB)
SZZ,FFR
FT10-01L")</f>
        <v>CSE251-06A (LAB)
SZZ,FFR
FT10-01L</v>
      </c>
      <c r="G9" s="86" t="str">
        <f>IFERROR(__xludf.DUMMYFUNCTION("""COMPUTED_VALUE"""),"CSE251-06A (LAB)
SZZ,FFR
FT10-01L")</f>
        <v>CSE251-06A (LAB)
SZZ,FFR
FT10-01L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IFERROR(__xludf.DUMMYFUNCTION("""COMPUTED_VALUE"""),"CSE251-09B (LAB)
TSE,FFR
FT11-01L")</f>
        <v>CSE251-09B (LAB)
TSE,FFR
FT11-01L</v>
      </c>
      <c r="E10" s="90" t="str">
        <f>IFERROR(__xludf.DUMMYFUNCTION("""COMPUTED_VALUE"""),"CSE251-09B (LAB)
TSE,FFR
FT11-01L")</f>
        <v>CSE251-09B (LAB)
TSE,FFR
FT11-01L</v>
      </c>
      <c r="F10" s="90" t="str">
        <f>IFERROR(__xludf.DUMMYFUNCTION("""COMPUTED_VALUE"""),"CSE250-05A (LAB)
TAV,FFR
FT10-01L")</f>
        <v>CSE250-05A (LAB)
TAV,FFR
FT10-01L</v>
      </c>
      <c r="G10" s="90" t="str">
        <f>IFERROR(__xludf.DUMMYFUNCTION("""COMPUTED_VALUE"""),"CSE250-05A (LAB)
TAV,FFR
FT10-01L")</f>
        <v>CSE250-05A (LAB)
TAV,FFR
FT10-01L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IFERROR(__xludf.DUMMYFUNCTION("""COMPUTED_VALUE"""),"CSE251-07A
09A-01C,CSE251-07B
09A-01C")</f>
        <v>CSE251-07A
09A-01C,CSE251-07B
09A-01C</v>
      </c>
      <c r="F11" s="90" t="str">
        <f>IFERROR(__xludf.DUMMYFUNCTION("""COMPUTED_VALUE"""),"")</f>
        <v/>
      </c>
      <c r="G11" s="90" t="str">
        <f>IFERROR(__xludf.DUMMYFUNCTION("""COMPUTED_VALUE"""),"CSE250-08A
10B-17C,CSE250-08B
10B-17C")</f>
        <v>CSE250-08A
10B-17C,CSE250-08B
10B-17C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IFERROR(__xludf.DUMMYFUNCTION("""COMPUTED_VALUE"""),"CSE350-07B (LAB)
FFR,SHJR
12B-20L")</f>
        <v>CSE350-07B (LAB)
FFR,SHJR
12B-20L</v>
      </c>
      <c r="C12" s="90" t="str">
        <f>IFERROR(__xludf.DUMMYFUNCTION("""COMPUTED_VALUE"""),"CSE350-07B (LAB)
FFR,SHJR
12B-20L")</f>
        <v>CSE350-07B (LAB)
FFR,SHJR
12B-20L</v>
      </c>
      <c r="D12" s="90" t="str">
        <f>IFERROR(__xludf.DUMMYFUNCTION("""COMPUTED_VALUE"""),"CSE250-08A (LAB)
FFR,AKDB
FT10-01L")</f>
        <v>CSE250-08A (LAB)
FFR,AKDB
FT10-01L</v>
      </c>
      <c r="E12" s="90" t="str">
        <f>IFERROR(__xludf.DUMMYFUNCTION("""COMPUTED_VALUE"""),"CSE250-08A (LAB)
FFR,AKDB
FT10-01L")</f>
        <v>CSE250-08A (LAB)
FFR,AKDB
FT10-01L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IFERROR(__xludf.DUMMYFUNCTION("""COMPUTED_VALUE"""),"CSE251-07A
09A-01C,CSE251-07B
09A-01C")</f>
        <v>CSE251-07A
09A-01C,CSE251-07B
09A-01C</v>
      </c>
      <c r="F13" s="90" t="str">
        <f>IFERROR(__xludf.DUMMYFUNCTION("""COMPUTED_VALUE"""),"")</f>
        <v/>
      </c>
      <c r="G13" s="90" t="str">
        <f>IFERROR(__xludf.DUMMYFUNCTION("""COMPUTED_VALUE"""),"CSE250-08A
10B-17C,CSE250-08B
10B-17C")</f>
        <v>CSE250-08A
10B-17C,CSE250-08B
10B-17C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Farhan  Faruk</v>
      </c>
      <c r="E4" s="57"/>
      <c r="F4" s="58" t="s">
        <v>1</v>
      </c>
      <c r="G4" s="59" t="s">
        <v>62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farhan.faruk@bracu.ac.bd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IFERROR(__xludf.DUMMYFUNCTION("""COMPUTED_VALUE"""),"CSE341-10
09B-12C")</f>
        <v>CSE341-10
09B-12C</v>
      </c>
      <c r="C9" s="86" t="str">
        <f>IFERROR(__xludf.DUMMYFUNCTION("""COMPUTED_VALUE"""),"CSE341-09
09D-17C")</f>
        <v>CSE341-09
09D-17C</v>
      </c>
      <c r="D9" s="86" t="str">
        <f>IFERROR(__xludf.DUMMYFUNCTION("""COMPUTED_VALUE"""),"CSE447-02 (LAB)
FFU,FDZ
09F-24L")</f>
        <v>CSE447-02 (LAB)
FFU,FDZ
09F-24L</v>
      </c>
      <c r="E9" s="86" t="str">
        <f>IFERROR(__xludf.DUMMYFUNCTION("""COMPUTED_VALUE"""),"CSE447-02 (LAB)
FFU,FDZ
09F-24L")</f>
        <v>CSE447-02 (LAB)
FFU,FDZ
09F-24L</v>
      </c>
      <c r="F9" s="86" t="str">
        <f>IFERROR(__xludf.DUMMYFUNCTION("""COMPUTED_VALUE"""),"CSE447-03 (LAB)
FFU,CKMH
09F-24L")</f>
        <v>CSE447-03 (LAB)
FFU,CKMH
09F-24L</v>
      </c>
      <c r="G9" s="86" t="str">
        <f>IFERROR(__xludf.DUMMYFUNCTION("""COMPUTED_VALUE"""),"CSE447-03 (LAB)
FFU,CKMH
09F-24L")</f>
        <v>CSE447-03 (LAB)
FFU,CKMH
09F-24L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IFERROR(__xludf.DUMMYFUNCTION("""COMPUTED_VALUE"""),"MSc Class")</f>
        <v>MSc Class</v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IFERROR(__xludf.DUMMYFUNCTION("""COMPUTED_VALUE"""),"CSE422-01 (LAB)
ZHS,FFU
09F-25L")</f>
        <v>CSE422-01 (LAB)
ZHS,FFU
09F-25L</v>
      </c>
      <c r="E12" s="90" t="str">
        <f>IFERROR(__xludf.DUMMYFUNCTION("""COMPUTED_VALUE"""),"CSE422-01 (LAB)
ZHS,FFU
09F-25L")</f>
        <v>CSE422-01 (LAB)
ZHS,FFU
09F-25L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IFERROR(__xludf.DUMMYFUNCTION("""COMPUTED_VALUE"""),"MSc Class")</f>
        <v>MSc Class</v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IFERROR(__xludf.DUMMYFUNCTION("""COMPUTED_VALUE"""),"CSE422-05 (LAB)
WHMJ,FFU
09F-26L")</f>
        <v>CSE422-05 (LAB)
WHMJ,FFU
09F-26L</v>
      </c>
      <c r="G13" s="90" t="str">
        <f>IFERROR(__xludf.DUMMYFUNCTION("""COMPUTED_VALUE"""),"CSE422-05 (LAB)
WHMJ,FFU
09F-26L")</f>
        <v>CSE422-05 (LAB)
WHMJ,FFU
09F-26L</v>
      </c>
      <c r="H13" s="90" t="str">
        <f>IFERROR(__xludf.DUMMYFUNCTION("""COMPUTED_VALUE"""),"")</f>
        <v/>
      </c>
      <c r="I13" s="90" t="str">
        <f>IFERROR(__xludf.DUMMYFUNCTION("""COMPUTED_VALUE"""),"MSc Class")</f>
        <v>MSc Class</v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IFERROR(__xludf.DUMMYFUNCTION("""COMPUTED_VALUE"""),"CSE341-10
09B-12C")</f>
        <v>CSE341-10
09B-12C</v>
      </c>
      <c r="C14" s="90" t="str">
        <f>IFERROR(__xludf.DUMMYFUNCTION("""COMPUTED_VALUE"""),"CSE341-09
09D-17C")</f>
        <v>CSE341-09
09D-17C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Fakhruddin Gazzali</v>
      </c>
      <c r="E4" s="57"/>
      <c r="F4" s="58" t="s">
        <v>1</v>
      </c>
      <c r="G4" s="59" t="s">
        <v>63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fakhruddin.gazzali@bracu.ac.bd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IFERROR(__xludf.DUMMYFUNCTION("""COMPUTED_VALUE"""),"CSE320-07
09D-17C")</f>
        <v>CSE320-07
09D-17C</v>
      </c>
      <c r="C10" s="90" t="str">
        <f>IFERROR(__xludf.DUMMYFUNCTION("""COMPUTED_VALUE"""),"CSE320-08
09D-17C")</f>
        <v>CSE320-08
09D-17C</v>
      </c>
      <c r="D10" s="90" t="str">
        <f>IFERROR(__xludf.DUMMYFUNCTION("""COMPUTED_VALUE"""),"CSE221-14 (LAB)
FGZ,ANK
09F-24L")</f>
        <v>CSE221-14 (LAB)
FGZ,ANK
09F-24L</v>
      </c>
      <c r="E10" s="90" t="str">
        <f>IFERROR(__xludf.DUMMYFUNCTION("""COMPUTED_VALUE"""),"CSE221-14 (LAB)
FGZ,ANK
09F-24L")</f>
        <v>CSE221-14 (LAB)
FGZ,ANK
09F-24L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IFERROR(__xludf.DUMMYFUNCTION("""COMPUTED_VALUE"""),"CSE221-06
07H-27C")</f>
        <v>CSE221-06
07H-27C</v>
      </c>
      <c r="C11" s="90" t="str">
        <f>IFERROR(__xludf.DUMMYFUNCTION("""COMPUTED_VALUE"""),"CSE221-07
07H-27C")</f>
        <v>CSE221-07
07H-27C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IFERROR(__xludf.DUMMYFUNCTION("""COMPUTED_VALUE"""),"CSE320-07
09D-17C")</f>
        <v>CSE320-07
09D-17C</v>
      </c>
      <c r="C12" s="90" t="str">
        <f>IFERROR(__xludf.DUMMYFUNCTION("""COMPUTED_VALUE"""),"CSE320-08
09D-17C")</f>
        <v>CSE320-08
09D-17C</v>
      </c>
      <c r="D12" s="90" t="str">
        <f>IFERROR(__xludf.DUMMYFUNCTION("""COMPUTED_VALUE"""),"CSE111-06 (LAB)
FGZ,AVB
09B-09L")</f>
        <v>CSE111-06 (LAB)
FGZ,AVB
09B-09L</v>
      </c>
      <c r="E12" s="90" t="str">
        <f>IFERROR(__xludf.DUMMYFUNCTION("""COMPUTED_VALUE"""),"CSE111-06 (LAB)
FGZ,AVB
09B-09L")</f>
        <v>CSE111-06 (LAB)
FGZ,AVB
09B-09L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IFERROR(__xludf.DUMMYFUNCTION("""COMPUTED_VALUE"""),"CSE221-06
07H-27C")</f>
        <v>CSE221-06
07H-27C</v>
      </c>
      <c r="C13" s="90" t="str">
        <f>IFERROR(__xludf.DUMMYFUNCTION("""COMPUTED_VALUE"""),"CSE221-07
07H-27C")</f>
        <v>CSE221-07
07H-27C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118" t="str">
        <f>IFERROR(__xludf.DUMMYFUNCTION("""COMPUTED_VALUE"""),"****Please book your consultation hour beforehand: https://forms.gle/va1jV5HcQSeTZQxe7")</f>
        <v>****Please book your consultation hour beforehand: https://forms.gle/va1jV5HcQSeTZQxe7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hyperlinks>
    <hyperlink r:id="rId1" ref="A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Fatiha Ishrar Chowdhury</v>
      </c>
      <c r="E4" s="57"/>
      <c r="F4" s="58" t="s">
        <v>1</v>
      </c>
      <c r="G4" s="59" t="s">
        <v>64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fatiha.ishrar@bracu.ac.bd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IFERROR(__xludf.DUMMYFUNCTION("""COMPUTED_VALUE"""),"CSE230-09
09A-03C")</f>
        <v>CSE230-09
09A-03C</v>
      </c>
      <c r="E10" s="90" t="str">
        <f>IFERROR(__xludf.DUMMYFUNCTION("""COMPUTED_VALUE"""),"Consultation ")</f>
        <v>Consultation </v>
      </c>
      <c r="F10" s="90" t="str">
        <f>IFERROR(__xludf.DUMMYFUNCTION("""COMPUTED_VALUE"""),"CSE260-07A
09E-20T,CSE260-07B
09E-20T,CSE260-08A
09E-20T,CSE260-08B
09E-20T,CSE260-09A
09E-20T,CSE260-09B
09E-20T")</f>
        <v>CSE260-07A
09E-20T,CSE260-07B
09E-20T,CSE260-08A
09E-20T,CSE260-08B
09E-20T,CSE260-09A
09E-20T,CSE260-09B
09E-20T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IFERROR(__xludf.DUMMYFUNCTION("""COMPUTED_VALUE"""),"CSE260-19B (LAB)
FIC,NLAM
FT10-03L")</f>
        <v>CSE260-19B (LAB)
FIC,NLAM
FT10-03L</v>
      </c>
      <c r="E11" s="90" t="str">
        <f>IFERROR(__xludf.DUMMYFUNCTION("""COMPUTED_VALUE"""),"CSE260-19B (LAB)
FIC,NLAM
FT10-03L")</f>
        <v>CSE260-19B (LAB)
FIC,NLAM
FT10-03L</v>
      </c>
      <c r="F11" s="90" t="str">
        <f>IFERROR(__xludf.DUMMYFUNCTION("""COMPUTED_VALUE"""),"CSE260-17A (LAB)
FIC,AROY
FT10-02L")</f>
        <v>CSE260-17A (LAB)
FIC,AROY
FT10-02L</v>
      </c>
      <c r="G11" s="90" t="str">
        <f>IFERROR(__xludf.DUMMYFUNCTION("""COMPUTED_VALUE"""),"CSE260-17A (LAB)
FIC,AROY
FT10-02L")</f>
        <v>CSE260-17A (LAB)
FIC,AROY
FT10-02L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IFERROR(__xludf.DUMMYFUNCTION("""COMPUTED_VALUE"""),"CSE230-09
09A-03C")</f>
        <v>CSE230-09
09A-03C</v>
      </c>
      <c r="E12" s="90" t="str">
        <f>IFERROR(__xludf.DUMMYFUNCTION("""COMPUTED_VALUE"""),"Consultation ")</f>
        <v>Consultation </v>
      </c>
      <c r="F12" s="90" t="str">
        <f>IFERROR(__xludf.DUMMYFUNCTION("""COMPUTED_VALUE"""),"CSE260-07A
09E-20T,CSE260-07B
09E-20T,CSE260-08A
09E-20T,CSE260-08B
09E-20T,CSE260-09A
09E-20T,CSE260-09B
09E-20T")</f>
        <v>CSE260-07A
09E-20T,CSE260-07B
09E-20T,CSE260-08A
09E-20T,CSE260-08B
09E-20T,CSE260-09A
09E-20T,CSE260-09B
09E-20T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IFERROR(__xludf.DUMMYFUNCTION("""COMPUTED_VALUE"""),"CSE260-08A (LAB)
FIC,RDS
FT10-02L")</f>
        <v>CSE260-08A (LAB)
FIC,RDS
FT10-02L</v>
      </c>
      <c r="G13" s="90" t="str">
        <f>IFERROR(__xludf.DUMMYFUNCTION("""COMPUTED_VALUE"""),"CSE260-08A (LAB)
FIC,RDS
FT10-02L")</f>
        <v>CSE260-08A (LAB)
FIC,RDS
FT10-02L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Saif Mokarrom</v>
      </c>
      <c r="E4" s="57"/>
      <c r="F4" s="58" t="s">
        <v>1</v>
      </c>
      <c r="G4" s="59" t="s">
        <v>216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ext.md.saif.mokarrom@bracu.ac.bd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IFERROR(__xludf.DUMMYFUNCTION("""COMPUTED_VALUE"""),"CSE420-17
07D-19C")</f>
        <v>CSE420-17
07D-19C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IFERROR(__xludf.DUMMYFUNCTION("""COMPUTED_VALUE"""),"CSE420-01 (LAB)
MAF,FMK
10E-27L,CSE420-18 (LAB)
MAF,FMK
10E-27L")</f>
        <v>CSE420-01 (LAB)
MAF,FMK
10E-27L,CSE420-18 (LAB)
MAF,FMK
10E-27L</v>
      </c>
      <c r="C12" s="90" t="str">
        <f>IFERROR(__xludf.DUMMYFUNCTION("""COMPUTED_VALUE"""),"CSE420-01 (LAB)
MAF,FMK
10E-27L,CSE420-18 (LAB)
MAF,FMK
10E-27L")</f>
        <v>CSE420-01 (LAB)
MAF,FMK
10E-27L,CSE420-18 (LAB)
MAF,FMK
10E-27L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IFERROR(__xludf.DUMMYFUNCTION("""COMPUTED_VALUE"""),"CSE420-16 (LAB)
FMK,MAF
10E-27L,CSE420-17 (LAB)
FMK,MAF
10E-27L")</f>
        <v>CSE420-16 (LAB)
FMK,MAF
10E-27L,CSE420-17 (LAB)
FMK,MAF
10E-27L</v>
      </c>
      <c r="G12" s="90" t="str">
        <f>IFERROR(__xludf.DUMMYFUNCTION("""COMPUTED_VALUE"""),"CSE420-16 (LAB)
FMK,MAF
10E-27L,CSE420-17 (LAB)
FMK,MAF
10E-27L")</f>
        <v>CSE420-16 (LAB)
FMK,MAF
10E-27L,CSE420-17 (LAB)
FMK,MAF
10E-27L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IFERROR(__xludf.DUMMYFUNCTION("""COMPUTED_VALUE"""),"CSE420-19 (LAB)
FMK,AKHD
12F-31L,CSE420-20 (LAB)
FMK,AKHD
12F-31L")</f>
        <v>CSE420-19 (LAB)
FMK,AKHD
12F-31L,CSE420-20 (LAB)
FMK,AKHD
12F-31L</v>
      </c>
      <c r="E13" s="90" t="str">
        <f>IFERROR(__xludf.DUMMYFUNCTION("""COMPUTED_VALUE"""),"CSE420-19 (LAB)
FMK,AKHD
12F-31L,CSE420-20 (LAB)
FMK,AKHD
12F-31L")</f>
        <v>CSE420-19 (LAB)
FMK,AKHD
12F-31L,CSE420-20 (LAB)
FMK,AKHD
12F-31L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IFERROR(__xludf.DUMMYFUNCTION("""COMPUTED_VALUE"""),"CSE422-16 (LAB)
RRH,FMK
09F-27L")</f>
        <v>CSE422-16 (LAB)
RRH,FMK
09F-27L</v>
      </c>
      <c r="C14" s="90" t="str">
        <f>IFERROR(__xludf.DUMMYFUNCTION("""COMPUTED_VALUE"""),"CSE422-16 (LAB)
RRH,FMK
09F-27L")</f>
        <v>CSE422-16 (LAB)
RRH,FMK
09F-27L</v>
      </c>
      <c r="D14" s="90" t="str">
        <f>IFERROR(__xludf.DUMMYFUNCTION("""COMPUTED_VALUE"""),"CSE420-05 (LAB)
FMK,AKHD
10E-27L,CSE420-06 (LAB)
FMK,AKHD
10E-27L")</f>
        <v>CSE420-05 (LAB)
FMK,AKHD
10E-27L,CSE420-06 (LAB)
FMK,AKHD
10E-27L</v>
      </c>
      <c r="E14" s="90" t="str">
        <f>IFERROR(__xludf.DUMMYFUNCTION("""COMPUTED_VALUE"""),"CSE420-05 (LAB)
FMK,AKHD
10E-27L,CSE420-06 (LAB)
FMK,AKHD
10E-27L")</f>
        <v>CSE420-05 (LAB)
FMK,AKHD
10E-27L,CSE420-06 (LAB)
FMK,AKHD
10E-27L</v>
      </c>
      <c r="F14" s="90" t="str">
        <f>IFERROR(__xludf.DUMMYFUNCTION("""COMPUTED_VALUE"""),"CSE420-17
07D-19C")</f>
        <v>CSE420-17
07D-19C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IFERROR(__xludf.DUMMYFUNCTION("""COMPUTED_VALUE"""),5.0)</f>
        <v>5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Farig Yousuf Sadeque</v>
      </c>
      <c r="E4" s="57"/>
      <c r="F4" s="58" t="s">
        <v>1</v>
      </c>
      <c r="G4" s="59" t="s">
        <v>65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farig.sadeque@bracu.ac.bd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IFERROR(__xludf.DUMMYFUNCTION("""COMPUTED_VALUE"""),"Research")</f>
        <v>Research</v>
      </c>
      <c r="E10" s="90" t="str">
        <f>IFERROR(__xludf.DUMMYFUNCTION("""COMPUTED_VALUE"""),"Research")</f>
        <v>Research</v>
      </c>
      <c r="F10" s="90" t="str">
        <f>IFERROR(__xludf.DUMMYFUNCTION("""COMPUTED_VALUE"""),"Research")</f>
        <v>Research</v>
      </c>
      <c r="G10" s="90" t="str">
        <f>IFERROR(__xludf.DUMMYFUNCTION("""COMPUTED_VALUE"""),"Research")</f>
        <v>Research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IFERROR(__xludf.DUMMYFUNCTION("""COMPUTED_VALUE"""),"Research")</f>
        <v>Research</v>
      </c>
      <c r="E11" s="90" t="str">
        <f>IFERROR(__xludf.DUMMYFUNCTION("""COMPUTED_VALUE"""),"CSE440-01
09C-16T")</f>
        <v>CSE440-01
09C-16T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IFERROR(__xludf.DUMMYFUNCTION("""COMPUTED_VALUE"""),"Research")</f>
        <v>Research</v>
      </c>
      <c r="E12" s="90" t="str">
        <f>IFERROR(__xludf.DUMMYFUNCTION("""COMPUTED_VALUE"""),"Research")</f>
        <v>Research</v>
      </c>
      <c r="F12" s="90" t="str">
        <f>IFERROR(__xludf.DUMMYFUNCTION("""COMPUTED_VALUE"""),"Research")</f>
        <v>Research</v>
      </c>
      <c r="G12" s="90" t="str">
        <f>IFERROR(__xludf.DUMMYFUNCTION("""COMPUTED_VALUE"""),"Research")</f>
        <v>Research</v>
      </c>
      <c r="H12" s="90" t="str">
        <f>IFERROR(__xludf.DUMMYFUNCTION("""COMPUTED_VALUE"""),"Consultation")</f>
        <v>Consultation</v>
      </c>
      <c r="I12" s="90" t="str">
        <f>IFERROR(__xludf.DUMMYFUNCTION("""COMPUTED_VALUE"""),"CSE751-01
08H-25C")</f>
        <v>CSE751-01
08H-25C</v>
      </c>
      <c r="J12" s="91" t="str">
        <f>IFERROR(__xludf.DUMMYFUNCTION("""COMPUTED_VALUE"""),"CSE751-01
08H-25C")</f>
        <v>CSE751-01
08H-25C</v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IFERROR(__xludf.DUMMYFUNCTION("""COMPUTED_VALUE"""),"Research")</f>
        <v>Research</v>
      </c>
      <c r="E13" s="90" t="str">
        <f>IFERROR(__xludf.DUMMYFUNCTION("""COMPUTED_VALUE"""),"CSE440-01
09C-16T")</f>
        <v>CSE440-01
09C-16T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Kh.Fardin Zubair Nafis</v>
      </c>
      <c r="E4" s="57"/>
      <c r="F4" s="58" t="s">
        <v>1</v>
      </c>
      <c r="G4" s="59" t="s">
        <v>66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fardin.zubair@bracu.ac.bd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IFERROR(__xludf.DUMMYFUNCTION("""COMPUTED_VALUE"""),"CSE370-08 (LAB)
FZN,ALB
12F-32L")</f>
        <v>CSE370-08 (LAB)
FZN,ALB
12F-32L</v>
      </c>
      <c r="C10" s="90" t="str">
        <f>IFERROR(__xludf.DUMMYFUNCTION("""COMPUTED_VALUE"""),"CSE370-08 (LAB)
FZN,ALB
12F-32L")</f>
        <v>CSE370-08 (LAB)
FZN,ALB
12F-32L</v>
      </c>
      <c r="D10" s="90" t="str">
        <f>IFERROR(__xludf.DUMMYFUNCTION("""COMPUTED_VALUE"""),"CSE370-09 (LAB)
MAU,FZN
12F-32L")</f>
        <v>CSE370-09 (LAB)
MAU,FZN
12F-32L</v>
      </c>
      <c r="E10" s="90" t="str">
        <f>IFERROR(__xludf.DUMMYFUNCTION("""COMPUTED_VALUE"""),"CSE370-09 (LAB)
MAU,FZN
12F-32L")</f>
        <v>CSE370-09 (LAB)
MAU,FZN
12F-32L</v>
      </c>
      <c r="F10" s="90" t="str">
        <f>IFERROR(__xludf.DUMMYFUNCTION("""COMPUTED_VALUE"""),"CSE470-03
09H-32C")</f>
        <v>CSE470-03
09H-32C</v>
      </c>
      <c r="G10" s="90" t="str">
        <f>IFERROR(__xludf.DUMMYFUNCTION("""COMPUTED_VALUE"""),"CSE470-04
09H-32C")</f>
        <v>CSE470-04
09H-32C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IFERROR(__xludf.DUMMYFUNCTION("""COMPUTED_VALUE"""),6.0)</f>
        <v>6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IFERROR(__xludf.DUMMYFUNCTION("""COMPUTED_VALUE"""),"CSE470-05
09C-13C")</f>
        <v>CSE470-05
09C-13C</v>
      </c>
      <c r="G11" s="90" t="str">
        <f>IFERROR(__xludf.DUMMYFUNCTION("""COMPUTED_VALUE"""),"CSE470-06
09C-13C")</f>
        <v>CSE470-06
09C-13C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IFERROR(__xludf.DUMMYFUNCTION("""COMPUTED_VALUE"""),"CSE370-16 (LAB)
FZN,STNM
12F-31L")</f>
        <v>CSE370-16 (LAB)
FZN,STNM
12F-31L</v>
      </c>
      <c r="C12" s="90" t="str">
        <f>IFERROR(__xludf.DUMMYFUNCTION("""COMPUTED_VALUE"""),"CSE370-16 (LAB)
FZN,STNM
12F-31L")</f>
        <v>CSE370-16 (LAB)
FZN,STNM
12F-31L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IFERROR(__xludf.DUMMYFUNCTION("""COMPUTED_VALUE"""),"CSE470-03
09H-32C")</f>
        <v>CSE470-03
09H-32C</v>
      </c>
      <c r="G12" s="90" t="str">
        <f>IFERROR(__xludf.DUMMYFUNCTION("""COMPUTED_VALUE"""),"CSE470-04
09H-32C")</f>
        <v>CSE470-04
09H-32C</v>
      </c>
      <c r="H12" s="90" t="str">
        <f>IFERROR(__xludf.DUMMYFUNCTION("""COMPUTED_VALUE"""),"Thesis")</f>
        <v>Thesis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IFERROR(__xludf.DUMMYFUNCTION("""COMPUTED_VALUE"""),"CSE470-05
09C-13C")</f>
        <v>CSE470-05
09C-13C</v>
      </c>
      <c r="G13" s="90" t="str">
        <f>IFERROR(__xludf.DUMMYFUNCTION("""COMPUTED_VALUE"""),"CSE470-06
09C-13C")</f>
        <v>CSE470-06
09C-13C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Md. Golam Rabiul Alam</v>
      </c>
      <c r="E4" s="57"/>
      <c r="F4" s="58" t="s">
        <v>1</v>
      </c>
      <c r="G4" s="59" t="s">
        <v>67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rabiul.alam@bracu.ac.bd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IFERROR(__xludf.DUMMYFUNCTION("""COMPUTED_VALUE"""),"CSE437-01
09C-16T,CSE437-02
09C-16T")</f>
        <v>CSE437-01
09C-16T,CSE437-02
09C-16T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IFERROR(__xludf.DUMMYFUNCTION("""COMPUTED_VALUE"""),"CSE710-01
08B-10C")</f>
        <v>CSE710-01
08B-10C</v>
      </c>
      <c r="J9" s="87" t="str">
        <f>IFERROR(__xludf.DUMMYFUNCTION("""COMPUTED_VALUE"""),"CSE710-01
08B-10C")</f>
        <v>CSE710-01
08B-10C</v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IFERROR(__xludf.DUMMYFUNCTION("""COMPUTED_VALUE"""),"CSE711-01
08H-27C")</f>
        <v>CSE711-01
08H-27C</v>
      </c>
      <c r="J11" s="91" t="str">
        <f>IFERROR(__xludf.DUMMYFUNCTION("""COMPUTED_VALUE"""),"CSE711-01
08H-27C")</f>
        <v>CSE711-01
08H-27C</v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IFERROR(__xludf.DUMMYFUNCTION("""COMPUTED_VALUE"""),"CSE437-01
09C-16T,CSE437-02
09C-16T")</f>
        <v>CSE437-01
09C-16T,CSE437-02
09C-16T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IFERROR(__xludf.DUMMYFUNCTION("""COMPUTED_VALUE"""),"CSE761-01
08D-12C")</f>
        <v>CSE761-01
08D-12C</v>
      </c>
      <c r="J14" s="91" t="str">
        <f>IFERROR(__xludf.DUMMYFUNCTION("""COMPUTED_VALUE"""),"CSE761-01
08D-12C")</f>
        <v>CSE761-01
08D-12C</v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Hamim Ibne Nasim</v>
      </c>
      <c r="E4" s="57"/>
      <c r="F4" s="58" t="s">
        <v>1</v>
      </c>
      <c r="G4" s="59" t="s">
        <v>217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ext.hamim.nasim@bracu.ac.bd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IFERROR(__xludf.DUMMYFUNCTION("""COMPUTED_VALUE"""),"Consultation")</f>
        <v>Consultation</v>
      </c>
      <c r="E9" s="86" t="str">
        <f>IFERROR(__xludf.DUMMYFUNCTION("""COMPUTED_VALUE"""),"CSE330-17
07D-20C")</f>
        <v>CSE330-17
07D-20C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IFERROR(__xludf.DUMMYFUNCTION("""COMPUTED_VALUE"""),"CSE111-05 (LAB)
HBN,AOH
09B-09L")</f>
        <v>CSE111-05 (LAB)
HBN,AOH
09B-09L</v>
      </c>
      <c r="C12" s="90" t="str">
        <f>IFERROR(__xludf.DUMMYFUNCTION("""COMPUTED_VALUE"""),"CSE111-05 (LAB)
HBN,AOH
09B-09L")</f>
        <v>CSE111-05 (LAB)
HBN,AOH
09B-09L</v>
      </c>
      <c r="D12" s="90" t="str">
        <f>IFERROR(__xludf.DUMMYFUNCTION("""COMPUTED_VALUE"""),"CSE341-03 (LAB)
RFTS,HBN
12D-27L")</f>
        <v>CSE341-03 (LAB)
RFTS,HBN
12D-27L</v>
      </c>
      <c r="E12" s="90" t="str">
        <f>IFERROR(__xludf.DUMMYFUNCTION("""COMPUTED_VALUE"""),"CSE341-03 (LAB)
RFTS,HBN
12D-27L")</f>
        <v>CSE341-03 (LAB)
RFTS,HBN
12D-27L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IFERROR(__xludf.DUMMYFUNCTION("""COMPUTED_VALUE"""),"CSE341-02 (LAB)
NWT,HBN
12F-30L")</f>
        <v>CSE341-02 (LAB)
NWT,HBN
12F-30L</v>
      </c>
      <c r="C13" s="90" t="str">
        <f>IFERROR(__xludf.DUMMYFUNCTION("""COMPUTED_VALUE"""),"CSE341-02 (LAB)
NWT,HBN
12F-30L")</f>
        <v>CSE341-02 (LAB)
NWT,HBN
12F-30L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IFERROR(__xludf.DUMMYFUNCTION("""COMPUTED_VALUE"""),"CSE111-03 (LAB)
CAKM,HBN
12D-27L")</f>
        <v>CSE111-03 (LAB)
CAKM,HBN
12D-27L</v>
      </c>
      <c r="G13" s="90" t="str">
        <f>IFERROR(__xludf.DUMMYFUNCTION("""COMPUTED_VALUE"""),"CSE111-03 (LAB)
CAKM,HBN
12D-27L")</f>
        <v>CSE111-03 (LAB)
CAKM,HBN
12D-27L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IFERROR(__xludf.DUMMYFUNCTION("""COMPUTED_VALUE"""),"CSE341-04 (LAB)
HBN,CKMH
12F-30L")</f>
        <v>CSE341-04 (LAB)
HBN,CKMH
12F-30L</v>
      </c>
      <c r="C14" s="90" t="str">
        <f>IFERROR(__xludf.DUMMYFUNCTION("""COMPUTED_VALUE"""),"CSE341-04 (LAB)
HBN,CKMH
12F-30L")</f>
        <v>CSE341-04 (LAB)
HBN,CKMH
12F-30L</v>
      </c>
      <c r="D14" s="90" t="str">
        <f>IFERROR(__xludf.DUMMYFUNCTION("""COMPUTED_VALUE"""),"Consultation")</f>
        <v>Consultation</v>
      </c>
      <c r="E14" s="90" t="str">
        <f>IFERROR(__xludf.DUMMYFUNCTION("""COMPUTED_VALUE"""),"CSE330-17
07D-20C")</f>
        <v>CSE330-17
07D-20C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Sheikh Araf Noshin</v>
      </c>
      <c r="E4" s="57"/>
      <c r="F4" s="58" t="s">
        <v>1</v>
      </c>
      <c r="G4" s="59" t="s">
        <v>68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araf.noshin@bracu.ac.bd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IFERROR(__xludf.DUMMYFUNCTION("""COMPUTED_VALUE"""),"CSE321-03 (LAB)
HFN,CAKM
12D-26L")</f>
        <v>CSE321-03 (LAB)
HFN,CAKM
12D-26L</v>
      </c>
      <c r="C10" s="90" t="str">
        <f>IFERROR(__xludf.DUMMYFUNCTION("""COMPUTED_VALUE"""),"CSE321-03 (LAB)
HFN,CAKM
12D-26L")</f>
        <v>CSE321-03 (LAB)
HFN,CAKM
12D-26L</v>
      </c>
      <c r="D10" s="90" t="str">
        <f>IFERROR(__xludf.DUMMYFUNCTION("""COMPUTED_VALUE"""),"Consultation")</f>
        <v>Consultation</v>
      </c>
      <c r="E10" s="90" t="str">
        <f>IFERROR(__xludf.DUMMYFUNCTION("""COMPUTED_VALUE"""),"CSE220-21
09A-03C")</f>
        <v>CSE220-21
09A-03C</v>
      </c>
      <c r="F10" s="90" t="str">
        <f>IFERROR(__xludf.DUMMYFUNCTION("""COMPUTED_VALUE"""),"CSE321-02 (LAB)
HFN,MAO
12D-27L")</f>
        <v>CSE321-02 (LAB)
HFN,MAO
12D-27L</v>
      </c>
      <c r="G10" s="90" t="str">
        <f>IFERROR(__xludf.DUMMYFUNCTION("""COMPUTED_VALUE"""),"CSE321-02 (LAB)
HFN,MAO
12D-27L")</f>
        <v>CSE321-02 (LAB)
HFN,MAO
12D-27L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IFERROR(__xludf.DUMMYFUNCTION("""COMPUTED_VALUE"""),5.0)</f>
        <v>5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IFERROR(__xludf.DUMMYFUNCTION("""COMPUTED_VALUE"""),"CSE321-15 (LAB)
HFN,KBS
12D-27L")</f>
        <v>CSE321-15 (LAB)
HFN,KBS
12D-27L</v>
      </c>
      <c r="C11" s="90" t="str">
        <f>IFERROR(__xludf.DUMMYFUNCTION("""COMPUTED_VALUE"""),"CSE321-15 (LAB)
HFN,KBS
12D-27L")</f>
        <v>CSE321-15 (LAB)
HFN,KBS
12D-27L</v>
      </c>
      <c r="D11" s="90" t="str">
        <f>IFERROR(__xludf.DUMMYFUNCTION("""COMPUTED_VALUE"""),"CSE321-24
07D-19C")</f>
        <v>CSE321-24
07D-19C</v>
      </c>
      <c r="E11" s="90" t="str">
        <f>IFERROR(__xludf.DUMMYFUNCTION("""COMPUTED_VALUE"""),"CSE321-25
07D-19C")</f>
        <v>CSE321-25
07D-19C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 
by
Apointment")</f>
        <v>Consultation 
by
Apointment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IFERROR(__xludf.DUMMYFUNCTION("""COMPUTED_VALUE"""),"CSE321-17 (LAB)
CAKM,HFN
12D-27L")</f>
        <v>CSE321-17 (LAB)
CAKM,HFN
12D-27L</v>
      </c>
      <c r="C12" s="90" t="str">
        <f>IFERROR(__xludf.DUMMYFUNCTION("""COMPUTED_VALUE"""),"CSE321-17 (LAB)
CAKM,HFN
12D-27L")</f>
        <v>CSE321-17 (LAB)
CAKM,HFN
12D-27L</v>
      </c>
      <c r="D12" s="90" t="str">
        <f>IFERROR(__xludf.DUMMYFUNCTION("""COMPUTED_VALUE"""),"Consultation")</f>
        <v>Consultation</v>
      </c>
      <c r="E12" s="90" t="str">
        <f>IFERROR(__xludf.DUMMYFUNCTION("""COMPUTED_VALUE"""),"CSE220-21
09A-03C")</f>
        <v>CSE220-21
09A-03C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 
by
Apointment")</f>
        <v>Consultation 
by
Apointment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IFERROR(__xludf.DUMMYFUNCTION("""COMPUTED_VALUE"""),"CSE321-24
07D-19C")</f>
        <v>CSE321-24
07D-19C</v>
      </c>
      <c r="E13" s="90" t="str">
        <f>IFERROR(__xludf.DUMMYFUNCTION("""COMPUTED_VALUE"""),"CSE321-25
07D-19C")</f>
        <v>CSE321-25
07D-19C</v>
      </c>
      <c r="F13" s="90" t="str">
        <f>IFERROR(__xludf.DUMMYFUNCTION("""COMPUTED_VALUE"""),"Thesis (UG)")</f>
        <v>Thesis (UG)</v>
      </c>
      <c r="G13" s="90" t="str">
        <f>IFERROR(__xludf.DUMMYFUNCTION("""COMPUTED_VALUE"""),"Thesis (UG)")</f>
        <v>Thesis (UG)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Mir Hamidul Hussain</v>
      </c>
      <c r="E4" s="57"/>
      <c r="F4" s="58" t="s">
        <v>1</v>
      </c>
      <c r="G4" s="59" t="s">
        <v>69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hamidul.hussain@bracu.ac.bd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IFERROR(__xludf.DUMMYFUNCTION("""COMPUTED_VALUE"""),"CSE250-03A
10B-17C,CSE250-03B
10B-17C")</f>
        <v>CSE250-03A
10B-17C,CSE250-03B
10B-17C</v>
      </c>
      <c r="G10" s="90" t="str">
        <f>IFERROR(__xludf.DUMMYFUNCTION("""COMPUTED_VALUE"""),"CSE251-11A
09A-01C,CSE251-11B
09A-01C")</f>
        <v>CSE251-11A
09A-01C,CSE251-11B
09A-01C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IFERROR(__xludf.DUMMYFUNCTION("""COMPUTED_VALUE"""),"CSE251-03A (LAB)
HMH,SDL
FT10-01L")</f>
        <v>CSE251-03A (LAB)
HMH,SDL
FT10-01L</v>
      </c>
      <c r="C11" s="90" t="str">
        <f>IFERROR(__xludf.DUMMYFUNCTION("""COMPUTED_VALUE"""),"CSE251-03A (LAB)
HMH,SDL
FT10-01L")</f>
        <v>CSE251-03A (LAB)
HMH,SDL
FT10-01L</v>
      </c>
      <c r="D11" s="90" t="str">
        <f>IFERROR(__xludf.DUMMYFUNCTION("""COMPUTED_VALUE"""),"CSE250-11A (LAB)
SDQ,HMH
12B-20L")</f>
        <v>CSE250-11A (LAB)
SDQ,HMH
12B-20L</v>
      </c>
      <c r="E11" s="90" t="str">
        <f>IFERROR(__xludf.DUMMYFUNCTION("""COMPUTED_VALUE"""),"CSE250-11A (LAB)
SDQ,HMH
12B-20L")</f>
        <v>CSE250-11A (LAB)
SDQ,HMH
12B-20L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IFERROR(__xludf.DUMMYFUNCTION("""COMPUTED_VALUE"""),"Consultation")</f>
        <v>Consultation</v>
      </c>
      <c r="F12" s="90" t="str">
        <f>IFERROR(__xludf.DUMMYFUNCTION("""COMPUTED_VALUE"""),"CSE250-03A
10B-17C,CSE250-03B
10B-17C")</f>
        <v>CSE250-03A
10B-17C,CSE250-03B
10B-17C</v>
      </c>
      <c r="G12" s="90" t="str">
        <f>IFERROR(__xludf.DUMMYFUNCTION("""COMPUTED_VALUE"""),"CSE251-11A
09A-01C,CSE251-11B
09A-01C")</f>
        <v>CSE251-11A
09A-01C,CSE251-11B
09A-01C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IFERROR(__xludf.DUMMYFUNCTION("""COMPUTED_VALUE"""),"CSE250-04A (LAB)
PDS,HMH
12B-20L")</f>
        <v>CSE250-04A (LAB)
PDS,HMH
12B-20L</v>
      </c>
      <c r="E13" s="90" t="str">
        <f>IFERROR(__xludf.DUMMYFUNCTION("""COMPUTED_VALUE"""),"CSE250-04A (LAB)
PDS,HMH
12B-20L")</f>
        <v>CSE250-04A (LAB)
PDS,HMH
12B-20L</v>
      </c>
      <c r="F13" s="90" t="str">
        <f>IFERROR(__xludf.DUMMYFUNCTION("""COMPUTED_VALUE"""),"CSE250-12A (LAB)
HMH,ARA
12B-20L")</f>
        <v>CSE250-12A (LAB)
HMH,ARA
12B-20L</v>
      </c>
      <c r="G13" s="90" t="str">
        <f>IFERROR(__xludf.DUMMYFUNCTION("""COMPUTED_VALUE"""),"CSE250-12A (LAB)
HMH,ARA
12B-20L")</f>
        <v>CSE250-12A (LAB)
HMH,ARA
12B-20L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Imran Bin Azad</v>
      </c>
      <c r="E4" s="57"/>
      <c r="F4" s="58" t="s">
        <v>1</v>
      </c>
      <c r="G4" s="59" t="s">
        <v>70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imran.azad@bracu.ac.bd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IFERROR(__xludf.DUMMYFUNCTION("""COMPUTED_VALUE"""),"CSE221-19 (LAB)
IBA,MZW
09E-22L")</f>
        <v>CSE221-19 (LAB)
IBA,MZW
09E-22L</v>
      </c>
      <c r="E10" s="90" t="str">
        <f>IFERROR(__xludf.DUMMYFUNCTION("""COMPUTED_VALUE"""),"CSE221-19 (LAB)
IBA,MZW
09E-22L")</f>
        <v>CSE221-19 (LAB)
IBA,MZW
09E-22L</v>
      </c>
      <c r="F10" s="90" t="str">
        <f>IFERROR(__xludf.DUMMYFUNCTION("""COMPUTED_VALUE"""),"CSE221-02
10B-13C")</f>
        <v>CSE221-02
10B-13C</v>
      </c>
      <c r="G10" s="90" t="str">
        <f>IFERROR(__xludf.DUMMYFUNCTION("""COMPUTED_VALUE"""),"CSE221-03
10B-13C")</f>
        <v>CSE221-03
10B-13C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IFERROR(__xludf.DUMMYFUNCTION("""COMPUTED_VALUE"""),"Consultation")</f>
        <v>Consultation</v>
      </c>
      <c r="F11" s="90" t="str">
        <f>IFERROR(__xludf.DUMMYFUNCTION("""COMPUTED_VALUE"""),"CSE221-04
10B-15C")</f>
        <v>CSE221-04
10B-15C</v>
      </c>
      <c r="G11" s="90" t="str">
        <f>IFERROR(__xludf.DUMMYFUNCTION("""COMPUTED_VALUE"""),"CSE221-05
10B-15C")</f>
        <v>CSE221-05
10B-15C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IFERROR(__xludf.DUMMYFUNCTION("""COMPUTED_VALUE"""),"CSE221-02
10B-13C")</f>
        <v>CSE221-02
10B-13C</v>
      </c>
      <c r="G12" s="90" t="str">
        <f>IFERROR(__xludf.DUMMYFUNCTION("""COMPUTED_VALUE"""),"CSE221-03
10B-13C")</f>
        <v>CSE221-03
10B-13C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IFERROR(__xludf.DUMMYFUNCTION("""COMPUTED_VALUE"""),"Consultation")</f>
        <v>Consultation</v>
      </c>
      <c r="F13" s="90" t="str">
        <f>IFERROR(__xludf.DUMMYFUNCTION("""COMPUTED_VALUE"""),"CSE221-04
10B-15C")</f>
        <v>CSE221-04
10B-15C</v>
      </c>
      <c r="G13" s="90" t="str">
        <f>IFERROR(__xludf.DUMMYFUNCTION("""COMPUTED_VALUE"""),"CSE221-05
10B-15C")</f>
        <v>CSE221-05
10B-15C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IFERROR(__xludf.DUMMYFUNCTION("""COMPUTED_VALUE"""),"Thesis (UG)")</f>
        <v>Thesis (UG)</v>
      </c>
      <c r="E14" s="90" t="str">
        <f>IFERROR(__xludf.DUMMYFUNCTION("""COMPUTED_VALUE"""),"Thesis (UG)")</f>
        <v>Thesis (UG)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Ipshita Bonhi Upoma</v>
      </c>
      <c r="E4" s="57"/>
      <c r="F4" s="58" t="s">
        <v>1</v>
      </c>
      <c r="G4" s="59" t="s">
        <v>71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ipshita.upoma@bracu.ac.bd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IFERROR(__xludf.DUMMYFUNCTION("""COMPUTED_VALUE"""),"CSE422-07
10A-05C")</f>
        <v>CSE422-07
10A-05C</v>
      </c>
      <c r="E9" s="86" t="str">
        <f>IFERROR(__xludf.DUMMYFUNCTION("""COMPUTED_VALUE"""),"CSE422-08
10A-05C")</f>
        <v>CSE422-08
10A-05C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IFERROR(__xludf.DUMMYFUNCTION("""COMPUTED_VALUE"""),"CSE756-01
09A-02C")</f>
        <v>CSE756-01
09A-02C</v>
      </c>
      <c r="J13" s="91" t="str">
        <f>IFERROR(__xludf.DUMMYFUNCTION("""COMPUTED_VALUE"""),"CSE756-01
09A-02C")</f>
        <v>CSE756-01
09A-02C</v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IFERROR(__xludf.DUMMYFUNCTION("""COMPUTED_VALUE"""),"CSE422-07
10A-05C")</f>
        <v>CSE422-07
10A-05C</v>
      </c>
      <c r="E14" s="90" t="str">
        <f>IFERROR(__xludf.DUMMYFUNCTION("""COMPUTED_VALUE"""),"CSE422-08
10A-05C")</f>
        <v>CSE422-08
10A-05C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Irtiza Hossain</v>
      </c>
      <c r="E4" s="57"/>
      <c r="F4" s="58" t="s">
        <v>1</v>
      </c>
      <c r="G4" s="59" t="s">
        <v>218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ext.irtiza.hossain@bracu.ac.bd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IFERROR(__xludf.DUMMYFUNCTION("""COMPUTED_VALUE"""),"CSE422-23 (LAB)
PLN,IRZ
09F-27L")</f>
        <v>CSE422-23 (LAB)
PLN,IRZ
09F-27L</v>
      </c>
      <c r="C9" s="86" t="str">
        <f>IFERROR(__xludf.DUMMYFUNCTION("""COMPUTED_VALUE"""),"CSE422-23 (LAB)
PLN,IRZ
09F-27L")</f>
        <v>CSE422-23 (LAB)
PLN,IRZ
09F-27L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IFERROR(__xludf.DUMMYFUNCTION("""COMPUTED_VALUE"""),"CSE360-05 (LAB)
IRZ,PRC
10G-32L,CSE360-08 (LAB)
IRZ,PRC
10G-32L")</f>
        <v>CSE360-05 (LAB)
IRZ,PRC
10G-32L,CSE360-08 (LAB)
IRZ,PRC
10G-32L</v>
      </c>
      <c r="G9" s="86" t="str">
        <f>IFERROR(__xludf.DUMMYFUNCTION("""COMPUTED_VALUE"""),"CSE360-05 (LAB)
IRZ,PRC
10G-32L,CSE360-08 (LAB)
IRZ,PRC
10G-32L")</f>
        <v>CSE360-05 (LAB)
IRZ,PRC
10G-32L,CSE360-08 (LAB)
IRZ,PRC
10G-32L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IFERROR(__xludf.DUMMYFUNCTION("""COMPUTED_VALUE"""),"CSE220-14 (LAB)
ZMD,IRZ
09B-11L")</f>
        <v>CSE220-14 (LAB)
ZMD,IRZ
09B-11L</v>
      </c>
      <c r="C10" s="90" t="str">
        <f>IFERROR(__xludf.DUMMYFUNCTION("""COMPUTED_VALUE"""),"CSE220-14 (LAB)
ZMD,IRZ
09B-11L")</f>
        <v>CSE220-14 (LAB)
ZMD,IRZ
09B-11L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IFERROR(__xludf.DUMMYFUNCTION("""COMPUTED_VALUE"""),"CSE471-09 (LAB)
PLN,IRZ
12D-26L")</f>
        <v>CSE471-09 (LAB)
PLN,IRZ
12D-26L</v>
      </c>
      <c r="G10" s="90" t="str">
        <f>IFERROR(__xludf.DUMMYFUNCTION("""COMPUTED_VALUE"""),"CSE471-09 (LAB)
PLN,IRZ
12D-26L")</f>
        <v>CSE471-09 (LAB)
PLN,IRZ
12D-26L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IFERROR(__xludf.DUMMYFUNCTION("""COMPUTED_VALUE"""),"CSE220-17 (LAB)
IRZ,CMHQ
09B-10L")</f>
        <v>CSE220-17 (LAB)
IRZ,CMHQ
09B-10L</v>
      </c>
      <c r="C11" s="90" t="str">
        <f>IFERROR(__xludf.DUMMYFUNCTION("""COMPUTED_VALUE"""),"CSE220-17 (LAB)
IRZ,CMHQ
09B-10L")</f>
        <v>CSE220-17 (LAB)
IRZ,CMHQ
09B-10L</v>
      </c>
      <c r="D11" s="90" t="str">
        <f>IFERROR(__xludf.DUMMYFUNCTION("""COMPUTED_VALUE"""),"CSE427-04 (LAB)
CSYR,IRZ
09F-26L")</f>
        <v>CSE427-04 (LAB)
CSYR,IRZ
09F-26L</v>
      </c>
      <c r="E11" s="90" t="str">
        <f>IFERROR(__xludf.DUMMYFUNCTION("""COMPUTED_VALUE"""),"CSE427-04 (LAB)
CSYR,IRZ
09F-26L")</f>
        <v>CSE427-04 (LAB)
CSYR,IRZ
09F-26L</v>
      </c>
      <c r="F11" s="90" t="str">
        <f>IFERROR(__xludf.DUMMYFUNCTION("""COMPUTED_VALUE"""),"CSE422-14 (LAB)
IRZ,RZR
09F-25L")</f>
        <v>CSE422-14 (LAB)
IRZ,RZR
09F-25L</v>
      </c>
      <c r="G11" s="90" t="str">
        <f>IFERROR(__xludf.DUMMYFUNCTION("""COMPUTED_VALUE"""),"CSE422-14 (LAB)
IRZ,RZR
09F-25L")</f>
        <v>CSE422-14 (LAB)
IRZ,RZR
09F-25L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IFERROR(__xludf.DUMMYFUNCTION("""COMPUTED_VALUE"""),6.0)</f>
        <v>6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Ittehad Saleh Chowdhury</v>
      </c>
      <c r="E4" s="57"/>
      <c r="F4" s="58" t="s">
        <v>1</v>
      </c>
      <c r="G4" s="59" t="s">
        <v>72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ittehad.chowdhury@bracu.ac.bd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4P196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IFERROR(__xludf.DUMMYFUNCTION("""COMPUTED_VALUE"""),"Consultation")</f>
        <v>Consultation</v>
      </c>
      <c r="F10" s="90" t="str">
        <f>IFERROR(__xludf.DUMMYFUNCTION("""COMPUTED_VALUE"""),"CSE220-19
09A-05C")</f>
        <v>CSE220-19
09A-05C</v>
      </c>
      <c r="G10" s="90" t="str">
        <f>IFERROR(__xludf.DUMMYFUNCTION("""COMPUTED_VALUE"""),"CSE220-20
09A-05C")</f>
        <v>CSE220-20
09A-05C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IFERROR(__xludf.DUMMYFUNCTION("""COMPUTED_VALUE"""),"Consultation")</f>
        <v>Consultation</v>
      </c>
      <c r="F11" s="90" t="str">
        <f>IFERROR(__xludf.DUMMYFUNCTION("""COMPUTED_VALUE"""),"CSE330-08
07D-20C")</f>
        <v>CSE330-08
07D-20C</v>
      </c>
      <c r="G11" s="90" t="str">
        <f>IFERROR(__xludf.DUMMYFUNCTION("""COMPUTED_VALUE"""),"CSE330-09
07D-20C")</f>
        <v>CSE330-09
07D-20C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IFERROR(__xludf.DUMMYFUNCTION("""COMPUTED_VALUE"""),"Consultation")</f>
        <v>Consultation</v>
      </c>
      <c r="F12" s="90" t="str">
        <f>IFERROR(__xludf.DUMMYFUNCTION("""COMPUTED_VALUE"""),"CSE220-19
09A-05C")</f>
        <v>CSE220-19
09A-05C</v>
      </c>
      <c r="G12" s="90" t="str">
        <f>IFERROR(__xludf.DUMMYFUNCTION("""COMPUTED_VALUE"""),"CSE220-20
09A-05C")</f>
        <v>CSE220-20
09A-05C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IFERROR(__xludf.DUMMYFUNCTION("""COMPUTED_VALUE"""),"Consultation")</f>
        <v>Consultation</v>
      </c>
      <c r="F13" s="90" t="str">
        <f>IFERROR(__xludf.DUMMYFUNCTION("""COMPUTED_VALUE"""),"CSE330-08
07D-20C")</f>
        <v>CSE330-08
07D-20C</v>
      </c>
      <c r="G13" s="90" t="str">
        <f>IFERROR(__xludf.DUMMYFUNCTION("""COMPUTED_VALUE"""),"CSE330-09
07D-20C")</f>
        <v>CSE330-09
07D-20C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Kefaya Benta Shahnoor</v>
      </c>
      <c r="E4" s="57"/>
      <c r="F4" s="58" t="s">
        <v>1</v>
      </c>
      <c r="G4" s="59" t="s">
        <v>219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ext.kefaya.shahnoor@bracu.ac.bd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IFERROR(__xludf.DUMMYFUNCTION("""COMPUTED_VALUE"""),"CSE330-03 (LAB)
SMDS,KBS
10G-34L")</f>
        <v>CSE330-03 (LAB)
SMDS,KBS
10G-34L</v>
      </c>
      <c r="C9" s="86" t="str">
        <f>IFERROR(__xludf.DUMMYFUNCTION("""COMPUTED_VALUE"""),"CSE330-03 (LAB)
SMDS,KBS
10G-34L")</f>
        <v>CSE330-03 (LAB)
SMDS,KBS
10G-34L</v>
      </c>
      <c r="D9" s="86" t="str">
        <f>IFERROR(__xludf.DUMMYFUNCTION("""COMPUTED_VALUE"""),"CSE321-26 (LAB)
AHC,KBS
12D-26L")</f>
        <v>CSE321-26 (LAB)
AHC,KBS
12D-26L</v>
      </c>
      <c r="E9" s="86" t="str">
        <f>IFERROR(__xludf.DUMMYFUNCTION("""COMPUTED_VALUE"""),"CSE321-26 (LAB)
AHC,KBS
12D-26L")</f>
        <v>CSE321-26 (LAB)
AHC,KBS
12D-26L</v>
      </c>
      <c r="F9" s="86" t="str">
        <f>IFERROR(__xludf.DUMMYFUNCTION("""COMPUTED_VALUE"""),"CSE330-10 (LAB)
SHBK,KBS
10G-34L")</f>
        <v>CSE330-10 (LAB)
SHBK,KBS
10G-34L</v>
      </c>
      <c r="G9" s="86" t="str">
        <f>IFERROR(__xludf.DUMMYFUNCTION("""COMPUTED_VALUE"""),"CSE330-10 (LAB)
SHBK,KBS
10G-34L")</f>
        <v>CSE330-10 (LAB)
SHBK,KBS
10G-34L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IFERROR(__xludf.DUMMYFUNCTION("""COMPUTED_VALUE"""),"CSE321-15 (LAB)
HFN,KBS
12D-27L")</f>
        <v>CSE321-15 (LAB)
HFN,KBS
12D-27L</v>
      </c>
      <c r="C11" s="90" t="str">
        <f>IFERROR(__xludf.DUMMYFUNCTION("""COMPUTED_VALUE"""),"CSE321-15 (LAB)
HFN,KBS
12D-27L")</f>
        <v>CSE321-15 (LAB)
HFN,KBS
12D-27L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IFERROR(__xludf.DUMMYFUNCTION("""COMPUTED_VALUE"""),"CSE321-16 (LAB)
SWV,KBS
12D-27L")</f>
        <v>CSE321-16 (LAB)
SWV,KBS
12D-27L</v>
      </c>
      <c r="G11" s="90" t="str">
        <f>IFERROR(__xludf.DUMMYFUNCTION("""COMPUTED_VALUE"""),"CSE321-16 (LAB)
SWV,KBS
12D-27L")</f>
        <v>CSE321-16 (LAB)
SWV,KBS
12D-27L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IFERROR(__xludf.DUMMYFUNCTION("""COMPUTED_VALUE"""),"CSE321-20 (LAB)
SMKD,KBS
10G-34L")</f>
        <v>CSE321-20 (LAB)
SMKD,KBS
10G-34L</v>
      </c>
      <c r="C14" s="90" t="str">
        <f>IFERROR(__xludf.DUMMYFUNCTION("""COMPUTED_VALUE"""),"CSE321-20 (LAB)
SMKD,KBS
10G-34L")</f>
        <v>CSE321-20 (LAB)
SMKD,KBS
10G-34L</v>
      </c>
      <c r="D14" s="90" t="str">
        <f>IFERROR(__xludf.DUMMYFUNCTION("""COMPUTED_VALUE"""),"CSE321-21 (LAB)
SMKD,KBS
10G-34L")</f>
        <v>CSE321-21 (LAB)
SMKD,KBS
10G-34L</v>
      </c>
      <c r="E14" s="90" t="str">
        <f>IFERROR(__xludf.DUMMYFUNCTION("""COMPUTED_VALUE"""),"CSE321-21 (LAB)
SMKD,KBS
10G-34L")</f>
        <v>CSE321-21 (LAB)
SMKD,KBS
10G-34L</v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Md. Khalilur Rahman</v>
      </c>
      <c r="E4" s="57"/>
      <c r="F4" s="58" t="s">
        <v>1</v>
      </c>
      <c r="G4" s="59" t="s">
        <v>73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khalilur@bracu.ac.bd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IFERROR(__xludf.DUMMYFUNCTION("""COMPUTED_VALUE"""),"CSE461-06 (LAB)
KHR,CPTH
10G-33L")</f>
        <v>CSE461-06 (LAB)
KHR,CPTH
10G-33L</v>
      </c>
      <c r="E10" s="90" t="str">
        <f>IFERROR(__xludf.DUMMYFUNCTION("""COMPUTED_VALUE"""),"CSE461-06 (LAB)
KHR,CPTH
10G-33L")</f>
        <v>CSE461-06 (LAB)
KHR,CPTH
10G-33L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IFERROR(__xludf.DUMMYFUNCTION("""COMPUTED_VALUE"""),"CSE461-05 (LAB)
KHR,PRC
10G-33L")</f>
        <v>CSE461-05 (LAB)
KHR,PRC
10G-33L</v>
      </c>
      <c r="E11" s="90" t="str">
        <f>IFERROR(__xludf.DUMMYFUNCTION("""COMPUTED_VALUE"""),"CSE461-05 (LAB)
KHR,PRC
10G-33L")</f>
        <v>CSE461-05 (LAB)
KHR,PRC
10G-33L</v>
      </c>
      <c r="F11" s="90" t="str">
        <f>IFERROR(__xludf.DUMMYFUNCTION("""COMPUTED_VALUE"""),"")</f>
        <v/>
      </c>
      <c r="G11" s="90" t="str">
        <f>IFERROR(__xludf.DUMMYFUNCTION("""COMPUTED_VALUE"""),"CSE461-06
09C-16T,CSE461-07
09C-16T,CSE461-08
09C-16T")</f>
        <v>CSE461-06
09C-16T,CSE461-07
09C-16T,CSE461-08
09C-16T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IFERROR(__xludf.DUMMYFUNCTION("""COMPUTED_VALUE"""),"CSE461-06
09C-16T,CSE461-07
09C-16T,CSE461-08
09C-16T")</f>
        <v>CSE461-06
09C-16T,CSE461-07
09C-16T,CSE461-08
09C-16T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Kabbya Kantam Patwary</v>
      </c>
      <c r="E4" s="57"/>
      <c r="F4" s="58" t="s">
        <v>1</v>
      </c>
      <c r="G4" s="59" t="s">
        <v>74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kabbya.kantam@bracu.ac.bd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IFERROR(__xludf.DUMMYFUNCTION("""COMPUTED_VALUE"""),"CSE419-01
09H-35C")</f>
        <v>CSE419-01
09H-35C</v>
      </c>
      <c r="D10" s="90" t="str">
        <f>IFERROR(__xludf.DUMMYFUNCTION("""COMPUTED_VALUE"""),"CSE221-07 (LAB)
KKP,MRIA
09F-25L")</f>
        <v>CSE221-07 (LAB)
KKP,MRIA
09F-25L</v>
      </c>
      <c r="E10" s="90" t="str">
        <f>IFERROR(__xludf.DUMMYFUNCTION("""COMPUTED_VALUE"""),"CSE221-07 (LAB)
KKP,MRIA
09F-25L")</f>
        <v>CSE221-07 (LAB)
KKP,MRIA
09F-25L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IFERROR(__xludf.DUMMYFUNCTION("""COMPUTED_VALUE"""),"CSE331-03
09H-35C")</f>
        <v>CSE331-03
09H-35C</v>
      </c>
      <c r="C11" s="90" t="str">
        <f>IFERROR(__xludf.DUMMYFUNCTION("""COMPUTED_VALUE"""),"CSE331-04
09H-35C")</f>
        <v>CSE331-04
09H-35C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IFERROR(__xludf.DUMMYFUNCTION("""COMPUTED_VALUE"""),"CSE419-01 (LAB)
CRHB,KKP
FT11-03L")</f>
        <v>CSE419-01 (LAB)
CRHB,KKP
FT11-03L</v>
      </c>
      <c r="G11" s="90" t="str">
        <f>IFERROR(__xludf.DUMMYFUNCTION("""COMPUTED_VALUE"""),"CSE419-01 (LAB)
CRHB,KKP
FT11-03L")</f>
        <v>CSE419-01 (LAB)
CRHB,KKP
FT11-03L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IFERROR(__xludf.DUMMYFUNCTION("""COMPUTED_VALUE"""),"CSE419-01
09H-35C")</f>
        <v>CSE419-01
09H-35C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IFERROR(__xludf.DUMMYFUNCTION("""COMPUTED_VALUE"""),"CSE331-03
09H-35C")</f>
        <v>CSE331-03
09H-35C</v>
      </c>
      <c r="C13" s="90" t="str">
        <f>IFERROR(__xludf.DUMMYFUNCTION("""COMPUTED_VALUE"""),"CSE331-04
09H-35C")</f>
        <v>CSE331-04
09H-35C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 t="str">
        <f>IFERROR(__xludf.DUMMYFUNCTION("""COMPUTED_VALUE"""),"")</f>
        <v/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Khaliduzzaman Khan Samrat</v>
      </c>
      <c r="E4" s="57"/>
      <c r="F4" s="58" t="s">
        <v>1</v>
      </c>
      <c r="G4" s="59" t="s">
        <v>75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md.khaliduzzaman@bracu.ac.bd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IFERROR(__xludf.DUMMYFUNCTION("""COMPUTED_VALUE"""),"CSE422-09 (LAB)
LBBH,KKS
09F-26L")</f>
        <v>CSE422-09 (LAB)
LBBH,KKS
09F-26L</v>
      </c>
      <c r="E9" s="86" t="str">
        <f>IFERROR(__xludf.DUMMYFUNCTION("""COMPUTED_VALUE"""),"CSE422-09 (LAB)
LBBH,KKS
09F-26L")</f>
        <v>CSE422-09 (LAB)
LBBH,KKS
09F-26L</v>
      </c>
      <c r="F9" s="86" t="str">
        <f>IFERROR(__xludf.DUMMYFUNCTION("""COMPUTED_VALUE"""),"CSE220-08
10B-15C")</f>
        <v>CSE220-08
10B-15C</v>
      </c>
      <c r="G9" s="86" t="str">
        <f>IFERROR(__xludf.DUMMYFUNCTION("""COMPUTED_VALUE"""),"CSE422-20
10B-15C")</f>
        <v>CSE422-20
10B-15C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IFERROR(__xludf.DUMMYFUNCTION("""COMPUTED_VALUE"""),"CSE220-03 (LAB)
WBH,KKS
09B-09L")</f>
        <v>CSE220-03 (LAB)
WBH,KKS
09B-09L</v>
      </c>
      <c r="E10" s="90" t="str">
        <f>IFERROR(__xludf.DUMMYFUNCTION("""COMPUTED_VALUE"""),"CSE220-03 (LAB)
WBH,KKS
09B-09L")</f>
        <v>CSE220-03 (LAB)
WBH,KKS
09B-09L</v>
      </c>
      <c r="F10" s="90" t="str">
        <f>IFERROR(__xludf.DUMMYFUNCTION("""COMPUTED_VALUE"""),"CSE220-16
09C-13C")</f>
        <v>CSE220-16
09C-13C</v>
      </c>
      <c r="G10" s="90" t="str">
        <f>IFERROR(__xludf.DUMMYFUNCTION("""COMPUTED_VALUE"""),"CSE220-17
09C-13C")</f>
        <v>CSE220-17
09C-13C</v>
      </c>
      <c r="H10" s="90" t="str">
        <f>IFERROR(__xludf.DUMMYFUNCTION("""COMPUTED_VALUE"""),"Consultation")</f>
        <v>Consultation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IFERROR(__xludf.DUMMYFUNCTION("""COMPUTED_VALUE"""),"Consultation")</f>
        <v>Consultation</v>
      </c>
      <c r="F12" s="90" t="str">
        <f>IFERROR(__xludf.DUMMYFUNCTION("""COMPUTED_VALUE"""),"CSE220-16
09C-13C")</f>
        <v>CSE220-16
09C-13C</v>
      </c>
      <c r="G12" s="90" t="str">
        <f>IFERROR(__xludf.DUMMYFUNCTION("""COMPUTED_VALUE"""),"CSE220-17
09C-13C")</f>
        <v>CSE220-17
09C-13C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IFERROR(__xludf.DUMMYFUNCTION("""COMPUTED_VALUE"""),"CSE220-08
10B-15C")</f>
        <v>CSE220-08
10B-15C</v>
      </c>
      <c r="G14" s="90" t="str">
        <f>IFERROR(__xludf.DUMMYFUNCTION("""COMPUTED_VALUE"""),"CSE422-20
10B-15C")</f>
        <v>CSE422-20
10B-15C</v>
      </c>
      <c r="H14" s="90" t="str">
        <f>IFERROR(__xludf.DUMMYFUNCTION("""COMPUTED_VALUE"""),"Consultation")</f>
        <v>Consultation</v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Khondoker Nazia Iqbal</v>
      </c>
      <c r="E4" s="57"/>
      <c r="F4" s="58" t="s">
        <v>1</v>
      </c>
      <c r="G4" s="59" t="s">
        <v>76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nazia.iqbal@bracu.ac.bd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IFERROR(__xludf.DUMMYFUNCTION("""COMPUTED_VALUE"""),"CSE111-08
08H-22C")</f>
        <v>CSE111-08
08H-22C</v>
      </c>
      <c r="E10" s="90" t="str">
        <f>IFERROR(__xludf.DUMMYFUNCTION("""COMPUTED_VALUE"""),"CSE111-09
08H-22C")</f>
        <v>CSE111-09
08H-22C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IFERROR(__xludf.DUMMYFUNCTION("""COMPUTED_VALUE"""),"CSE110-09
09H-34C")</f>
        <v>CSE110-09
09H-34C</v>
      </c>
      <c r="G11" s="90" t="str">
        <f>IFERROR(__xludf.DUMMYFUNCTION("""COMPUTED_VALUE"""),"CSE110-10
09H-34C")</f>
        <v>CSE110-10
09H-34C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IFERROR(__xludf.DUMMYFUNCTION("""COMPUTED_VALUE"""),"CSE111-08
08H-22C")</f>
        <v>CSE111-08
08H-22C</v>
      </c>
      <c r="E12" s="90" t="str">
        <f>IFERROR(__xludf.DUMMYFUNCTION("""COMPUTED_VALUE"""),"CSE111-09
08H-22C")</f>
        <v>CSE111-09
08H-22C</v>
      </c>
      <c r="F12" s="90" t="str">
        <f>IFERROR(__xludf.DUMMYFUNCTION("""COMPUTED_VALUE"""),"CSE111-17 (LAB)
KNI,YND
09B-08L")</f>
        <v>CSE111-17 (LAB)
KNI,YND
09B-08L</v>
      </c>
      <c r="G12" s="90" t="str">
        <f>IFERROR(__xludf.DUMMYFUNCTION("""COMPUTED_VALUE"""),"CSE111-17 (LAB)
KNI,YND
09B-08L")</f>
        <v>CSE111-17 (LAB)
KNI,YND
09B-08L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IFERROR(__xludf.DUMMYFUNCTION("""COMPUTED_VALUE"""),"CSE110-08 (LAB)
AFA,KNI
09B-09L")</f>
        <v>CSE110-08 (LAB)
AFA,KNI
09B-09L</v>
      </c>
      <c r="E13" s="90" t="str">
        <f>IFERROR(__xludf.DUMMYFUNCTION("""COMPUTED_VALUE"""),"CSE110-08 (LAB)
AFA,KNI
09B-09L")</f>
        <v>CSE110-08 (LAB)
AFA,KNI
09B-09L</v>
      </c>
      <c r="F13" s="90" t="str">
        <f>IFERROR(__xludf.DUMMYFUNCTION("""COMPUTED_VALUE"""),"CSE110-09
09H-34C")</f>
        <v>CSE110-09
09H-34C</v>
      </c>
      <c r="G13" s="90" t="str">
        <f>IFERROR(__xludf.DUMMYFUNCTION("""COMPUTED_VALUE"""),"CSE110-10
09H-34C")</f>
        <v>CSE110-10
09H-34C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IFERROR(__xludf.DUMMYFUNCTION("""COMPUTED_VALUE"""),"**Prayer Break: 1:30 PM to 2:00 PM. Email me before coming to consultation.")</f>
        <v>**Prayer Break: 1:30 PM to 2:00 PM. Email me before coming to consultation.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Mohammad Kaykobad</v>
      </c>
      <c r="E4" s="57"/>
      <c r="F4" s="58" t="s">
        <v>1</v>
      </c>
      <c r="G4" s="59" t="s">
        <v>77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kaykobad@bracu.ac.bd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IFERROR(__xludf.DUMMYFUNCTION("""COMPUTED_VALUE"""),"CSE708-01
08H-26C")</f>
        <v>CSE708-01
08H-26C</v>
      </c>
      <c r="J11" s="91" t="str">
        <f>IFERROR(__xludf.DUMMYFUNCTION("""COMPUTED_VALUE"""),"CSE708-01
08H-26C")</f>
        <v>CSE708-01
08H-26C</v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IFERROR(__xludf.DUMMYFUNCTION("""COMPUTED_VALUE"""),"CSE717-01
08H-22C")</f>
        <v>CSE717-01
08H-22C</v>
      </c>
      <c r="J12" s="91" t="str">
        <f>IFERROR(__xludf.DUMMYFUNCTION("""COMPUTED_VALUE"""),"CSE717-01
08H-22C")</f>
        <v>CSE717-01
08H-22C</v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Kazi Kamruzzaman Rabbi</v>
      </c>
      <c r="E4" s="57"/>
      <c r="F4" s="58" t="s">
        <v>1</v>
      </c>
      <c r="G4" s="59" t="s">
        <v>78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kazi.kamruzzaman@bracu.ac.bd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4N135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IFERROR(__xludf.DUMMYFUNCTION("""COMPUTED_VALUE"""),"CSE471-03
10A-10C")</f>
        <v>CSE471-03
10A-10C</v>
      </c>
      <c r="D9" s="86" t="str">
        <f>IFERROR(__xludf.DUMMYFUNCTION("""COMPUTED_VALUE"""),"CSE370-07 (LAB)
KZMN,NQM
12F-31L")</f>
        <v>CSE370-07 (LAB)
KZMN,NQM
12F-31L</v>
      </c>
      <c r="E9" s="86" t="str">
        <f>IFERROR(__xludf.DUMMYFUNCTION("""COMPUTED_VALUE"""),"CSE370-07 (LAB)
KZMN,NQM
12F-31L")</f>
        <v>CSE370-07 (LAB)
KZMN,NQM
12F-31L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IFERROR(__xludf.DUMMYFUNCTION("""COMPUTED_VALUE"""),"CSE471-06
09H-32C")</f>
        <v>CSE471-06
09H-32C</v>
      </c>
      <c r="C10" s="90" t="str">
        <f>IFERROR(__xludf.DUMMYFUNCTION("""COMPUTED_VALUE"""),"CSE471-07
09H-32C")</f>
        <v>CSE471-07
09H-32C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IFERROR(__xludf.DUMMYFUNCTION("""COMPUTED_VALUE"""),"CSE471-06
09H-32C")</f>
        <v>CSE471-06
09H-32C</v>
      </c>
      <c r="C12" s="90" t="str">
        <f>IFERROR(__xludf.DUMMYFUNCTION("""COMPUTED_VALUE"""),"CSE471-07
09H-32C")</f>
        <v>CSE471-07
09H-32C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IFERROR(__xludf.DUMMYFUNCTION("""COMPUTED_VALUE"""),"CSE471-03
10A-10C")</f>
        <v>CSE471-03
10A-10C</v>
      </c>
      <c r="D14" s="90" t="str">
        <f>IFERROR(__xludf.DUMMYFUNCTION("""COMPUTED_VALUE"""),"CSE471-01 (LAB)
AQU,KZMN
09E-22L")</f>
        <v>CSE471-01 (LAB)
AQU,KZMN
09E-22L</v>
      </c>
      <c r="E14" s="90" t="str">
        <f>IFERROR(__xludf.DUMMYFUNCTION("""COMPUTED_VALUE"""),"CSE471-01 (LAB)
AQU,KZMN
09E-22L")</f>
        <v>CSE471-01 (LAB)
AQU,KZMN
09E-22L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Labib Hasan Khan</v>
      </c>
      <c r="E4" s="57"/>
      <c r="F4" s="58" t="s">
        <v>1</v>
      </c>
      <c r="G4" s="59" t="s">
        <v>79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labib.hasan@bracu.ac.bd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4N136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IFERROR(__xludf.DUMMYFUNCTION("""COMPUTED_VALUE"""),"CSE320-14
10B-15C")</f>
        <v>CSE320-14
10B-15C</v>
      </c>
      <c r="C9" s="86" t="str">
        <f>IFERROR(__xludf.DUMMYFUNCTION("""COMPUTED_VALUE"""),"CSE320-15
10B-15C")</f>
        <v>CSE320-15
10B-15C</v>
      </c>
      <c r="D9" s="86" t="str">
        <f>IFERROR(__xludf.DUMMYFUNCTION("""COMPUTED_VALUE"""),"CSE422-09 (LAB)
LBBH,KKS
09F-26L")</f>
        <v>CSE422-09 (LAB)
LBBH,KKS
09F-26L</v>
      </c>
      <c r="E9" s="86" t="str">
        <f>IFERROR(__xludf.DUMMYFUNCTION("""COMPUTED_VALUE"""),"CSE422-09 (LAB)
LBBH,KKS
09F-26L")</f>
        <v>CSE422-09 (LAB)
LBBH,KKS
09F-26L</v>
      </c>
      <c r="F9" s="86" t="str">
        <f>IFERROR(__xludf.DUMMYFUNCTION("""COMPUTED_VALUE"""),"Thesis (UG)")</f>
        <v>Thesis (UG)</v>
      </c>
      <c r="G9" s="86" t="str">
        <f>IFERROR(__xludf.DUMMYFUNCTION("""COMPUTED_VALUE"""),"Thesis (UG)")</f>
        <v>Thesis (UG)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IFERROR(__xludf.DUMMYFUNCTION("""COMPUTED_VALUE"""),"Thesis (UG)")</f>
        <v>Thesis (UG)</v>
      </c>
      <c r="C11" s="90" t="str">
        <f>IFERROR(__xludf.DUMMYFUNCTION("""COMPUTED_VALUE"""),"Thesis (UG)")</f>
        <v>Thesis (UG)</v>
      </c>
      <c r="D11" s="90" t="str">
        <f>IFERROR(__xludf.DUMMYFUNCTION("""COMPUTED_VALUE"""),"CSE424-01 (LAB)
SBHN,LBBH
12D-26L,CSE424-02 (LAB)
SBHN,LBBH
12D-26L")</f>
        <v>CSE424-01 (LAB)
SBHN,LBBH
12D-26L,CSE424-02 (LAB)
SBHN,LBBH
12D-26L</v>
      </c>
      <c r="E11" s="90" t="str">
        <f>IFERROR(__xludf.DUMMYFUNCTION("""COMPUTED_VALUE"""),"CSE424-01 (LAB)
SBHN,LBBH
12D-26L,CSE424-02 (LAB)
SBHN,LBBH
12D-26L")</f>
        <v>CSE424-01 (LAB)
SBHN,LBBH
12D-26L,CSE424-02 (LAB)
SBHN,LBBH
12D-26L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IFERROR(__xludf.DUMMYFUNCTION("""COMPUTED_VALUE"""),"Consultation")</f>
        <v>Consultation</v>
      </c>
      <c r="C12" s="90" t="str">
        <f>IFERROR(__xludf.DUMMYFUNCTION("""COMPUTED_VALUE"""),"Consultation")</f>
        <v>Consultation</v>
      </c>
      <c r="D12" s="90" t="str">
        <f>IFERROR(__xludf.DUMMYFUNCTION("""COMPUTED_VALUE"""),"CSE440-03 (LAB)
AYO,LBBH
12F-32L,CSE440-04 (LAB)
AYO,LBBH
12F-32L")</f>
        <v>CSE440-03 (LAB)
AYO,LBBH
12F-32L,CSE440-04 (LAB)
AYO,LBBH
12F-32L</v>
      </c>
      <c r="E12" s="90" t="str">
        <f>IFERROR(__xludf.DUMMYFUNCTION("""COMPUTED_VALUE"""),"CSE440-03 (LAB)
AYO,LBBH
12F-32L,CSE440-04 (LAB)
AYO,LBBH
12F-32L")</f>
        <v>CSE440-03 (LAB)
AYO,LBBH
12F-32L,CSE440-04 (LAB)
AYO,LBBH
12F-32L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IFERROR(__xludf.DUMMYFUNCTION("""COMPUTED_VALUE"""),"CSE320-14
10B-15C")</f>
        <v>CSE320-14
10B-15C</v>
      </c>
      <c r="C14" s="90" t="str">
        <f>IFERROR(__xludf.DUMMYFUNCTION("""COMPUTED_VALUE"""),"CSE320-15
10B-15C")</f>
        <v>CSE320-15
10B-15C</v>
      </c>
      <c r="D14" s="90" t="str">
        <f>IFERROR(__xludf.DUMMYFUNCTION("""COMPUTED_VALUE"""),"CSE422-12 (LAB)
LBBH,AJK
09F-26L")</f>
        <v>CSE422-12 (LAB)
LBBH,AJK
09F-26L</v>
      </c>
      <c r="E14" s="90" t="str">
        <f>IFERROR(__xludf.DUMMYFUNCTION("""COMPUTED_VALUE"""),"CSE422-12 (LAB)
LBBH,AJK
09F-26L")</f>
        <v>CSE422-12 (LAB)
LBBH,AJK
09F-26L</v>
      </c>
      <c r="F14" s="90" t="str">
        <f>IFERROR(__xludf.DUMMYFUNCTION("""COMPUTED_VALUE"""),"Consultation")</f>
        <v>Consultation</v>
      </c>
      <c r="G14" s="90" t="str">
        <f>IFERROR(__xludf.DUMMYFUNCTION("""COMPUTED_VALUE"""),"Thesis (UG)")</f>
        <v>Thesis (UG)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Lamiah Israt</v>
      </c>
      <c r="E4" s="57"/>
      <c r="F4" s="58" t="s">
        <v>1</v>
      </c>
      <c r="G4" s="59" t="s">
        <v>220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lamiah.israt@bracu.ac.bd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IFERROR(__xludf.DUMMYFUNCTION("""COMPUTED_VALUE"""),"Consultation")</f>
        <v>Consultation</v>
      </c>
      <c r="G11" s="90" t="str">
        <f>IFERROR(__xludf.DUMMYFUNCTION("""COMPUTED_VALUE"""),"CSE260-25A
07D-19C,CSE260-25B
07D-19C")</f>
        <v>CSE260-25A
07D-19C,CSE260-25B
07D-19C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IFERROR(__xludf.DUMMYFUNCTION("""COMPUTED_VALUE"""),"Consultation")</f>
        <v>Consultation</v>
      </c>
      <c r="F12" s="90" t="str">
        <f>IFERROR(__xludf.DUMMYFUNCTION("""COMPUTED_VALUE"""),"CSE260-13B (LAB)
CSSN,LMI
FT10-03L")</f>
        <v>CSE260-13B (LAB)
CSSN,LMI
FT10-03L</v>
      </c>
      <c r="G12" s="90" t="str">
        <f>IFERROR(__xludf.DUMMYFUNCTION("""COMPUTED_VALUE"""),"CSE260-13B (LAB)
CSSN,LMI
FT10-03L")</f>
        <v>CSE260-13B (LAB)
CSSN,LMI
FT10-03L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IFERROR(__xludf.DUMMYFUNCTION("""COMPUTED_VALUE"""),"CSE260-09B (LAB)
MAO,LMI
FT10-03L")</f>
        <v>CSE260-09B (LAB)
MAO,LMI
FT10-03L</v>
      </c>
      <c r="C13" s="90" t="str">
        <f>IFERROR(__xludf.DUMMYFUNCTION("""COMPUTED_VALUE"""),"CSE260-09B (LAB)
MAO,LMI
FT10-03L")</f>
        <v>CSE260-09B (LAB)
MAO,LMI
FT10-03L</v>
      </c>
      <c r="D13" s="90" t="str">
        <f>IFERROR(__xludf.DUMMYFUNCTION("""COMPUTED_VALUE"""),"CSE260-10B (LAB)
MHM,LMI
FT10-03L")</f>
        <v>CSE260-10B (LAB)
MHM,LMI
FT10-03L</v>
      </c>
      <c r="E13" s="90" t="str">
        <f>IFERROR(__xludf.DUMMYFUNCTION("""COMPUTED_VALUE"""),"CSE260-10B (LAB)
MHM,LMI
FT10-03L")</f>
        <v>CSE260-10B (LAB)
MHM,LMI
FT10-03L</v>
      </c>
      <c r="F13" s="90" t="str">
        <f>IFERROR(__xludf.DUMMYFUNCTION("""COMPUTED_VALUE"""),"Consultation")</f>
        <v>Consultation</v>
      </c>
      <c r="G13" s="90" t="str">
        <f>IFERROR(__xludf.DUMMYFUNCTION("""COMPUTED_VALUE"""),"CSE260-25A
07D-19C,CSE260-25B
07D-19C")</f>
        <v>CSE260-25A
07D-19C,CSE260-25B
07D-19C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IFERROR(__xludf.DUMMYFUNCTION("""COMPUTED_VALUE"""),5.0)</f>
        <v>5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IFERROR(__xludf.DUMMYFUNCTION("""COMPUTED_VALUE"""),"CSE260-02A (LAB)
MDF,LMI
FT10-03L")</f>
        <v>CSE260-02A (LAB)
MDF,LMI
FT10-03L</v>
      </c>
      <c r="E14" s="90" t="str">
        <f>IFERROR(__xludf.DUMMYFUNCTION("""COMPUTED_VALUE"""),"CSE260-02A (LAB)
MDF,LMI
FT10-03L")</f>
        <v>CSE260-02A (LAB)
MDF,LMI
FT10-03L</v>
      </c>
      <c r="F14" s="90" t="str">
        <f>IFERROR(__xludf.DUMMYFUNCTION("""COMPUTED_VALUE"""),"CSE260-05A (LAB)
DZK,LMI
FT10-03L")</f>
        <v>CSE260-05A (LAB)
DZK,LMI
FT10-03L</v>
      </c>
      <c r="G14" s="90" t="str">
        <f>IFERROR(__xludf.DUMMYFUNCTION("""COMPUTED_VALUE"""),"CSE260-05A (LAB)
DZK,LMI
FT10-03L")</f>
        <v>CSE260-05A (LAB)
DZK,LMI
FT10-03L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Lara khanom</v>
      </c>
      <c r="E4" s="57"/>
      <c r="F4" s="58" t="s">
        <v>1</v>
      </c>
      <c r="G4" s="59" t="s">
        <v>80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lara.khanom@bracu.ac.bd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IFERROR(__xludf.DUMMYFUNCTION("""COMPUTED_VALUE"""),"CSE340-11
09C-13C")</f>
        <v>CSE340-11
09C-13C</v>
      </c>
      <c r="E10" s="90" t="str">
        <f>IFERROR(__xludf.DUMMYFUNCTION("""COMPUTED_VALUE"""),"CSE340-12
09C-13C")</f>
        <v>CSE340-12
09C-13C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IFERROR(__xludf.DUMMYFUNCTION("""COMPUTED_VALUE"""),"CSE420-10 (LAB)
SZD,LRK
10E-27L,CSE420-11 (LAB)
SZD,LRK
10E-27L")</f>
        <v>CSE420-10 (LAB)
SZD,LRK
10E-27L,CSE420-11 (LAB)
SZD,LRK
10E-27L</v>
      </c>
      <c r="E11" s="90" t="str">
        <f>IFERROR(__xludf.DUMMYFUNCTION("""COMPUTED_VALUE"""),"CSE420-10 (LAB)
SZD,LRK
10E-27L,CSE420-11 (LAB)
SZD,LRK
10E-27L")</f>
        <v>CSE420-10 (LAB)
SZD,LRK
10E-27L,CSE420-11 (LAB)
SZD,LRK
10E-27L</v>
      </c>
      <c r="F11" s="90" t="str">
        <f>IFERROR(__xludf.DUMMYFUNCTION("""COMPUTED_VALUE"""),"CSE420-05
09A-04C")</f>
        <v>CSE420-05
09A-04C</v>
      </c>
      <c r="G11" s="90" t="str">
        <f>IFERROR(__xludf.DUMMYFUNCTION("""COMPUTED_VALUE"""),"CSE420-06
09A-04C")</f>
        <v>CSE420-06
09A-04C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IFERROR(__xludf.DUMMYFUNCTION("""COMPUTED_VALUE"""),"CSE340-11
09C-13C")</f>
        <v>CSE340-11
09C-13C</v>
      </c>
      <c r="E12" s="90" t="str">
        <f>IFERROR(__xludf.DUMMYFUNCTION("""COMPUTED_VALUE"""),"CSE340-12
09C-13C")</f>
        <v>CSE340-12
09C-13C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IFERROR(__xludf.DUMMYFUNCTION("""COMPUTED_VALUE"""),"CSE420-14 (LAB)
LRK,RDS
10E-27L,CSE420-15 (LAB)
LRK,RDS
10E-27L")</f>
        <v>CSE420-14 (LAB)
LRK,RDS
10E-27L,CSE420-15 (LAB)
LRK,RDS
10E-27L</v>
      </c>
      <c r="E13" s="90" t="str">
        <f>IFERROR(__xludf.DUMMYFUNCTION("""COMPUTED_VALUE"""),"CSE420-14 (LAB)
LRK,RDS
10E-27L,CSE420-15 (LAB)
LRK,RDS
10E-27L")</f>
        <v>CSE420-14 (LAB)
LRK,RDS
10E-27L,CSE420-15 (LAB)
LRK,RDS
10E-27L</v>
      </c>
      <c r="F13" s="90" t="str">
        <f>IFERROR(__xludf.DUMMYFUNCTION("""COMPUTED_VALUE"""),"CSE420-05
09A-04C")</f>
        <v>CSE420-05
09A-04C</v>
      </c>
      <c r="G13" s="90" t="str">
        <f>IFERROR(__xludf.DUMMYFUNCTION("""COMPUTED_VALUE"""),"CSE420-06
09A-04C")</f>
        <v>CSE420-06
09A-04C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ASIF</v>
      </c>
      <c r="E4" s="57"/>
      <c r="F4" s="58" t="s">
        <v>1</v>
      </c>
      <c r="G4" s="59" t="s">
        <v>221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ext.md.asif@bracu.ac.bd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IFERROR(__xludf.DUMMYFUNCTION("""COMPUTED_VALUE"""),"Consultation")</f>
        <v>Consultation</v>
      </c>
      <c r="G9" s="86" t="str">
        <f>IFERROR(__xludf.DUMMYFUNCTION("""COMPUTED_VALUE"""),"CSE420-18
07D-19C")</f>
        <v>CSE420-18
07D-19C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IFERROR(__xludf.DUMMYFUNCTION("""COMPUTED_VALUE"""),"CSE220-18 (LAB)
CESF,MAF
09B-11L")</f>
        <v>CSE220-18 (LAB)
CESF,MAF
09B-11L</v>
      </c>
      <c r="G10" s="90" t="str">
        <f>IFERROR(__xludf.DUMMYFUNCTION("""COMPUTED_VALUE"""),"CSE220-18 (LAB)
CESF,MAF
09B-11L")</f>
        <v>CSE220-18 (LAB)
CESF,MAF
09B-11L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IFERROR(__xludf.DUMMYFUNCTION("""COMPUTED_VALUE"""),"CSE420-12 (LAB)
NLAM,MAF
10E-27L,CSE420-13 (LAB)
NLAM,MAF
10E-27L")</f>
        <v>CSE420-12 (LAB)
NLAM,MAF
10E-27L,CSE420-13 (LAB)
NLAM,MAF
10E-27L</v>
      </c>
      <c r="G11" s="90" t="str">
        <f>IFERROR(__xludf.DUMMYFUNCTION("""COMPUTED_VALUE"""),"CSE420-12 (LAB)
NLAM,MAF
10E-27L,CSE420-13 (LAB)
NLAM,MAF
10E-27L")</f>
        <v>CSE420-12 (LAB)
NLAM,MAF
10E-27L,CSE420-13 (LAB)
NLAM,MAF
10E-27L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IFERROR(__xludf.DUMMYFUNCTION("""COMPUTED_VALUE"""),"CSE420-01 (LAB)
MAF,FMK
10E-27L,CSE420-18 (LAB)
MAF,FMK
10E-27L")</f>
        <v>CSE420-01 (LAB)
MAF,FMK
10E-27L,CSE420-18 (LAB)
MAF,FMK
10E-27L</v>
      </c>
      <c r="C12" s="90" t="str">
        <f>IFERROR(__xludf.DUMMYFUNCTION("""COMPUTED_VALUE"""),"CSE420-01 (LAB)
MAF,FMK
10E-27L,CSE420-18 (LAB)
MAF,FMK
10E-27L")</f>
        <v>CSE420-01 (LAB)
MAF,FMK
10E-27L,CSE420-18 (LAB)
MAF,FMK
10E-27L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IFERROR(__xludf.DUMMYFUNCTION("""COMPUTED_VALUE"""),"CSE420-16 (LAB)
FMK,MAF
10E-27L,CSE420-17 (LAB)
FMK,MAF
10E-27L")</f>
        <v>CSE420-16 (LAB)
FMK,MAF
10E-27L,CSE420-17 (LAB)
FMK,MAF
10E-27L</v>
      </c>
      <c r="G12" s="90" t="str">
        <f>IFERROR(__xludf.DUMMYFUNCTION("""COMPUTED_VALUE"""),"CSE420-16 (LAB)
FMK,MAF
10E-27L,CSE420-17 (LAB)
FMK,MAF
10E-27L")</f>
        <v>CSE420-16 (LAB)
FMK,MAF
10E-27L,CSE420-17 (LAB)
FMK,MAF
10E-27L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IFERROR(__xludf.DUMMYFUNCTION("""COMPUTED_VALUE"""),"CSE110-05 (LAB)
MAF,AOH
09B-08L")</f>
        <v>CSE110-05 (LAB)
MAF,AOH
09B-08L</v>
      </c>
      <c r="E14" s="90" t="str">
        <f>IFERROR(__xludf.DUMMYFUNCTION("""COMPUTED_VALUE"""),"CSE110-05 (LAB)
MAF,AOH
09B-08L")</f>
        <v>CSE110-05 (LAB)
MAF,AOH
09B-08L</v>
      </c>
      <c r="F14" s="90" t="str">
        <f>IFERROR(__xludf.DUMMYFUNCTION("""COMPUTED_VALUE"""),"Consultation")</f>
        <v>Consultation</v>
      </c>
      <c r="G14" s="90" t="str">
        <f>IFERROR(__xludf.DUMMYFUNCTION("""COMPUTED_VALUE"""),"CSE420-18
07D-19C")</f>
        <v>CSE420-18
07D-19C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 ")</f>
        <v> </v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Mahrin Tasfe</v>
      </c>
      <c r="E4" s="57"/>
      <c r="F4" s="58" t="s">
        <v>1</v>
      </c>
      <c r="G4" s="59" t="s">
        <v>81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mahrin.tasfe@bracu.ac.bd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4G30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IFERROR(__xludf.DUMMYFUNCTION("""COMPUTED_VALUE"""),"Consultation")</f>
        <v>Consultation</v>
      </c>
      <c r="C9" s="86" t="str">
        <f>IFERROR(__xludf.DUMMYFUNCTION("""COMPUTED_VALUE"""),"Consultation")</f>
        <v>Consultation</v>
      </c>
      <c r="D9" s="86" t="str">
        <f>IFERROR(__xludf.DUMMYFUNCTION("""COMPUTED_VALUE"""),"CSE220-09
08H-22C")</f>
        <v>CSE220-09
08H-22C</v>
      </c>
      <c r="E9" s="86" t="str">
        <f>IFERROR(__xludf.DUMMYFUNCTION("""COMPUTED_VALUE"""),"CSE220-10
08H-22C")</f>
        <v>CSE220-10
08H-22C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IFERROR(__xludf.DUMMYFUNCTION("""COMPUTED_VALUE"""),"CSE220-06
10B-13C")</f>
        <v>CSE220-06
10B-13C</v>
      </c>
      <c r="C10" s="90" t="str">
        <f>IFERROR(__xludf.DUMMYFUNCTION("""COMPUTED_VALUE"""),"CSE220-07
10B-13C")</f>
        <v>CSE220-07
10B-13C</v>
      </c>
      <c r="D10" s="90" t="str">
        <f>IFERROR(__xludf.DUMMYFUNCTION("""COMPUTED_VALUE"""),"Consultation")</f>
        <v>Consultation</v>
      </c>
      <c r="E10" s="90" t="str">
        <f>IFERROR(__xludf.DUMMYFUNCTION("""COMPUTED_VALUE"""),"Research")</f>
        <v>Research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IFERROR(__xludf.DUMMYFUNCTION("""COMPUTED_VALUE"""),"CSE220-06
10B-13C")</f>
        <v>CSE220-06
10B-13C</v>
      </c>
      <c r="C12" s="90" t="str">
        <f>IFERROR(__xludf.DUMMYFUNCTION("""COMPUTED_VALUE"""),"CSE220-07
10B-13C")</f>
        <v>CSE220-07
10B-13C</v>
      </c>
      <c r="D12" s="90" t="str">
        <f>IFERROR(__xludf.DUMMYFUNCTION("""COMPUTED_VALUE"""),"Consultation")</f>
        <v>Consultation</v>
      </c>
      <c r="E12" s="90" t="str">
        <f>IFERROR(__xludf.DUMMYFUNCTION("""COMPUTED_VALUE"""),"Research")</f>
        <v>Research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IFERROR(__xludf.DUMMYFUNCTION("""COMPUTED_VALUE"""),"CSE220-09
08H-22C")</f>
        <v>CSE220-09
08H-22C</v>
      </c>
      <c r="E14" s="90" t="str">
        <f>IFERROR(__xludf.DUMMYFUNCTION("""COMPUTED_VALUE"""),"CSE220-10
08H-22C")</f>
        <v>CSE220-10
08H-22C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Majisha Jahan Disha</v>
      </c>
      <c r="E4" s="57"/>
      <c r="F4" s="58" t="s">
        <v>1</v>
      </c>
      <c r="G4" s="59" t="s">
        <v>82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majisha.jahan@bracu.ac.bd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IFERROR(__xludf.DUMMYFUNCTION("""COMPUTED_VALUE"""),"CSE260-11A
09A-06C,CSE260-11B
09A-06C")</f>
        <v>CSE260-11A
09A-06C,CSE260-11B
09A-06C</v>
      </c>
      <c r="C9" s="86" t="str">
        <f>IFERROR(__xludf.DUMMYFUNCTION("""COMPUTED_VALUE"""),"CSE260-12A
09A-06C,CSE260-12B
09A-06C")</f>
        <v>CSE260-12A
09A-06C,CSE260-12B
09A-06C</v>
      </c>
      <c r="D9" s="86" t="str">
        <f>IFERROR(__xludf.DUMMYFUNCTION("""COMPUTED_VALUE"""),"Consultation")</f>
        <v>Consultation</v>
      </c>
      <c r="E9" s="86" t="str">
        <f>IFERROR(__xludf.DUMMYFUNCTION("""COMPUTED_VALUE"""),"CSE260-13A
09A-06C,CSE260-13B
09A-06C")</f>
        <v>CSE260-13A
09A-06C,CSE260-13B
09A-06C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IFERROR(__xludf.DUMMYFUNCTION("""COMPUTED_VALUE"""),"Consultation")</f>
        <v>Consultation</v>
      </c>
      <c r="F10" s="90" t="str">
        <f>IFERROR(__xludf.DUMMYFUNCTION("""COMPUTED_VALUE"""),"CSE260-27A (LAB)
MAJIJ,AWK
FT10-02L")</f>
        <v>CSE260-27A (LAB)
MAJIJ,AWK
FT10-02L</v>
      </c>
      <c r="G10" s="90" t="str">
        <f>IFERROR(__xludf.DUMMYFUNCTION("""COMPUTED_VALUE"""),"CSE260-27A (LAB)
MAJIJ,AWK
FT10-02L")</f>
        <v>CSE260-27A (LAB)
MAJIJ,AWK
FT10-02L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IFERROR(__xludf.DUMMYFUNCTION("""COMPUTED_VALUE"""),"CSE260-19A (LAB)
MAJIJ,CNZR
FT10-02L")</f>
        <v>CSE260-19A (LAB)
MAJIJ,CNZR
FT10-02L</v>
      </c>
      <c r="E11" s="90" t="str">
        <f>IFERROR(__xludf.DUMMYFUNCTION("""COMPUTED_VALUE"""),"CSE260-19A (LAB)
MAJIJ,CNZR
FT10-02L")</f>
        <v>CSE260-19A (LAB)
MAJIJ,CNZR
FT10-02L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IFERROR(__xludf.DUMMYFUNCTION("""COMPUTED_VALUE"""),"CSE260-11A
09A-06C,CSE260-11B
09A-06C")</f>
        <v>CSE260-11A
09A-06C,CSE260-11B
09A-06C</v>
      </c>
      <c r="C14" s="90" t="str">
        <f>IFERROR(__xludf.DUMMYFUNCTION("""COMPUTED_VALUE"""),"CSE260-12A
09A-06C,CSE260-12B
09A-06C")</f>
        <v>CSE260-12A
09A-06C,CSE260-12B
09A-06C</v>
      </c>
      <c r="D14" s="90" t="str">
        <f>IFERROR(__xludf.DUMMYFUNCTION("""COMPUTED_VALUE"""),"Consultation")</f>
        <v>Consultation</v>
      </c>
      <c r="E14" s="90" t="str">
        <f>IFERROR(__xludf.DUMMYFUNCTION("""COMPUTED_VALUE"""),"CSE260-13A
09A-06C,CSE260-13B
09A-06C")</f>
        <v>CSE260-13A
09A-06C,CSE260-13B
09A-06C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IFERROR(__xludf.DUMMYFUNCTION("""COMPUTED_VALUE"""),"For the 2 PM and 12 30 PM CONSULTATION slots, mail/msg before")</f>
        <v>For the 2 PM and 12 30 PM CONSULTATION slots, mail/msg before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Mirza Abdullah Al Noman</v>
      </c>
      <c r="E4" s="57"/>
      <c r="F4" s="58" t="s">
        <v>1</v>
      </c>
      <c r="G4" s="59" t="s">
        <v>83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mirza.abdullah@bracu.ac.bd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IFERROR(__xludf.DUMMYFUNCTION("""COMPUTED_VALUE"""),"CSE340-20
08H-22C")</f>
        <v>CSE340-20
08H-22C</v>
      </c>
      <c r="D9" s="86" t="str">
        <f>IFERROR(__xludf.DUMMYFUNCTION("""COMPUTED_VALUE"""),"CSE260-22B (LAB)
MAO,NTN
FT11-01L")</f>
        <v>CSE260-22B (LAB)
MAO,NTN
FT11-01L</v>
      </c>
      <c r="E9" s="86" t="str">
        <f>IFERROR(__xludf.DUMMYFUNCTION("""COMPUTED_VALUE"""),"CSE260-22B (LAB)
MAO,NTN
FT11-01L")</f>
        <v>CSE260-22B (LAB)
MAO,NTN
FT11-01L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IFERROR(__xludf.DUMMYFUNCTION("""COMPUTED_VALUE"""),"CSE321-14 (LAB)
CNZR,MAO
12D-27L")</f>
        <v>CSE321-14 (LAB)
CNZR,MAO
12D-27L</v>
      </c>
      <c r="E10" s="90" t="str">
        <f>IFERROR(__xludf.DUMMYFUNCTION("""COMPUTED_VALUE"""),"CSE321-14 (LAB)
CNZR,MAO
12D-27L")</f>
        <v>CSE321-14 (LAB)
CNZR,MAO
12D-27L</v>
      </c>
      <c r="F10" s="90" t="str">
        <f>IFERROR(__xludf.DUMMYFUNCTION("""COMPUTED_VALUE"""),"CSE321-02 (LAB)
HFN,MAO
12D-27L")</f>
        <v>CSE321-02 (LAB)
HFN,MAO
12D-27L</v>
      </c>
      <c r="G10" s="90" t="str">
        <f>IFERROR(__xludf.DUMMYFUNCTION("""COMPUTED_VALUE"""),"CSE321-02 (LAB)
HFN,MAO
12D-27L")</f>
        <v>CSE321-02 (LAB)
HFN,MAO
12D-27L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IFERROR(__xludf.DUMMYFUNCTION("""COMPUTED_VALUE"""),"CSE260-09B (LAB)
MAO,LMI
FT10-03L")</f>
        <v>CSE260-09B (LAB)
MAO,LMI
FT10-03L</v>
      </c>
      <c r="C13" s="90" t="str">
        <f>IFERROR(__xludf.DUMMYFUNCTION("""COMPUTED_VALUE"""),"CSE260-09B (LAB)
MAO,LMI
FT10-03L")</f>
        <v>CSE260-09B (LAB)
MAO,LMI
FT10-03L</v>
      </c>
      <c r="D13" s="90" t="str">
        <f>IFERROR(__xludf.DUMMYFUNCTION("""COMPUTED_VALUE"""),"CSE321-13 (LAB)
SULT,MAO
12D-27L")</f>
        <v>CSE321-13 (LAB)
SULT,MAO
12D-27L</v>
      </c>
      <c r="E13" s="90" t="str">
        <f>IFERROR(__xludf.DUMMYFUNCTION("""COMPUTED_VALUE"""),"CSE321-13 (LAB)
SULT,MAO
12D-27L")</f>
        <v>CSE321-13 (LAB)
SULT,MAO
12D-27L</v>
      </c>
      <c r="F13" s="90" t="str">
        <f>IFERROR(__xludf.DUMMYFUNCTION("""COMPUTED_VALUE"""),"CSE321-12 (LAB)
SMKD,MAO
12D-26L")</f>
        <v>CSE321-12 (LAB)
SMKD,MAO
12D-26L</v>
      </c>
      <c r="G13" s="90" t="str">
        <f>IFERROR(__xludf.DUMMYFUNCTION("""COMPUTED_VALUE"""),"CSE321-12 (LAB)
SMKD,MAO
12D-26L")</f>
        <v>CSE321-12 (LAB)
SMKD,MAO
12D-26L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IFERROR(__xludf.DUMMYFUNCTION("""COMPUTED_VALUE"""),6.0)</f>
        <v>6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IFERROR(__xludf.DUMMYFUNCTION("""COMPUTED_VALUE"""),"CSE340-20
08H-22C")</f>
        <v>CSE340-20
08H-22C</v>
      </c>
      <c r="D14" s="90" t="str">
        <f>IFERROR(__xludf.DUMMYFUNCTION("""COMPUTED_VALUE"""),"CSE260-07A (LAB)
AHA,MAO
FT10-02L")</f>
        <v>CSE260-07A (LAB)
AHA,MAO
FT10-02L</v>
      </c>
      <c r="E14" s="90" t="str">
        <f>IFERROR(__xludf.DUMMYFUNCTION("""COMPUTED_VALUE"""),"CSE260-07A (LAB)
AHA,MAO
FT10-02L")</f>
        <v>CSE260-07A (LAB)
AHA,MAO
FT10-02L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Marshia Nujhat</v>
      </c>
      <c r="E4" s="57"/>
      <c r="F4" s="58" t="s">
        <v>1</v>
      </c>
      <c r="G4" s="59" t="s">
        <v>84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marshia.nujhat@bracu.ac.bd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IFERROR(__xludf.DUMMYFUNCTION("""COMPUTED_VALUE"""),"CSE110-11
09A-03C")</f>
        <v>CSE110-11
09A-03C</v>
      </c>
      <c r="D10" s="90" t="str">
        <f>IFERROR(__xludf.DUMMYFUNCTION("""COMPUTED_VALUE"""),"CSE370-09 (LAB)
MAU,FZN
12F-32L")</f>
        <v>CSE370-09 (LAB)
MAU,FZN
12F-32L</v>
      </c>
      <c r="E10" s="90" t="str">
        <f>IFERROR(__xludf.DUMMYFUNCTION("""COMPUTED_VALUE"""),"CSE370-09 (LAB)
MAU,FZN
12F-32L")</f>
        <v>CSE370-09 (LAB)
MAU,FZN
12F-32L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IFERROR(__xludf.DUMMYFUNCTION("""COMPUTED_VALUE"""),"CSE111-15
09A-03C")</f>
        <v>CSE111-15
09A-03C</v>
      </c>
      <c r="D11" s="90" t="str">
        <f>IFERROR(__xludf.DUMMYFUNCTION("""COMPUTED_VALUE"""),"CSE111-16
09A-03C")</f>
        <v>CSE111-16
09A-03C</v>
      </c>
      <c r="E11" s="90" t="str">
        <f>IFERROR(__xludf.DUMMYFUNCTION("""COMPUTED_VALUE"""),"Consultation")</f>
        <v>Consultation</v>
      </c>
      <c r="F11" s="90" t="str">
        <f>IFERROR(__xludf.DUMMYFUNCTION("""COMPUTED_VALUE"""),"CSE370-06 (LAB)
SHRR,MAU
12F-32L")</f>
        <v>CSE370-06 (LAB)
SHRR,MAU
12F-32L</v>
      </c>
      <c r="G11" s="90" t="str">
        <f>IFERROR(__xludf.DUMMYFUNCTION("""COMPUTED_VALUE"""),"CSE370-06 (LAB)
SHRR,MAU
12F-32L")</f>
        <v>CSE370-06 (LAB)
SHRR,MAU
12F-32L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IFERROR(__xludf.DUMMYFUNCTION("""COMPUTED_VALUE"""),"CSE110-11
09A-03C")</f>
        <v>CSE110-11
09A-03C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IFERROR(__xludf.DUMMYFUNCTION("""COMPUTED_VALUE"""),"CSE472-01 (LAB)
MAU,UJT
12F-30L")</f>
        <v>CSE472-01 (LAB)
MAU,UJT
12F-30L</v>
      </c>
      <c r="G12" s="90" t="str">
        <f>IFERROR(__xludf.DUMMYFUNCTION("""COMPUTED_VALUE"""),"CSE472-01 (LAB)
MAU,UJT
12F-30L")</f>
        <v>CSE472-01 (LAB)
MAU,UJT
12F-30L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IFERROR(__xludf.DUMMYFUNCTION("""COMPUTED_VALUE"""),"CSE111-15
09A-03C")</f>
        <v>CSE111-15
09A-03C</v>
      </c>
      <c r="D13" s="90" t="str">
        <f>IFERROR(__xludf.DUMMYFUNCTION("""COMPUTED_VALUE"""),"CSE111-16
09A-03C")</f>
        <v>CSE111-16
09A-03C</v>
      </c>
      <c r="E13" s="90" t="str">
        <f>IFERROR(__xludf.DUMMYFUNCTION("""COMPUTED_VALUE"""),"Consultation")</f>
        <v>Consultation</v>
      </c>
      <c r="F13" s="90" t="str">
        <f>IFERROR(__xludf.DUMMYFUNCTION("""COMPUTED_VALUE"""),"CSE370-14 (LAB)
SHRR,MAU
12F-30L")</f>
        <v>CSE370-14 (LAB)
SHRR,MAU
12F-30L</v>
      </c>
      <c r="G13" s="90" t="str">
        <f>IFERROR(__xludf.DUMMYFUNCTION("""COMPUTED_VALUE"""),"CSE370-14 (LAB)
SHRR,MAU
12F-30L")</f>
        <v>CSE370-14 (LAB)
SHRR,MAU
12F-30L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Mahjabin Chowdhury</v>
      </c>
      <c r="E4" s="57"/>
      <c r="F4" s="58" t="s">
        <v>1</v>
      </c>
      <c r="G4" s="59" t="s">
        <v>222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ext.mahjabin@bracu.ac.bd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IFERROR(__xludf.DUMMYFUNCTION("""COMPUTED_VALUE"""),"Consultation by appointment")</f>
        <v>Consultation by appointment</v>
      </c>
      <c r="C10" s="90" t="str">
        <f>IFERROR(__xludf.DUMMYFUNCTION("""COMPUTED_VALUE"""),"Consultation by appointment")</f>
        <v>Consultation by appointment</v>
      </c>
      <c r="D10" s="90" t="str">
        <f>IFERROR(__xludf.DUMMYFUNCTION("""COMPUTED_VALUE"""),"CSE440-01 (LAB)
MCW,NLH
12F-30L,CSE440-02 (LAB)
MCW,NLH
12F-30L")</f>
        <v>CSE440-01 (LAB)
MCW,NLH
12F-30L,CSE440-02 (LAB)
MCW,NLH
12F-30L</v>
      </c>
      <c r="E10" s="90" t="str">
        <f>IFERROR(__xludf.DUMMYFUNCTION("""COMPUTED_VALUE"""),"CSE440-01 (LAB)
MCW,NLH
12F-30L,CSE440-02 (LAB)
MCW,NLH
12F-30L")</f>
        <v>CSE440-01 (LAB)
MCW,NLH
12F-30L,CSE440-02 (LAB)
MCW,NLH
12F-30L</v>
      </c>
      <c r="F10" s="90" t="str">
        <f>IFERROR(__xludf.DUMMYFUNCTION("""COMPUTED_VALUE"""),"CSE260-16B (LAB)
MDF,MCW
FT10-04L")</f>
        <v>CSE260-16B (LAB)
MDF,MCW
FT10-04L</v>
      </c>
      <c r="G10" s="90" t="str">
        <f>IFERROR(__xludf.DUMMYFUNCTION("""COMPUTED_VALUE"""),"CSE260-16B (LAB)
MDF,MCW
FT10-04L")</f>
        <v>CSE260-16B (LAB)
MDF,MCW
FT10-04L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IFERROR(__xludf.DUMMYFUNCTION("""COMPUTED_VALUE"""),"CSE260-23A (LAB)
MCW,NQM
FT10-04L")</f>
        <v>CSE260-23A (LAB)
MCW,NQM
FT10-04L</v>
      </c>
      <c r="C11" s="90" t="str">
        <f>IFERROR(__xludf.DUMMYFUNCTION("""COMPUTED_VALUE"""),"CSE260-23A (LAB)
MCW,NQM
FT10-04L")</f>
        <v>CSE260-23A (LAB)
MCW,NQM
FT10-04L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IFERROR(__xludf.DUMMYFUNCTION("""COMPUTED_VALUE"""),"CSE260-12A (LAB)
SMDS,MCW
FT10-04L")</f>
        <v>CSE260-12A (LAB)
SMDS,MCW
FT10-04L</v>
      </c>
      <c r="E12" s="90" t="str">
        <f>IFERROR(__xludf.DUMMYFUNCTION("""COMPUTED_VALUE"""),"CSE260-12A (LAB)
SMDS,MCW
FT10-04L")</f>
        <v>CSE260-12A (LAB)
SMDS,MCW
FT10-04L</v>
      </c>
      <c r="F12" s="90" t="str">
        <f>IFERROR(__xludf.DUMMYFUNCTION("""COMPUTED_VALUE"""),"CSE260-12B (LAB)
MCW,SMDS
FT10-04L")</f>
        <v>CSE260-12B (LAB)
MCW,SMDS
FT10-04L</v>
      </c>
      <c r="G12" s="90" t="str">
        <f>IFERROR(__xludf.DUMMYFUNCTION("""COMPUTED_VALUE"""),"CSE260-12B (LAB)
MCW,SMDS
FT10-04L")</f>
        <v>CSE260-12B (LAB)
MCW,SMDS
FT10-04L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IFERROR(__xludf.DUMMYFUNCTION("""COMPUTED_VALUE"""),"CSE260-10A (LAB)
MCW,CAYR
FT10-02L")</f>
        <v>CSE260-10A (LAB)
MCW,CAYR
FT10-02L</v>
      </c>
      <c r="E13" s="90" t="str">
        <f>IFERROR(__xludf.DUMMYFUNCTION("""COMPUTED_VALUE"""),"CSE260-10A (LAB)
MCW,CAYR
FT10-02L")</f>
        <v>CSE260-10A (LAB)
MCW,CAYR
FT10-02L</v>
      </c>
      <c r="F13" s="90" t="str">
        <f>IFERROR(__xludf.DUMMYFUNCTION("""COMPUTED_VALUE"""),"CSE260-08B (LAB)
MCW,CMHH
FT10-03L")</f>
        <v>CSE260-08B (LAB)
MCW,CMHH
FT10-03L</v>
      </c>
      <c r="G13" s="90" t="str">
        <f>IFERROR(__xludf.DUMMYFUNCTION("""COMPUTED_VALUE"""),"CSE260-08B (LAB)
MCW,CMHH
FT10-03L")</f>
        <v>CSE260-08B (LAB)
MCW,CMHH
FT10-03L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Mohammad Fahim</v>
      </c>
      <c r="E4" s="57"/>
      <c r="F4" s="58" t="s">
        <v>1</v>
      </c>
      <c r="G4" s="59" t="s">
        <v>85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mohammad.fahim@bracu.ac.bd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IFERROR(__xludf.DUMMYFUNCTION("""COMPUTED_VALUE"""),"CSE260-20A (LAB)
MDF,NMP
FT10-04L")</f>
        <v>CSE260-20A (LAB)
MDF,NMP
FT10-04L</v>
      </c>
      <c r="C9" s="86" t="str">
        <f>IFERROR(__xludf.DUMMYFUNCTION("""COMPUTED_VALUE"""),"CSE260-20A (LAB)
MDF,NMP
FT10-04L")</f>
        <v>CSE260-20A (LAB)
MDF,NMP
FT10-04L</v>
      </c>
      <c r="D9" s="86" t="str">
        <f>IFERROR(__xludf.DUMMYFUNCTION("""COMPUTED_VALUE"""),"CSE260-22A (LAB)
MDF,AHA
FT10-04L")</f>
        <v>CSE260-22A (LAB)
MDF,AHA
FT10-04L</v>
      </c>
      <c r="E9" s="86" t="str">
        <f>IFERROR(__xludf.DUMMYFUNCTION("""COMPUTED_VALUE"""),"CSE260-22A (LAB)
MDF,AHA
FT10-04L")</f>
        <v>CSE260-22A (LAB)
MDF,AHA
FT10-04L</v>
      </c>
      <c r="F9" s="86" t="str">
        <f>IFERROR(__xludf.DUMMYFUNCTION("""COMPUTED_VALUE"""),"Consultation")</f>
        <v>Consultation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IFERROR(__xludf.DUMMYFUNCTION("""COMPUTED_VALUE"""),"CSE260-26B (LAB)
MDF,SMDS
FT10-03L")</f>
        <v>CSE260-26B (LAB)
MDF,SMDS
FT10-03L</v>
      </c>
      <c r="E10" s="90" t="str">
        <f>IFERROR(__xludf.DUMMYFUNCTION("""COMPUTED_VALUE"""),"CSE260-26B (LAB)
MDF,SMDS
FT10-03L")</f>
        <v>CSE260-26B (LAB)
MDF,SMDS
FT10-03L</v>
      </c>
      <c r="F10" s="90" t="str">
        <f>IFERROR(__xludf.DUMMYFUNCTION("""COMPUTED_VALUE"""),"CSE260-16B (LAB)
MDF,MCW
FT10-04L")</f>
        <v>CSE260-16B (LAB)
MDF,MCW
FT10-04L</v>
      </c>
      <c r="G10" s="90" t="str">
        <f>IFERROR(__xludf.DUMMYFUNCTION("""COMPUTED_VALUE"""),"CSE260-16B (LAB)
MDF,MCW
FT10-04L")</f>
        <v>CSE260-16B (LAB)
MDF,MCW
FT10-04L</v>
      </c>
      <c r="H10" s="90" t="str">
        <f>IFERROR(__xludf.DUMMYFUNCTION("""COMPUTED_VALUE"""),"Consultation")</f>
        <v>Consultation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IFERROR(__xludf.DUMMYFUNCTION("""COMPUTED_VALUE"""),"Consultation")</f>
        <v>Consultation</v>
      </c>
      <c r="F11" s="90" t="str">
        <f>IFERROR(__xludf.DUMMYFUNCTION("""COMPUTED_VALUE"""),"CSE260-17B (LAB)
MDF,MHM
FT10-03L")</f>
        <v>CSE260-17B (LAB)
MDF,MHM
FT10-03L</v>
      </c>
      <c r="G11" s="90" t="str">
        <f>IFERROR(__xludf.DUMMYFUNCTION("""COMPUTED_VALUE"""),"CSE260-17B (LAB)
MDF,MHM
FT10-03L")</f>
        <v>CSE260-17B (LAB)
MDF,MHM
FT10-03L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IFERROR(__xludf.DUMMYFUNCTION("""COMPUTED_VALUE"""),"CSE260-01B (LAB)
MDF,MHM
FT10-03L")</f>
        <v>CSE260-01B (LAB)
MDF,MHM
FT10-03L</v>
      </c>
      <c r="C14" s="90" t="str">
        <f>IFERROR(__xludf.DUMMYFUNCTION("""COMPUTED_VALUE"""),"CSE260-01B (LAB)
MDF,MHM
FT10-03L")</f>
        <v>CSE260-01B (LAB)
MDF,MHM
FT10-03L</v>
      </c>
      <c r="D14" s="90" t="str">
        <f>IFERROR(__xludf.DUMMYFUNCTION("""COMPUTED_VALUE"""),"CSE260-02A (LAB)
MDF,LMI
FT10-03L")</f>
        <v>CSE260-02A (LAB)
MDF,LMI
FT10-03L</v>
      </c>
      <c r="E14" s="90" t="str">
        <f>IFERROR(__xludf.DUMMYFUNCTION("""COMPUTED_VALUE"""),"CSE260-02A (LAB)
MDF,LMI
FT10-03L")</f>
        <v>CSE260-02A (LAB)
MDF,LMI
FT10-03L</v>
      </c>
      <c r="F14" s="90" t="str">
        <f>IFERROR(__xludf.DUMMYFUNCTION("""COMPUTED_VALUE"""),"CSE260-05B (LAB)
MDF,AHA
FT10-04L")</f>
        <v>CSE260-05B (LAB)
MDF,AHA
FT10-04L</v>
      </c>
      <c r="G14" s="90" t="str">
        <f>IFERROR(__xludf.DUMMYFUNCTION("""COMPUTED_VALUE"""),"CSE260-05B (LAB)
MDF,AHA
FT10-04L")</f>
        <v>CSE260-05B (LAB)
MDF,AHA
FT10-04L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IFERROR(__xludf.DUMMYFUNCTION("""COMPUTED_VALUE"""),"****Please send an email before coming to consultation")</f>
        <v>****Please send an email before coming to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Mehedi Hasan Emo</v>
      </c>
      <c r="E4" s="57"/>
      <c r="F4" s="58" t="s">
        <v>1</v>
      </c>
      <c r="G4" s="59" t="s">
        <v>86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mehedi.emo@bracu.ac.bd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4M134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IFERROR(__xludf.DUMMYFUNCTION("""COMPUTED_VALUE"""),"9:15 AM")</f>
        <v>9:15 AM</v>
      </c>
      <c r="D8" s="80" t="str">
        <f>IFERROR(__xludf.DUMMYFUNCTION("""COMPUTED_VALUE"""),"10:30 AM")</f>
        <v>10:30 AM</v>
      </c>
      <c r="E8" s="80" t="str">
        <f>IFERROR(__xludf.DUMMYFUNCTION("""COMPUTED_VALUE"""),"11:45 AM")</f>
        <v>11:45 AM</v>
      </c>
      <c r="F8" s="80" t="str">
        <f>IFERROR(__xludf.DUMMYFUNCTION("""COMPUTED_VALUE"""),"1:00 PM")</f>
        <v>1:00 PM</v>
      </c>
      <c r="G8" s="80" t="str">
        <f>IFERROR(__xludf.DUMMYFUNCTION("""COMPUTED_VALUE"""),"2:15 PM")</f>
        <v>2:15 PM</v>
      </c>
      <c r="H8" s="80" t="str">
        <f>IFERROR(__xludf.DUMMYFUNCTION("""COMPUTED_VALUE"""),"3:30 PM")</f>
        <v>3:30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IFERROR(__xludf.DUMMYFUNCTION("""COMPUTED_VALUE"""),"CSE471-08
10B-16C")</f>
        <v>CSE471-08
10B-16C</v>
      </c>
      <c r="D9" s="86" t="str">
        <f>IFERROR(__xludf.DUMMYFUNCTION("""COMPUTED_VALUE"""),"CSE471-09
10B-16C")</f>
        <v>CSE471-09
10B-16C</v>
      </c>
      <c r="E9" s="86" t="str">
        <f>IFERROR(__xludf.DUMMYFUNCTION("""COMPUTED_VALUE"""),"Consultation")</f>
        <v>Consultation</v>
      </c>
      <c r="F9" s="86" t="str">
        <f>IFERROR(__xludf.DUMMYFUNCTION("""COMPUTED_VALUE"""),"CSE422-22 (LAB)
MHDE,AHC
09F-26L")</f>
        <v>CSE422-22 (LAB)
MHDE,AHC
09F-26L</v>
      </c>
      <c r="G9" s="86" t="str">
        <f>IFERROR(__xludf.DUMMYFUNCTION("""COMPUTED_VALUE"""),"CSE422-22 (LAB)
MHDE,AHC
09F-26L")</f>
        <v>CSE422-22 (LAB)
MHDE,AHC
09F-26L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IFERROR(__xludf.DUMMYFUNCTION("""COMPUTED_VALUE"""),"CSE471-10
09A-06C")</f>
        <v>CSE471-10
09A-06C</v>
      </c>
      <c r="D11" s="90" t="str">
        <f>IFERROR(__xludf.DUMMYFUNCTION("""COMPUTED_VALUE"""),"CSE471-02
09A-06C")</f>
        <v>CSE471-02
09A-06C</v>
      </c>
      <c r="E11" s="90" t="str">
        <f>IFERROR(__xludf.DUMMYFUNCTION("""COMPUTED_VALUE"""),"Consultation")</f>
        <v>Consultation</v>
      </c>
      <c r="F11" s="90" t="str">
        <f>IFERROR(__xludf.DUMMYFUNCTION("""COMPUTED_VALUE"""),"CSE422-07 (LAB)
MHDE,YND
09F-24L")</f>
        <v>CSE422-07 (LAB)
MHDE,YND
09F-24L</v>
      </c>
      <c r="G11" s="90" t="str">
        <f>IFERROR(__xludf.DUMMYFUNCTION("""COMPUTED_VALUE"""),"CSE422-07 (LAB)
MHDE,YND
09F-24L")</f>
        <v>CSE422-07 (LAB)
MHDE,YND
09F-24L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IFERROR(__xludf.DUMMYFUNCTION("""COMPUTED_VALUE"""),"CSE471-10
09A-06C")</f>
        <v>CSE471-10
09A-06C</v>
      </c>
      <c r="D13" s="90" t="str">
        <f>IFERROR(__xludf.DUMMYFUNCTION("""COMPUTED_VALUE"""),"CSE471-02
09A-06C")</f>
        <v>CSE471-02
09A-06C</v>
      </c>
      <c r="E13" s="90" t="str">
        <f>IFERROR(__xludf.DUMMYFUNCTION("""COMPUTED_VALUE"""),"Consultation")</f>
        <v>Consultation</v>
      </c>
      <c r="F13" s="90" t="str">
        <f>IFERROR(__xludf.DUMMYFUNCTION("""COMPUTED_VALUE"""),"Research/ Project/ Internship")</f>
        <v>Research/ Project/ Internship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IFERROR(__xludf.DUMMYFUNCTION("""COMPUTED_VALUE"""),"CSE471-08
10B-16C")</f>
        <v>CSE471-08
10B-16C</v>
      </c>
      <c r="D14" s="90" t="str">
        <f>IFERROR(__xludf.DUMMYFUNCTION("""COMPUTED_VALUE"""),"CSE471-09
10B-16C")</f>
        <v>CSE471-09
10B-16C</v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IFERROR(__xludf.DUMMYFUNCTION("""COMPUTED_VALUE"""),"SAT + MON - Consultation is up to 01:30 PM.")</f>
        <v>SAT + MON - Consultation is up to 01:30 PM.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Maharin Mosfakin</v>
      </c>
      <c r="E4" s="57"/>
      <c r="F4" s="58" t="s">
        <v>1</v>
      </c>
      <c r="G4" s="59" t="s">
        <v>223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ext.maharin.mosfakin@bracu.ac.bd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IFERROR(__xludf.DUMMYFUNCTION("""COMPUTED_VALUE"""),"EEE362-01 (LAB)
MHM
FT11-03L")</f>
        <v>EEE362-01 (LAB)
MHM
FT11-03L</v>
      </c>
      <c r="G9" s="86" t="str">
        <f>IFERROR(__xludf.DUMMYFUNCTION("""COMPUTED_VALUE"""),"EEE362-01 (LAB)
MHM
FT11-03L")</f>
        <v>EEE362-01 (LAB)
MHM
FT11-03L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 with Appointment")</f>
        <v>Consultation with Appointment</v>
      </c>
      <c r="F11" s="90" t="str">
        <f>IFERROR(__xludf.DUMMYFUNCTION("""COMPUTED_VALUE"""),"CSE260-17B (LAB)
MDF,MHM
FT10-03L")</f>
        <v>CSE260-17B (LAB)
MDF,MHM
FT10-03L</v>
      </c>
      <c r="G11" s="90" t="str">
        <f>IFERROR(__xludf.DUMMYFUNCTION("""COMPUTED_VALUE"""),"CSE260-17B (LAB)
MDF,MHM
FT10-03L")</f>
        <v>CSE260-17B (LAB)
MDF,MHM
FT10-03L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IFERROR(__xludf.DUMMYFUNCTION("""COMPUTED_VALUE"""),"CSE423-15 (LAB)
MHM,ANKH
10E-27L,CSE423-16 (LAB)
MHM,ANKH
10E-27L")</f>
        <v>CSE423-15 (LAB)
MHM,ANKH
10E-27L,CSE423-16 (LAB)
MHM,ANKH
10E-27L</v>
      </c>
      <c r="C13" s="90" t="str">
        <f>IFERROR(__xludf.DUMMYFUNCTION("""COMPUTED_VALUE"""),"CSE423-15 (LAB)
MHM,ANKH
10E-27L,CSE423-16 (LAB)
MHM,ANKH
10E-27L")</f>
        <v>CSE423-15 (LAB)
MHM,ANKH
10E-27L,CSE423-16 (LAB)
MHM,ANKH
10E-27L</v>
      </c>
      <c r="D13" s="90" t="str">
        <f>IFERROR(__xludf.DUMMYFUNCTION("""COMPUTED_VALUE"""),"CSE260-10B (LAB)
MHM,LMI
FT10-03L")</f>
        <v>CSE260-10B (LAB)
MHM,LMI
FT10-03L</v>
      </c>
      <c r="E13" s="90" t="str">
        <f>IFERROR(__xludf.DUMMYFUNCTION("""COMPUTED_VALUE"""),"CSE260-10B (LAB)
MHM,LMI
FT10-03L")</f>
        <v>CSE260-10B (LAB)
MHM,LMI
FT10-03L</v>
      </c>
      <c r="F13" s="90" t="str">
        <f>IFERROR(__xludf.DUMMYFUNCTION("""COMPUTED_VALUE"""),"CSE423-22 (LAB)
MHM,ANT
09F-24L")</f>
        <v>CSE423-22 (LAB)
MHM,ANT
09F-24L</v>
      </c>
      <c r="G13" s="90" t="str">
        <f>IFERROR(__xludf.DUMMYFUNCTION("""COMPUTED_VALUE"""),"CSE423-22 (LAB)
MHM,ANT
09F-24L")</f>
        <v>CSE423-22 (LAB)
MHM,ANT
09F-24L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IFERROR(__xludf.DUMMYFUNCTION("""COMPUTED_VALUE"""),6.0)</f>
        <v>6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IFERROR(__xludf.DUMMYFUNCTION("""COMPUTED_VALUE"""),"CSE260-01B (LAB)
MDF,MHM
FT10-03L")</f>
        <v>CSE260-01B (LAB)
MDF,MHM
FT10-03L</v>
      </c>
      <c r="C14" s="90" t="str">
        <f>IFERROR(__xludf.DUMMYFUNCTION("""COMPUTED_VALUE"""),"CSE260-01B (LAB)
MDF,MHM
FT10-03L")</f>
        <v>CSE260-01B (LAB)
MDF,MHM
FT10-03L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IFERROR(__xludf.DUMMYFUNCTION("""COMPUTED_VALUE"""),"CSE260-07B (LAB)
CMHH,MHM
FT10-02L")</f>
        <v>CSE260-07B (LAB)
CMHH,MHM
FT10-02L</v>
      </c>
      <c r="G14" s="90" t="str">
        <f>IFERROR(__xludf.DUMMYFUNCTION("""COMPUTED_VALUE"""),"CSE260-07B (LAB)
CMHH,MHM
FT10-02L")</f>
        <v>CSE260-07B (LAB)
CMHH,MHM
FT10-02L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Abu Musa Al Ashary</v>
      </c>
      <c r="E4" s="57"/>
      <c r="F4" s="58" t="s">
        <v>1</v>
      </c>
      <c r="G4" s="59" t="s">
        <v>224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ext.abu.musa@bracu.ac.bd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IFERROR(__xludf.DUMMYFUNCTION("""COMPUTED_VALUE"""),"CSE250-06A (LAB)
FFR,MHY
12B-20L")</f>
        <v>CSE250-06A (LAB)
FFR,MHY
12B-20L</v>
      </c>
      <c r="C9" s="86" t="str">
        <f>IFERROR(__xludf.DUMMYFUNCTION("""COMPUTED_VALUE"""),"CSE250-06A (LAB)
FFR,MHY
12B-20L")</f>
        <v>CSE250-06A (LAB)
FFR,MHY
12B-20L</v>
      </c>
      <c r="D9" s="86" t="str">
        <f>IFERROR(__xludf.DUMMYFUNCTION("""COMPUTED_VALUE"""),"CSE250-10B
10B-17C")</f>
        <v>CSE250-10B
10B-17C</v>
      </c>
      <c r="E9" s="86" t="str">
        <f>IFERROR(__xludf.DUMMYFUNCTION("""COMPUTED_VALUE"""),"")</f>
        <v/>
      </c>
      <c r="F9" s="86" t="str">
        <f>IFERROR(__xludf.DUMMYFUNCTION("""COMPUTED_VALUE"""),"CSE251-06B (LAB)
MHY,AKDB
FT11-01L")</f>
        <v>CSE251-06B (LAB)
MHY,AKDB
FT11-01L</v>
      </c>
      <c r="G9" s="86" t="str">
        <f>IFERROR(__xludf.DUMMYFUNCTION("""COMPUTED_VALUE"""),"CSE251-06B (LAB)
MHY,AKDB
FT11-01L")</f>
        <v>CSE251-06B (LAB)
MHY,AKDB
FT11-01L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IFERROR(__xludf.DUMMYFUNCTION("""COMPUTED_VALUE"""),"CSE250-11B (LAB)
AQT,MHY
12B-20L")</f>
        <v>CSE250-11B (LAB)
AQT,MHY
12B-20L</v>
      </c>
      <c r="E11" s="90" t="str">
        <f>IFERROR(__xludf.DUMMYFUNCTION("""COMPUTED_VALUE"""),"CSE250-11B (LAB)
AQT,MHY
12B-20L")</f>
        <v>CSE250-11B (LAB)
AQT,MHY
12B-20L</v>
      </c>
      <c r="F11" s="90" t="str">
        <f>IFERROR(__xludf.DUMMYFUNCTION("""COMPUTED_VALUE"""),"CSE251-11A (LAB)
ZBH,MHY
FT10-01L")</f>
        <v>CSE251-11A (LAB)
ZBH,MHY
FT10-01L</v>
      </c>
      <c r="G11" s="90" t="str">
        <f>IFERROR(__xludf.DUMMYFUNCTION("""COMPUTED_VALUE"""),"CSE251-11A (LAB)
ZBH,MHY
FT10-01L")</f>
        <v>CSE251-11A (LAB)
ZBH,MHY
FT10-01L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IFERROR(__xludf.DUMMYFUNCTION("""COMPUTED_VALUE"""),"CSE250-07A (LAB)
MHY,RFQ
12B-20L")</f>
        <v>CSE250-07A (LAB)
MHY,RFQ
12B-20L</v>
      </c>
      <c r="C14" s="90" t="str">
        <f>IFERROR(__xludf.DUMMYFUNCTION("""COMPUTED_VALUE"""),"CSE250-07A (LAB)
MHY,RFQ
12B-20L")</f>
        <v>CSE250-07A (LAB)
MHY,RFQ
12B-20L</v>
      </c>
      <c r="D14" s="90" t="str">
        <f>IFERROR(__xludf.DUMMYFUNCTION("""COMPUTED_VALUE"""),"CSE250-10B
10B-17C")</f>
        <v>CSE250-10B
10B-17C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Muhammad Iqbal Hossain</v>
      </c>
      <c r="E4" s="57"/>
      <c r="F4" s="58" t="s">
        <v>1</v>
      </c>
      <c r="G4" s="59" t="s">
        <v>87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iqbal.hossain@bracu.ac.bd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IFERROR(__xludf.DUMMYFUNCTION("""COMPUTED_VALUE"""),"Consultation")</f>
        <v>Consultation</v>
      </c>
      <c r="G10" s="90" t="str">
        <f>IFERROR(__xludf.DUMMYFUNCTION("""COMPUTED_VALUE"""),"CSE471-01
10A-05C")</f>
        <v>CSE471-01
10A-05C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IFERROR(__xludf.DUMMYFUNCTION("""COMPUTED_VALUE"""),"CSE447-01
09C-16T,CSE447-02
09C-16T,CSE447-03
09C-16T")</f>
        <v>CSE447-01
09C-16T,CSE447-02
09C-16T,CSE447-03
09C-16T</v>
      </c>
      <c r="E11" s="90" t="str">
        <f>IFERROR(__xludf.DUMMYFUNCTION("""COMPUTED_VALUE"""),"Consultation")</f>
        <v>Consultation</v>
      </c>
      <c r="F11" s="90" t="str">
        <f>IFERROR(__xludf.DUMMYFUNCTION("""COMPUTED_VALUE"""),"Research")</f>
        <v>Research</v>
      </c>
      <c r="G11" s="90" t="str">
        <f>IFERROR(__xludf.DUMMYFUNCTION("""COMPUTED_VALUE"""),"Research")</f>
        <v>Research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IFERROR(__xludf.DUMMYFUNCTION("""COMPUTED_VALUE"""),"Research")</f>
        <v>Research</v>
      </c>
      <c r="G12" s="90" t="str">
        <f>IFERROR(__xludf.DUMMYFUNCTION("""COMPUTED_VALUE"""),"CSE471-01
10A-05C")</f>
        <v>CSE471-01
10A-05C</v>
      </c>
      <c r="H12" s="90" t="str">
        <f>IFERROR(__xludf.DUMMYFUNCTION("""COMPUTED_VALUE"""),"Consultation")</f>
        <v>Consultation</v>
      </c>
      <c r="I12" s="90" t="str">
        <f>IFERROR(__xludf.DUMMYFUNCTION("""COMPUTED_VALUE"""),"CSE721-01
09A-01C")</f>
        <v>CSE721-01
09A-01C</v>
      </c>
      <c r="J12" s="91" t="str">
        <f>IFERROR(__xludf.DUMMYFUNCTION("""COMPUTED_VALUE"""),"CSE721-01
09A-01C")</f>
        <v>CSE721-01
09A-01C</v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IFERROR(__xludf.DUMMYFUNCTION("""COMPUTED_VALUE"""),"CSE447-01
09C-16T,CSE447-02
09C-16T,CSE447-03
09C-16T")</f>
        <v>CSE447-01
09C-16T,CSE447-02
09C-16T,CSE447-03
09C-16T</v>
      </c>
      <c r="E13" s="90" t="str">
        <f>IFERROR(__xludf.DUMMYFUNCTION("""COMPUTED_VALUE"""),"Consultation")</f>
        <v>Consultation</v>
      </c>
      <c r="F13" s="90" t="str">
        <f>IFERROR(__xludf.DUMMYFUNCTION("""COMPUTED_VALUE"""),"Research")</f>
        <v>Research</v>
      </c>
      <c r="G13" s="90" t="str">
        <f>IFERROR(__xludf.DUMMYFUNCTION("""COMPUTED_VALUE"""),"Research")</f>
        <v>Research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IFERROR(__xludf.DUMMYFUNCTION("""COMPUTED_VALUE"""),"Thesis (UG)")</f>
        <v>Thesis (UG)</v>
      </c>
      <c r="D14" s="90" t="str">
        <f>IFERROR(__xludf.DUMMYFUNCTION("""COMPUTED_VALUE"""),"Thesis (UG)")</f>
        <v>Thesis (UG)</v>
      </c>
      <c r="E14" s="90" t="str">
        <f>IFERROR(__xludf.DUMMYFUNCTION("""COMPUTED_VALUE"""),"Thesis (UG)")</f>
        <v>Thesis (UG)</v>
      </c>
      <c r="F14" s="90" t="str">
        <f>IFERROR(__xludf.DUMMYFUNCTION("""COMPUTED_VALUE"""),"Thesis (UG)")</f>
        <v>Thesis (UG)</v>
      </c>
      <c r="G14" s="90" t="str">
        <f>IFERROR(__xludf.DUMMYFUNCTION("""COMPUTED_VALUE"""),"Thesis (UG)")</f>
        <v>Thesis (UG)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IFERROR(__xludf.DUMMYFUNCTION("""COMPUTED_VALUE"""),"Lunch time 1:00 pm - 2:00 pm
Emergency contact: 01715065301")</f>
        <v>Lunch time 1:00 pm - 2:00 pm
Emergency contact: 01715065301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Monirul Haque</v>
      </c>
      <c r="E4" s="57"/>
      <c r="F4" s="58" t="s">
        <v>1</v>
      </c>
      <c r="G4" s="59" t="s">
        <v>225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ext.monirul.haque@bracu.ac.bd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IFERROR(__xludf.DUMMYFUNCTION("""COMPUTED_VALUE"""),"Consultation")</f>
        <v>Consultation</v>
      </c>
      <c r="G9" s="86" t="str">
        <f>IFERROR(__xludf.DUMMYFUNCTION("""COMPUTED_VALUE"""),"CSE331-19
09H-32C")</f>
        <v>CSE331-19
09H-32C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IFERROR(__xludf.DUMMYFUNCTION("""COMPUTED_VALUE"""),"CSE321-07 (LAB)
BDH,MLH
12D-27L")</f>
        <v>CSE321-07 (LAB)
BDH,MLH
12D-27L</v>
      </c>
      <c r="E11" s="90" t="str">
        <f>IFERROR(__xludf.DUMMYFUNCTION("""COMPUTED_VALUE"""),"CSE321-07 (LAB)
BDH,MLH
12D-27L")</f>
        <v>CSE321-07 (LAB)
BDH,MLH
12D-27L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IFERROR(__xludf.DUMMYFUNCTION("""COMPUTED_VALUE"""),"CSE446-01 (LAB)
MLH,SJM
10E-27L")</f>
        <v>CSE446-01 (LAB)
MLH,SJM
10E-27L</v>
      </c>
      <c r="E12" s="90" t="str">
        <f>IFERROR(__xludf.DUMMYFUNCTION("""COMPUTED_VALUE"""),"CSE446-01 (LAB)
MLH,SJM
10E-27L")</f>
        <v>CSE446-01 (LAB)
MLH,SJM
10E-27L</v>
      </c>
      <c r="F12" s="90" t="str">
        <f>IFERROR(__xludf.DUMMYFUNCTION("""COMPUTED_VALUE"""),"CSE321-01 (LAB)
CAKM,MLH
12D-26L")</f>
        <v>CSE321-01 (LAB)
CAKM,MLH
12D-26L</v>
      </c>
      <c r="G12" s="90" t="str">
        <f>IFERROR(__xludf.DUMMYFUNCTION("""COMPUTED_VALUE"""),"CSE321-01 (LAB)
CAKM,MLH
12D-26L")</f>
        <v>CSE321-01 (LAB)
CAKM,MLH
12D-26L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IFERROR(__xludf.DUMMYFUNCTION("""COMPUTED_VALUE"""),"CSE321-10 (LAB)
SULT,MLH
12D-26L")</f>
        <v>CSE321-10 (LAB)
SULT,MLH
12D-26L</v>
      </c>
      <c r="C13" s="90" t="str">
        <f>IFERROR(__xludf.DUMMYFUNCTION("""COMPUTED_VALUE"""),"CSE321-10 (LAB)
SULT,MLH
12D-26L")</f>
        <v>CSE321-10 (LAB)
SULT,MLH
12D-26L</v>
      </c>
      <c r="D13" s="90" t="str">
        <f>IFERROR(__xludf.DUMMYFUNCTION("""COMPUTED_VALUE"""),"CSE321-08 (LAB)
BDH,MLH
12D-26L")</f>
        <v>CSE321-08 (LAB)
BDH,MLH
12D-26L</v>
      </c>
      <c r="E13" s="90" t="str">
        <f>IFERROR(__xludf.DUMMYFUNCTION("""COMPUTED_VALUE"""),"CSE321-08 (LAB)
BDH,MLH
12D-26L")</f>
        <v>CSE321-08 (LAB)
BDH,MLH
12D-26L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IFERROR(__xludf.DUMMYFUNCTION("""COMPUTED_VALUE"""),"CSE331-19
09H-32C")</f>
        <v>CSE331-19
09H-32C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Moin Mostakim</v>
      </c>
      <c r="E4" s="57"/>
      <c r="F4" s="58" t="s">
        <v>1</v>
      </c>
      <c r="G4" s="59" t="s">
        <v>88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mostakim@bracu.ac.bd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IFERROR(__xludf.DUMMYFUNCTION("""COMPUTED_VALUE"""),"CSE221-01
07D-19C")</f>
        <v>CSE221-01
07D-19C</v>
      </c>
      <c r="C9" s="86" t="str">
        <f>IFERROR(__xludf.DUMMYFUNCTION("""COMPUTED_VALUE"""),"Consultation")</f>
        <v>Consultation</v>
      </c>
      <c r="D9" s="86" t="str">
        <f>IFERROR(__xludf.DUMMYFUNCTION("""COMPUTED_VALUE"""),"Research")</f>
        <v>Research</v>
      </c>
      <c r="E9" s="86" t="str">
        <f>IFERROR(__xludf.DUMMYFUNCTION("""COMPUTED_VALUE"""),"Research")</f>
        <v>Research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IFERROR(__xludf.DUMMYFUNCTION("""COMPUTED_VALUE"""),"Consultation")</f>
        <v>Consultation</v>
      </c>
      <c r="I9" s="86" t="str">
        <f>IFERROR(__xludf.DUMMYFUNCTION("""COMPUTED_VALUE"""),"CSE715-01
08D-12C")</f>
        <v>CSE715-01
08D-12C</v>
      </c>
      <c r="J9" s="87" t="str">
        <f>IFERROR(__xludf.DUMMYFUNCTION("""COMPUTED_VALUE"""),"CSE715-01
08D-12C")</f>
        <v>CSE715-01
08D-12C</v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IFERROR(__xludf.DUMMYFUNCTION("""COMPUTED_VALUE"""),"CSE425-01
09E-20T,CSE425-02
09E-20T,CSE425-03
09E-20T")</f>
        <v>CSE425-01
09E-20T,CSE425-02
09E-20T,CSE425-03
09E-20T</v>
      </c>
      <c r="C10" s="90" t="str">
        <f>IFERROR(__xludf.DUMMYFUNCTION("""COMPUTED_VALUE"""),"Consultation")</f>
        <v>Consultation</v>
      </c>
      <c r="D10" s="90" t="str">
        <f>IFERROR(__xludf.DUMMYFUNCTION("""COMPUTED_VALUE"""),"Research")</f>
        <v>Research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IFERROR(__xludf.DUMMYFUNCTION("""COMPUTED_VALUE"""),"CSE425-01
09E-20T,CSE425-02
09E-20T,CSE425-03
09E-20T")</f>
        <v>CSE425-01
09E-20T,CSE425-02
09E-20T,CSE425-03
09E-20T</v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IFERROR(__xludf.DUMMYFUNCTION("""COMPUTED_VALUE"""),"CSE221-01
07D-19C")</f>
        <v>CSE221-01
07D-19C</v>
      </c>
      <c r="C14" s="90" t="str">
        <f>IFERROR(__xludf.DUMMYFUNCTION("""COMPUTED_VALUE"""),"Research")</f>
        <v>Research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Mushfique Nasir Probor</v>
      </c>
      <c r="E4" s="57"/>
      <c r="F4" s="58" t="s">
        <v>1</v>
      </c>
      <c r="G4" s="59" t="s">
        <v>89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mushfique.nasir@bracu.ac.bd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4L90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IFERROR(__xludf.DUMMYFUNCTION("""COMPUTED_VALUE"""),"CSE330-05
09H-35C")</f>
        <v>CSE330-05
09H-35C</v>
      </c>
      <c r="C9" s="86" t="str">
        <f>IFERROR(__xludf.DUMMYFUNCTION("""COMPUTED_VALUE"""),"CSE330-06
09H-35C")</f>
        <v>CSE330-06
09H-35C</v>
      </c>
      <c r="D9" s="86" t="str">
        <f>IFERROR(__xludf.DUMMYFUNCTION("""COMPUTED_VALUE"""),"Consultation")</f>
        <v>Consultation</v>
      </c>
      <c r="E9" s="86" t="str">
        <f>IFERROR(__xludf.DUMMYFUNCTION("""COMPUTED_VALUE"""),"CSE330-07
09H-34C")</f>
        <v>CSE330-07
09H-34C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IFERROR(__xludf.DUMMYFUNCTION("""COMPUTED_VALUE"""),"CSE220-18
09H-32C")</f>
        <v>CSE220-18
09H-32C</v>
      </c>
      <c r="C11" s="90" t="str">
        <f>IFERROR(__xludf.DUMMYFUNCTION("""COMPUTED_VALUE"""),"Consultation")</f>
        <v>Consultation</v>
      </c>
      <c r="D11" s="90" t="str">
        <f>IFERROR(__xludf.DUMMYFUNCTION("""COMPUTED_VALUE"""),"CSE220-19 (LAB)
MNP,ASRF
09B-10L")</f>
        <v>CSE220-19 (LAB)
MNP,ASRF
09B-10L</v>
      </c>
      <c r="E11" s="90" t="str">
        <f>IFERROR(__xludf.DUMMYFUNCTION("""COMPUTED_VALUE"""),"CSE220-19 (LAB)
MNP,ASRF
09B-10L")</f>
        <v>CSE220-19 (LAB)
MNP,ASRF
09B-10L</v>
      </c>
      <c r="F11" s="90" t="str">
        <f>IFERROR(__xludf.DUMMYFUNCTION("""COMPUTED_VALUE"""),"CSE330-15 (LAB)
SULT,MNP
10G-34L")</f>
        <v>CSE330-15 (LAB)
SULT,MNP
10G-34L</v>
      </c>
      <c r="G11" s="90" t="str">
        <f>IFERROR(__xludf.DUMMYFUNCTION("""COMPUTED_VALUE"""),"CSE330-15 (LAB)
SULT,MNP
10G-34L")</f>
        <v>CSE330-15 (LAB)
SULT,MNP
10G-34L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IFERROR(__xludf.DUMMYFUNCTION("""COMPUTED_VALUE"""),5.0)</f>
        <v>5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IFERROR(__xludf.DUMMYFUNCTION("""COMPUTED_VALUE"""),"CSE220-18
09H-32C")</f>
        <v>CSE220-18
09H-32C</v>
      </c>
      <c r="C13" s="90" t="str">
        <f>IFERROR(__xludf.DUMMYFUNCTION("""COMPUTED_VALUE"""),"Consultation")</f>
        <v>Consultation</v>
      </c>
      <c r="D13" s="90" t="str">
        <f>IFERROR(__xludf.DUMMYFUNCTION("""COMPUTED_VALUE"""),"CSE330-18 (LAB)
MNP,ALB
10G-34L")</f>
        <v>CSE330-18 (LAB)
MNP,ALB
10G-34L</v>
      </c>
      <c r="E13" s="90" t="str">
        <f>IFERROR(__xludf.DUMMYFUNCTION("""COMPUTED_VALUE"""),"CSE330-18 (LAB)
MNP,ALB
10G-34L")</f>
        <v>CSE330-18 (LAB)
MNP,ALB
10G-34L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IFERROR(__xludf.DUMMYFUNCTION("""COMPUTED_VALUE"""),"CSE330-05
09H-35C")</f>
        <v>CSE330-05
09H-35C</v>
      </c>
      <c r="C14" s="90" t="str">
        <f>IFERROR(__xludf.DUMMYFUNCTION("""COMPUTED_VALUE"""),"CSE330-06
09H-35C")</f>
        <v>CSE330-06
09H-35C</v>
      </c>
      <c r="D14" s="90" t="str">
        <f>IFERROR(__xludf.DUMMYFUNCTION("""COMPUTED_VALUE"""),"Consultation")</f>
        <v>Consultation</v>
      </c>
      <c r="E14" s="90" t="str">
        <f>IFERROR(__xludf.DUMMYFUNCTION("""COMPUTED_VALUE"""),"CSE330-07
09H-34C")</f>
        <v>CSE330-07
09H-34C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Muhammad Nur Yanhaona</v>
      </c>
      <c r="E4" s="57"/>
      <c r="F4" s="58" t="s">
        <v>1</v>
      </c>
      <c r="G4" s="59" t="s">
        <v>90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nur.yanhaona@bracu.ac.bd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IFERROR(__xludf.DUMMYFUNCTION("""COMPUTED_VALUE"""),"CSE420-20
09A-05C")</f>
        <v>CSE420-20
09A-05C</v>
      </c>
      <c r="E10" s="90" t="str">
        <f>IFERROR(__xludf.DUMMYFUNCTION("""COMPUTED_VALUE"""),"CSE370-18
09A-05C")</f>
        <v>CSE370-18
09A-05C</v>
      </c>
      <c r="F10" s="90" t="str">
        <f>IFERROR(__xludf.DUMMYFUNCTION("""COMPUTED_VALUE"""),"")</f>
        <v/>
      </c>
      <c r="G10" s="90" t="str">
        <f>IFERROR(__xludf.DUMMYFUNCTION("""COMPUTED_VALUE"""),"CSE321-27
09A-06C")</f>
        <v>CSE321-27
09A-06C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IFERROR(__xludf.DUMMYFUNCTION("""COMPUTED_VALUE"""),"CSE420-20
09A-05C")</f>
        <v>CSE420-20
09A-05C</v>
      </c>
      <c r="E12" s="90" t="str">
        <f>IFERROR(__xludf.DUMMYFUNCTION("""COMPUTED_VALUE"""),"CSE370-18
09A-05C")</f>
        <v>CSE370-18
09A-05C</v>
      </c>
      <c r="F12" s="90" t="str">
        <f>IFERROR(__xludf.DUMMYFUNCTION("""COMPUTED_VALUE"""),"")</f>
        <v/>
      </c>
      <c r="G12" s="90" t="str">
        <f>IFERROR(__xludf.DUMMYFUNCTION("""COMPUTED_VALUE"""),"CSE321-27
09A-06C")</f>
        <v>CSE321-27
09A-06C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Moynul Asik Moni</v>
      </c>
      <c r="E4" s="57"/>
      <c r="F4" s="58" t="s">
        <v>1</v>
      </c>
      <c r="G4" s="59" t="s">
        <v>91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moynul.moni@bracu.ac.bd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IFERROR(__xludf.DUMMYFUNCTION("""COMPUTED_VALUE"""),"CSE428-02
09C-13C")</f>
        <v>CSE428-02
09C-13C</v>
      </c>
      <c r="D9" s="86" t="str">
        <f>IFERROR(__xludf.DUMMYFUNCTION("""COMPUTED_VALUE"""),"CSE251-01B (LAB)
MOM,SHJR
12B-20L")</f>
        <v>CSE251-01B (LAB)
MOM,SHJR
12B-20L</v>
      </c>
      <c r="E9" s="86" t="str">
        <f>IFERROR(__xludf.DUMMYFUNCTION("""COMPUTED_VALUE"""),"CSE251-01B (LAB)
MOM,SHJR
12B-20L")</f>
        <v>CSE251-01B (LAB)
MOM,SHJR
12B-20L</v>
      </c>
      <c r="F9" s="86" t="str">
        <f>IFERROR(__xludf.DUMMYFUNCTION("""COMPUTED_VALUE"""),"CSE250-01A (LAB)
MOM,ALSM
12B-20L")</f>
        <v>CSE250-01A (LAB)
MOM,ALSM
12B-20L</v>
      </c>
      <c r="G9" s="86" t="str">
        <f>IFERROR(__xludf.DUMMYFUNCTION("""COMPUTED_VALUE"""),"CSE250-01A (LAB)
MOM,ALSM
12B-20L")</f>
        <v>CSE250-01A (LAB)
MOM,ALSM
12B-20L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IFERROR(__xludf.DUMMYFUNCTION("""COMPUTED_VALUE"""),"CSE251-07B (LAB)
AQT,MOM
12B-20L")</f>
        <v>CSE251-07B (LAB)
AQT,MOM
12B-20L</v>
      </c>
      <c r="C10" s="90" t="str">
        <f>IFERROR(__xludf.DUMMYFUNCTION("""COMPUTED_VALUE"""),"CSE251-07B (LAB)
AQT,MOM
12B-20L")</f>
        <v>CSE251-07B (LAB)
AQT,MOM
12B-20L</v>
      </c>
      <c r="D10" s="90" t="str">
        <f>IFERROR(__xludf.DUMMYFUNCTION("""COMPUTED_VALUE"""),"CSE251-02A
09A-01C,CSE251-02B
09A-01C")</f>
        <v>CSE251-02A
09A-01C,CSE251-02B
09A-01C</v>
      </c>
      <c r="E10" s="90" t="str">
        <f>IFERROR(__xludf.DUMMYFUNCTION("""COMPUTED_VALUE"""),"Consultation")</f>
        <v>Consultation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IFERROR(__xludf.DUMMYFUNCTION("""COMPUTED_VALUE"""),"CSE251-02A
09A-01C,CSE251-02B
09A-01C")</f>
        <v>CSE251-02A
09A-01C,CSE251-02B
09A-01C</v>
      </c>
      <c r="E12" s="90" t="str">
        <f>IFERROR(__xludf.DUMMYFUNCTION("""COMPUTED_VALUE"""),"")</f>
        <v/>
      </c>
      <c r="F12" s="90" t="str">
        <f>IFERROR(__xludf.DUMMYFUNCTION("""COMPUTED_VALUE"""),"CSE428-03 (LAB)
SDQ,MOM
09B-10L")</f>
        <v>CSE428-03 (LAB)
SDQ,MOM
09B-10L</v>
      </c>
      <c r="G12" s="90" t="str">
        <f>IFERROR(__xludf.DUMMYFUNCTION("""COMPUTED_VALUE"""),"CSE428-03 (LAB)
SDQ,MOM
09B-10L")</f>
        <v>CSE428-03 (LAB)
SDQ,MOM
09B-10L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IFERROR(__xludf.DUMMYFUNCTION("""COMPUTED_VALUE"""),"CSE428-02
09C-13C")</f>
        <v>CSE428-02
09C-13C</v>
      </c>
      <c r="D14" s="90" t="str">
        <f>IFERROR(__xludf.DUMMYFUNCTION("""COMPUTED_VALUE"""),"Consultation")</f>
        <v>Consultation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Ummay Maria  Muna</v>
      </c>
      <c r="E4" s="57"/>
      <c r="F4" s="58" t="s">
        <v>1</v>
      </c>
      <c r="G4" s="59" t="s">
        <v>92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maria.muna@bracu.ac.bd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4P180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IFERROR(__xludf.DUMMYFUNCTION("""COMPUTED_VALUE"""),"CSE221-13 (LAB)
AKHD,MRIA
09B-10L")</f>
        <v>CSE221-13 (LAB)
AKHD,MRIA
09B-10L</v>
      </c>
      <c r="E9" s="86" t="str">
        <f>IFERROR(__xludf.DUMMYFUNCTION("""COMPUTED_VALUE"""),"CSE221-13 (LAB)
AKHD,MRIA
09B-10L")</f>
        <v>CSE221-13 (LAB)
AKHD,MRIA
09B-10L</v>
      </c>
      <c r="F9" s="86" t="str">
        <f>IFERROR(__xludf.DUMMYFUNCTION("""COMPUTED_VALUE"""),"CSE370-17
07H-27C")</f>
        <v>CSE370-17
07H-27C</v>
      </c>
      <c r="G9" s="86" t="str">
        <f>IFERROR(__xludf.DUMMYFUNCTION("""COMPUTED_VALUE"""),"CSE423-15
07H-27C")</f>
        <v>CSE423-15
07H-27C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IFERROR(__xludf.DUMMYFUNCTION("""COMPUTED_VALUE"""),"CSE221-07 (LAB)
KKP,MRIA
09F-25L")</f>
        <v>CSE221-07 (LAB)
KKP,MRIA
09F-25L</v>
      </c>
      <c r="E10" s="90" t="str">
        <f>IFERROR(__xludf.DUMMYFUNCTION("""COMPUTED_VALUE"""),"CSE221-07 (LAB)
KKP,MRIA
09F-25L")</f>
        <v>CSE221-07 (LAB)
KKP,MRIA
09F-25L</v>
      </c>
      <c r="F10" s="90" t="str">
        <f>IFERROR(__xludf.DUMMYFUNCTION("""COMPUTED_VALUE"""),"CSE220-13 (LAB)
AJA,MRIA
09B-10L")</f>
        <v>CSE220-13 (LAB)
AJA,MRIA
09B-10L</v>
      </c>
      <c r="G10" s="90" t="str">
        <f>IFERROR(__xludf.DUMMYFUNCTION("""COMPUTED_VALUE"""),"CSE220-13 (LAB)
AJA,MRIA
09B-10L")</f>
        <v>CSE220-13 (LAB)
AJA,MRIA
09B-10L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IFERROR(__xludf.DUMMYFUNCTION("""COMPUTED_VALUE"""),"CSE220-16 (LAB)
AJA,MRIA
09B-09L")</f>
        <v>CSE220-16 (LAB)
AJA,MRIA
09B-09L</v>
      </c>
      <c r="G11" s="90" t="str">
        <f>IFERROR(__xludf.DUMMYFUNCTION("""COMPUTED_VALUE"""),"CSE220-16 (LAB)
AJA,MRIA
09B-09L")</f>
        <v>CSE220-16 (LAB)
AJA,MRIA
09B-09L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IFERROR(__xludf.DUMMYFUNCTION("""COMPUTED_VALUE"""),"CSE370-17
07H-27C")</f>
        <v>CSE370-17
07H-27C</v>
      </c>
      <c r="G14" s="90" t="str">
        <f>IFERROR(__xludf.DUMMYFUNCTION("""COMPUTED_VALUE"""),"CSE423-15
07H-27C")</f>
        <v>CSE423-15
07H-27C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Matin Saad Abdullah</v>
      </c>
      <c r="E4" s="57"/>
      <c r="F4" s="58" t="s">
        <v>1</v>
      </c>
      <c r="G4" s="59" t="s">
        <v>93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mabdullah@bracu.ac.bd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IFERROR(__xludf.DUMMYFUNCTION("""COMPUTED_VALUE"""),"CSE490A-01
09A-04C")</f>
        <v>CSE490A-01
09A-04C</v>
      </c>
      <c r="G9" s="86" t="str">
        <f>IFERROR(__xludf.DUMMYFUNCTION("""COMPUTED_VALUE"""),"CSE799A-01
09A-04C")</f>
        <v>CSE799A-01
09A-04C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IFERROR(__xludf.DUMMYFUNCTION("""COMPUTED_VALUE"""),"CSE490A-01
09A-04C")</f>
        <v>CSE490A-01
09A-04C</v>
      </c>
      <c r="G14" s="90" t="str">
        <f>IFERROR(__xludf.DUMMYFUNCTION("""COMPUTED_VALUE"""),"CSE799A-01
09A-04C")</f>
        <v>CSE799A-01
09A-04C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Md. Sakir Hossain</v>
      </c>
      <c r="E4" s="57"/>
      <c r="F4" s="58" t="s">
        <v>1</v>
      </c>
      <c r="G4" s="59" t="s">
        <v>94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sakir.hossain@bracu.ac.bd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IFERROR(__xludf.DUMMYFUNCTION("""COMPUTED_VALUE"""),"Research")</f>
        <v>Research</v>
      </c>
      <c r="E10" s="90" t="str">
        <f>IFERROR(__xludf.DUMMYFUNCTION("""COMPUTED_VALUE"""),"Consultation")</f>
        <v>Consultation</v>
      </c>
      <c r="F10" s="90" t="str">
        <f>IFERROR(__xludf.DUMMYFUNCTION("""COMPUTED_VALUE"""),"Consultation")</f>
        <v>Consultation</v>
      </c>
      <c r="G10" s="90" t="str">
        <f>IFERROR(__xludf.DUMMYFUNCTION("""COMPUTED_VALUE"""),"CSE421-05
09E-20T,CSE421-06
09E-20T,CSE421-07
09E-20T")</f>
        <v>CSE421-05
09E-20T,CSE421-06
09E-20T,CSE421-07
09E-20T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IFERROR(__xludf.DUMMYFUNCTION("""COMPUTED_VALUE"""),"Research")</f>
        <v>Research</v>
      </c>
      <c r="E11" s="90" t="str">
        <f>IFERROR(__xludf.DUMMYFUNCTION("""COMPUTED_VALUE"""),"Thesis (UG)")</f>
        <v>Thesis (UG)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IFERROR(__xludf.DUMMYFUNCTION("""COMPUTED_VALUE"""),"Research")</f>
        <v>Research</v>
      </c>
      <c r="E12" s="90" t="str">
        <f>IFERROR(__xludf.DUMMYFUNCTION("""COMPUTED_VALUE"""),"Thesis (UG)")</f>
        <v>Thesis (UG)</v>
      </c>
      <c r="F12" s="90" t="str">
        <f>IFERROR(__xludf.DUMMYFUNCTION("""COMPUTED_VALUE"""),"Consultation")</f>
        <v>Consultation</v>
      </c>
      <c r="G12" s="90" t="str">
        <f>IFERROR(__xludf.DUMMYFUNCTION("""COMPUTED_VALUE"""),"CSE421-05
09E-20T,CSE421-06
09E-20T,CSE421-07
09E-20T")</f>
        <v>CSE421-05
09E-20T,CSE421-06
09E-20T,CSE421-07
09E-20T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IFERROR(__xludf.DUMMYFUNCTION("""COMPUTED_VALUE"""),"Research")</f>
        <v>Research</v>
      </c>
      <c r="E13" s="90" t="str">
        <f>IFERROR(__xludf.DUMMYFUNCTION("""COMPUTED_VALUE"""),"Research")</f>
        <v>Research</v>
      </c>
      <c r="F13" s="90" t="str">
        <f>IFERROR(__xludf.DUMMYFUNCTION("""COMPUTED_VALUE"""),"Thesis (UG)")</f>
        <v>Thesis (UG)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Saiful Islam</v>
      </c>
      <c r="E4" s="57"/>
      <c r="F4" s="58" t="s">
        <v>1</v>
      </c>
      <c r="G4" s="59" t="s">
        <v>95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md.saiful.islam@bracu.ac.bd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IFERROR(__xludf.DUMMYFUNCTION("""COMPUTED_VALUE"""),"CSE110-02
10A-10C")</f>
        <v>CSE110-02
10A-10C</v>
      </c>
      <c r="E10" s="90" t="str">
        <f>IFERROR(__xludf.DUMMYFUNCTION("""COMPUTED_VALUE"""),"CSE110-03
10A-10C")</f>
        <v>CSE110-03
10A-10C</v>
      </c>
      <c r="F10" s="90" t="str">
        <f>IFERROR(__xludf.DUMMYFUNCTION("""COMPUTED_VALUE"""),"Consultation")</f>
        <v>Consultation</v>
      </c>
      <c r="G10" s="90" t="str">
        <f>IFERROR(__xludf.DUMMYFUNCTION("""COMPUTED_VALUE"""),"CSE110-04
10A-10C")</f>
        <v>CSE110-04
10A-10C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IFERROR(__xludf.DUMMYFUNCTION("""COMPUTED_VALUE"""),"Consultation")</f>
        <v>Consultation</v>
      </c>
      <c r="G11" s="90" t="str">
        <f>IFERROR(__xludf.DUMMYFUNCTION("""COMPUTED_VALUE"""),"CSE110-01
10A-04C")</f>
        <v>CSE110-01
10A-04C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IFERROR(__xludf.DUMMYFUNCTION("""COMPUTED_VALUE"""),"CSE110-02
10A-10C")</f>
        <v>CSE110-02
10A-10C</v>
      </c>
      <c r="E12" s="90" t="str">
        <f>IFERROR(__xludf.DUMMYFUNCTION("""COMPUTED_VALUE"""),"CSE110-03
10A-10C")</f>
        <v>CSE110-03
10A-10C</v>
      </c>
      <c r="F12" s="90" t="str">
        <f>IFERROR(__xludf.DUMMYFUNCTION("""COMPUTED_VALUE"""),"Consultation")</f>
        <v>Consultation</v>
      </c>
      <c r="G12" s="90" t="str">
        <f>IFERROR(__xludf.DUMMYFUNCTION("""COMPUTED_VALUE"""),"CSE110-04
10A-10C")</f>
        <v>CSE110-04
10A-10C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IFERROR(__xludf.DUMMYFUNCTION("""COMPUTED_VALUE"""),"CSE110-02 (LAB)
MSI,SMUR
09B-08L")</f>
        <v>CSE110-02 (LAB)
MSI,SMUR
09B-08L</v>
      </c>
      <c r="C13" s="90" t="str">
        <f>IFERROR(__xludf.DUMMYFUNCTION("""COMPUTED_VALUE"""),"CSE110-02 (LAB)
MSI,SMUR
09B-08L")</f>
        <v>CSE110-02 (LAB)
MSI,SMUR
09B-08L</v>
      </c>
      <c r="D13" s="90" t="str">
        <f>IFERROR(__xludf.DUMMYFUNCTION("""COMPUTED_VALUE"""),"CSE110-04 (LAB)
MSI,CAKM
09B-10L")</f>
        <v>CSE110-04 (LAB)
MSI,CAKM
09B-10L</v>
      </c>
      <c r="E13" s="90" t="str">
        <f>IFERROR(__xludf.DUMMYFUNCTION("""COMPUTED_VALUE"""),"CSE110-04 (LAB)
MSI,CAKM
09B-10L")</f>
        <v>CSE110-04 (LAB)
MSI,CAKM
09B-10L</v>
      </c>
      <c r="F13" s="90" t="str">
        <f>IFERROR(__xludf.DUMMYFUNCTION("""COMPUTED_VALUE"""),"Consultation")</f>
        <v>Consultation</v>
      </c>
      <c r="G13" s="90" t="str">
        <f>IFERROR(__xludf.DUMMYFUNCTION("""COMPUTED_VALUE"""),"CSE110-01
10A-04C")</f>
        <v>CSE110-01
10A-04C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IFERROR(__xludf.DUMMYFUNCTION("""COMPUTED_VALUE"""),5.0)</f>
        <v>5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IFERROR(__xludf.DUMMYFUNCTION("""COMPUTED_VALUE"""),"Research")</f>
        <v>Research</v>
      </c>
      <c r="C14" s="90" t="str">
        <f>IFERROR(__xludf.DUMMYFUNCTION("""COMPUTED_VALUE"""),"Research")</f>
        <v>Research</v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Shamim Mia</v>
      </c>
      <c r="E4" s="57"/>
      <c r="F4" s="58" t="s">
        <v>1</v>
      </c>
      <c r="G4" s="59" t="s">
        <v>96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shamim.mia@bracu.ac.bd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IFERROR(__xludf.DUMMYFUNCTION("""COMPUTED_VALUE"""),"CSE260-04A
07D-20C,CSE260-04B
07D-20C")</f>
        <v>CSE260-04A
07D-20C,CSE260-04B
07D-20C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IFERROR(__xludf.DUMMYFUNCTION("""COMPUTED_VALUE"""),"CSE421-21 (LAB)
SRJ,MSMA
10E-27L,CSE421-22 (LAB)
SRJ,MSMA
10E-27L")</f>
        <v>CSE421-21 (LAB)
SRJ,MSMA
10E-27L,CSE421-22 (LAB)
SRJ,MSMA
10E-27L</v>
      </c>
      <c r="G10" s="90" t="str">
        <f>IFERROR(__xludf.DUMMYFUNCTION("""COMPUTED_VALUE"""),"CSE421-21 (LAB)
SRJ,MSMA
10E-27L,CSE421-22 (LAB)
SRJ,MSMA
10E-27L")</f>
        <v>CSE421-21 (LAB)
SRJ,MSMA
10E-27L,CSE421-22 (LAB)
SRJ,MSMA
10E-27L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IFERROR(__xludf.DUMMYFUNCTION("""COMPUTED_VALUE"""),"CSE421-20 (LAB)
MSMA,WBH
09F-25L,CSE421-23 (LAB)
MSMA,WBH
09F-25L")</f>
        <v>CSE421-20 (LAB)
MSMA,WBH
09F-25L,CSE421-23 (LAB)
MSMA,WBH
09F-25L</v>
      </c>
      <c r="C11" s="90" t="str">
        <f>IFERROR(__xludf.DUMMYFUNCTION("""COMPUTED_VALUE"""),"CSE421-20 (LAB)
MSMA,WBH
09F-25L,CSE421-23 (LAB)
MSMA,WBH
09F-25L")</f>
        <v>CSE421-20 (LAB)
MSMA,WBH
09F-25L,CSE421-23 (LAB)
MSMA,WBH
09F-25L</v>
      </c>
      <c r="D11" s="90" t="str">
        <f>IFERROR(__xludf.DUMMYFUNCTION("""COMPUTED_VALUE"""),"CSE421-14
07H-27C")</f>
        <v>CSE421-14
07H-27C</v>
      </c>
      <c r="E11" s="90" t="str">
        <f>IFERROR(__xludf.DUMMYFUNCTION("""COMPUTED_VALUE"""),"CSE421-15
07H-27C")</f>
        <v>CSE421-15
07H-27C</v>
      </c>
      <c r="F11" s="90" t="str">
        <f>IFERROR(__xludf.DUMMYFUNCTION("""COMPUTED_VALUE"""),"Consultation")</f>
        <v>Consultation</v>
      </c>
      <c r="G11" s="90" t="str">
        <f>IFERROR(__xludf.DUMMYFUNCTION("""COMPUTED_VALUE"""),"CSE421-16
07H-27C")</f>
        <v>CSE421-16
07H-27C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IFERROR(__xludf.DUMMYFUNCTION("""COMPUTED_VALUE"""),5.0)</f>
        <v>5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IFERROR(__xludf.DUMMYFUNCTION("""COMPUTED_VALUE"""),"CSE260-04A
07D-20C,CSE260-04B
07D-20C")</f>
        <v>CSE260-04A
07D-20C,CSE260-04B
07D-20C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IFERROR(__xludf.DUMMYFUNCTION("""COMPUTED_VALUE"""),"CSE421-13 (LAB)
SRJ,MSMA
09F-25L,CSE421-14 (LAB)
SRJ,MSMA
09F-25L")</f>
        <v>CSE421-13 (LAB)
SRJ,MSMA
09F-25L,CSE421-14 (LAB)
SRJ,MSMA
09F-25L</v>
      </c>
      <c r="G12" s="90" t="str">
        <f>IFERROR(__xludf.DUMMYFUNCTION("""COMPUTED_VALUE"""),"CSE421-13 (LAB)
SRJ,MSMA
09F-25L,CSE421-14 (LAB)
SRJ,MSMA
09F-25L")</f>
        <v>CSE421-13 (LAB)
SRJ,MSMA
09F-25L,CSE421-14 (LAB)
SRJ,MSMA
09F-25L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IFERROR(__xludf.DUMMYFUNCTION("""COMPUTED_VALUE"""),"CSE421-14
07H-27C")</f>
        <v>CSE421-14
07H-27C</v>
      </c>
      <c r="E13" s="90" t="str">
        <f>IFERROR(__xludf.DUMMYFUNCTION("""COMPUTED_VALUE"""),"CSE421-15
07H-27C")</f>
        <v>CSE421-15
07H-27C</v>
      </c>
      <c r="F13" s="90" t="str">
        <f>IFERROR(__xludf.DUMMYFUNCTION("""COMPUTED_VALUE"""),"Consultation")</f>
        <v>Consultation</v>
      </c>
      <c r="G13" s="90" t="str">
        <f>IFERROR(__xludf.DUMMYFUNCTION("""COMPUTED_VALUE"""),"CSE421-16
07H-27C")</f>
        <v>CSE421-16
07H-27C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IFERROR(__xludf.DUMMYFUNCTION("""COMPUTED_VALUE"""),"**Lunch &amp; Prayer Break: 1:30 PM to 2:30 PM. Email me before coming to consultation.")</f>
        <v>**Lunch &amp; Prayer Break: 1:30 PM to 2:30 PM. Email me before coming to consultation.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Toky Tazwar</v>
      </c>
      <c r="E4" s="57"/>
      <c r="F4" s="58" t="s">
        <v>1</v>
      </c>
      <c r="G4" s="59" t="s">
        <v>226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ext.toky.tazwar@bracu.ac.bd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IFERROR(__xludf.DUMMYFUNCTION("""COMPUTED_VALUE"""),"CSE460-09 (LAB)
SDL,MTOT
10G-32L")</f>
        <v>CSE460-09 (LAB)
SDL,MTOT
10G-32L</v>
      </c>
      <c r="C10" s="90" t="str">
        <f>IFERROR(__xludf.DUMMYFUNCTION("""COMPUTED_VALUE"""),"CSE460-09 (LAB)
SDL,MTOT
10G-32L")</f>
        <v>CSE460-09 (LAB)
SDL,MTOT
10G-32L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IFERROR(__xludf.DUMMYFUNCTION("""COMPUTED_VALUE"""),"CSE460-05 (LAB)
THL,MTOT
10G-32L")</f>
        <v>CSE460-05 (LAB)
THL,MTOT
10G-32L</v>
      </c>
      <c r="G10" s="90" t="str">
        <f>IFERROR(__xludf.DUMMYFUNCTION("""COMPUTED_VALUE"""),"CSE460-05 (LAB)
THL,MTOT
10G-32L")</f>
        <v>CSE460-05 (LAB)
THL,MTOT
10G-32L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IFERROR(__xludf.DUMMYFUNCTION("""COMPUTED_VALUE"""),"CSE350-07A
07H-26C,CSE350-07B
07H-26C")</f>
        <v>CSE350-07A
07H-26C,CSE350-07B
07H-26C</v>
      </c>
      <c r="F11" s="90" t="str">
        <f>IFERROR(__xludf.DUMMYFUNCTION("""COMPUTED_VALUE"""),"CSE350-09B (LAB)
UPM,MTOT
12B-20L")</f>
        <v>CSE350-09B (LAB)
UPM,MTOT
12B-20L</v>
      </c>
      <c r="G11" s="90" t="str">
        <f>IFERROR(__xludf.DUMMYFUNCTION("""COMPUTED_VALUE"""),"CSE350-09B (LAB)
UPM,MTOT
12B-20L")</f>
        <v>CSE350-09B (LAB)
UPM,MTOT
12B-20L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IFERROR(__xludf.DUMMYFUNCTION("""COMPUTED_VALUE"""),"CSE460-06 (LAB)
RAS,MTOT
09E-21L")</f>
        <v>CSE460-06 (LAB)
RAS,MTOT
09E-21L</v>
      </c>
      <c r="E12" s="90" t="str">
        <f>IFERROR(__xludf.DUMMYFUNCTION("""COMPUTED_VALUE"""),"CSE460-06 (LAB)
RAS,MTOT
09E-21L")</f>
        <v>CSE460-06 (LAB)
RAS,MTOT
09E-21L</v>
      </c>
      <c r="F12" s="90" t="str">
        <f>IFERROR(__xludf.DUMMYFUNCTION("""COMPUTED_VALUE"""),"CSE350-06A (LAB)
TSE,MTOT
12B-20L")</f>
        <v>CSE350-06A (LAB)
TSE,MTOT
12B-20L</v>
      </c>
      <c r="G12" s="90" t="str">
        <f>IFERROR(__xludf.DUMMYFUNCTION("""COMPUTED_VALUE"""),"CSE350-06A (LAB)
TSE,MTOT
12B-20L")</f>
        <v>CSE350-06A (LAB)
TSE,MTOT
12B-20L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IFERROR(__xludf.DUMMYFUNCTION("""COMPUTED_VALUE"""),"CSE350-07A
07H-26C,CSE350-07B
07H-26C")</f>
        <v>CSE350-07A
07H-26C,CSE350-07B
07H-26C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MUHTASIM MAHMUD</v>
      </c>
      <c r="E4" s="57"/>
      <c r="F4" s="58" t="s">
        <v>1</v>
      </c>
      <c r="G4" s="59" t="s">
        <v>97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muhtasim.mahmud@bracu.ac.bd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4M99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IFERROR(__xludf.DUMMYFUNCTION("""COMPUTED_VALUE"""),"CSE340-01
09E-20T,CSE340-02
09E-20T,CSE340-03
09E-20T,CSE340-13
09E-20T")</f>
        <v>CSE340-01
09E-20T,CSE340-02
09E-20T,CSE340-03
09E-20T,CSE340-13
09E-20T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IFERROR(__xludf.DUMMYFUNCTION("""COMPUTED_VALUE"""),"CSE340-01
09E-20T,CSE340-02
09E-20T,CSE340-03
09E-20T,CSE340-13
09E-20T")</f>
        <v>CSE340-01
09E-20T,CSE340-02
09E-20T,CSE340-03
09E-20T,CSE340-13
09E-20T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IFERROR(__xludf.DUMMYFUNCTION("""COMPUTED_VALUE"""),"MSc Class")</f>
        <v>MSc Class</v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 B M Muntasir Rahman</v>
      </c>
      <c r="E4" s="57"/>
      <c r="F4" s="58" t="s">
        <v>1</v>
      </c>
      <c r="G4" s="59" t="s">
        <v>98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abm.muntasir@bracu.ac.bd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4L95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IFERROR(__xludf.DUMMYFUNCTION("""COMPUTED_VALUE"""),"CSE221-09
09H-34C")</f>
        <v>CSE221-09
09H-34C</v>
      </c>
      <c r="E10" s="90" t="str">
        <f>IFERROR(__xludf.DUMMYFUNCTION("""COMPUTED_VALUE"""),"CSE221-10
09H-34C")</f>
        <v>CSE221-10
09H-34C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IFERROR(__xludf.DUMMYFUNCTION("""COMPUTED_VALUE"""),"CSE422-10 (LAB)
NWT,MUNR
09F-24L")</f>
        <v>CSE422-10 (LAB)
NWT,MUNR
09F-24L</v>
      </c>
      <c r="C11" s="90" t="str">
        <f>IFERROR(__xludf.DUMMYFUNCTION("""COMPUTED_VALUE"""),"CSE422-10 (LAB)
NWT,MUNR
09F-24L")</f>
        <v>CSE422-10 (LAB)
NWT,MUNR
09F-24L</v>
      </c>
      <c r="D11" s="90" t="str">
        <f>IFERROR(__xludf.DUMMYFUNCTION("""COMPUTED_VALUE"""),"CSE220-11
09H-33C")</f>
        <v>CSE220-11
09H-33C</v>
      </c>
      <c r="E11" s="90" t="str">
        <f>IFERROR(__xludf.DUMMYFUNCTION("""COMPUTED_VALUE"""),"CSE428-01
09H-33C")</f>
        <v>CSE428-01
09H-33C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IFERROR(__xludf.DUMMYFUNCTION("""COMPUTED_VALUE"""),"CSE422-17 (LAB)
MUNR,WHMJ
09F-26L")</f>
        <v>CSE422-17 (LAB)
MUNR,WHMJ
09F-26L</v>
      </c>
      <c r="C12" s="90" t="str">
        <f>IFERROR(__xludf.DUMMYFUNCTION("""COMPUTED_VALUE"""),"CSE422-17 (LAB)
MUNR,WHMJ
09F-26L")</f>
        <v>CSE422-17 (LAB)
MUNR,WHMJ
09F-26L</v>
      </c>
      <c r="D12" s="90" t="str">
        <f>IFERROR(__xludf.DUMMYFUNCTION("""COMPUTED_VALUE"""),"CSE221-09
09H-34C")</f>
        <v>CSE221-09
09H-34C</v>
      </c>
      <c r="E12" s="90" t="str">
        <f>IFERROR(__xludf.DUMMYFUNCTION("""COMPUTED_VALUE"""),"CSE221-10
09H-34C")</f>
        <v>CSE221-10
09H-34C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IFERROR(__xludf.DUMMYFUNCTION("""COMPUTED_VALUE"""),"CSE422-02 (LAB)
MUNR,RZR
09F-26L")</f>
        <v>CSE422-02 (LAB)
MUNR,RZR
09F-26L</v>
      </c>
      <c r="C13" s="90" t="str">
        <f>IFERROR(__xludf.DUMMYFUNCTION("""COMPUTED_VALUE"""),"CSE422-02 (LAB)
MUNR,RZR
09F-26L")</f>
        <v>CSE422-02 (LAB)
MUNR,RZR
09F-26L</v>
      </c>
      <c r="D13" s="90" t="str">
        <f>IFERROR(__xludf.DUMMYFUNCTION("""COMPUTED_VALUE"""),"CSE220-11
09H-33C")</f>
        <v>CSE220-11
09H-33C</v>
      </c>
      <c r="E13" s="90" t="str">
        <f>IFERROR(__xludf.DUMMYFUNCTION("""COMPUTED_VALUE"""),"CSE428-01
09H-33C")</f>
        <v>CSE428-01
09H-33C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Mohammad Naveed Hossain</v>
      </c>
      <c r="E4" s="57"/>
      <c r="F4" s="58" t="s">
        <v>1</v>
      </c>
      <c r="G4" s="59" t="s">
        <v>99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mohammad.naveed@bracu.ac.bd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IFERROR(__xludf.DUMMYFUNCTION("""COMPUTED_VALUE"""),"CSE110-13
07H-27C")</f>
        <v>CSE110-13
07H-27C</v>
      </c>
      <c r="E9" s="86" t="str">
        <f>IFERROR(__xludf.DUMMYFUNCTION("""COMPUTED_VALUE"""),"CSE110-14
07H-27C")</f>
        <v>CSE110-14
07H-27C</v>
      </c>
      <c r="F9" s="86" t="str">
        <f>IFERROR(__xludf.DUMMYFUNCTION("""COMPUTED_VALUE"""),"CSE260-15A (LAB)
RFF,MVH
FT10-02L")</f>
        <v>CSE260-15A (LAB)
RFF,MVH
FT10-02L</v>
      </c>
      <c r="G9" s="86" t="str">
        <f>IFERROR(__xludf.DUMMYFUNCTION("""COMPUTED_VALUE"""),"CSE260-15A (LAB)
RFF,MVH
FT10-02L")</f>
        <v>CSE260-15A (LAB)
RFF,MVH
FT10-02L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IFERROR(__xludf.DUMMYFUNCTION("""COMPUTED_VALUE"""),"CSE260-21A (LAB)
MVH,RDS
FT10-02L")</f>
        <v>CSE260-21A (LAB)
MVH,RDS
FT10-02L</v>
      </c>
      <c r="E12" s="90" t="str">
        <f>IFERROR(__xludf.DUMMYFUNCTION("""COMPUTED_VALUE"""),"CSE260-21A (LAB)
MVH,RDS
FT10-02L")</f>
        <v>CSE260-21A (LAB)
MVH,RDS
FT10-02L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IFERROR(__xludf.DUMMYFUNCTION("""COMPUTED_VALUE"""),"CSE110-06 (LAB)
ANNH,MVH
09B-09L")</f>
        <v>CSE110-06 (LAB)
ANNH,MVH
09B-09L</v>
      </c>
      <c r="C13" s="90" t="str">
        <f>IFERROR(__xludf.DUMMYFUNCTION("""COMPUTED_VALUE"""),"CSE110-06 (LAB)
ANNH,MVH
09B-09L")</f>
        <v>CSE110-06 (LAB)
ANNH,MVH
09B-09L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IFERROR(__xludf.DUMMYFUNCTION("""COMPUTED_VALUE"""),"CSE110-14 (LAB)
WLV,MVH
09B-09L")</f>
        <v>CSE110-14 (LAB)
WLV,MVH
09B-09L</v>
      </c>
      <c r="G13" s="90" t="str">
        <f>IFERROR(__xludf.DUMMYFUNCTION("""COMPUTED_VALUE"""),"CSE110-14 (LAB)
WLV,MVH
09B-09L")</f>
        <v>CSE110-14 (LAB)
WLV,MVH
09B-09L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IFERROR(__xludf.DUMMYFUNCTION("""COMPUTED_VALUE"""),"CSE110-13
07H-27C")</f>
        <v>CSE110-13
07H-27C</v>
      </c>
      <c r="E14" s="90" t="str">
        <f>IFERROR(__xludf.DUMMYFUNCTION("""COMPUTED_VALUE"""),"CSE110-14
07H-27C")</f>
        <v>CSE110-14
07H-27C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Mehnaz Ara Fazal</v>
      </c>
      <c r="E4" s="57"/>
      <c r="F4" s="58" t="s">
        <v>1</v>
      </c>
      <c r="G4" s="59" t="s">
        <v>227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ext.mehnaz.fazal@bracu.ac.bd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IFERROR(__xludf.DUMMYFUNCTION("""COMPUTED_VALUE"""),"CSE423-01 (LAB)
MZFZ,CAPN
09F-27L,CSE423-02 (LAB)
MZFZ,CAPN
09F-27L")</f>
        <v>CSE423-01 (LAB)
MZFZ,CAPN
09F-27L,CSE423-02 (LAB)
MZFZ,CAPN
09F-27L</v>
      </c>
      <c r="E9" s="86"/>
      <c r="F9" s="86" t="str">
        <f>IFERROR(__xludf.DUMMYFUNCTION("""COMPUTED_VALUE"""),"CSE423-05 (LAB)
MZFZ,NMP
09F-27L,CSE423-06 (LAB)
MZFZ,NMP
09F-27L")</f>
        <v>CSE423-05 (LAB)
MZFZ,NMP
09F-27L,CSE423-06 (LAB)
MZFZ,NMP
09F-27L</v>
      </c>
      <c r="G9" s="86"/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IFERROR(__xludf.DUMMYFUNCTION("""COMPUTED_VALUE"""),"Consultation")</f>
        <v>Consultation</v>
      </c>
      <c r="G11" s="90" t="str">
        <f>IFERROR(__xludf.DUMMYFUNCTION("""COMPUTED_VALUE"""),"CSE331-06
09A-07C")</f>
        <v>CSE331-06
09A-07C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IFERROR(__xludf.DUMMYFUNCTION("""COMPUTED_VALUE"""),"CSE423-19 (LAB)
SOSB,MZFZ
09F-24L,CSE423-21 (LAB)
SOSB,MZFZ
09F-24L")</f>
        <v>CSE423-19 (LAB)
SOSB,MZFZ
09F-24L,CSE423-21 (LAB)
SOSB,MZFZ
09F-24L</v>
      </c>
      <c r="E13" s="90"/>
      <c r="F13" s="90" t="str">
        <f>IFERROR(__xludf.DUMMYFUNCTION("""COMPUTED_VALUE"""),"Consultation")</f>
        <v>Consultation</v>
      </c>
      <c r="G13" s="90" t="str">
        <f>IFERROR(__xludf.DUMMYFUNCTION("""COMPUTED_VALUE"""),"CSE331-06
09A-07C")</f>
        <v>CSE331-06
09A-07C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IFERROR(__xludf.DUMMYFUNCTION("""COMPUTED_VALUE"""),"CSE330-09 (LAB)
CPTH,MZFZ
12D-27L")</f>
        <v>CSE330-09 (LAB)
CPTH,MZFZ
12D-27L</v>
      </c>
      <c r="C14" s="90"/>
      <c r="D14" s="90" t="str">
        <f>IFERROR(__xludf.DUMMYFUNCTION("""COMPUTED_VALUE"""),"CSE330-12 (LAB)
RFTS,MZFZ
12D-27L")</f>
        <v>CSE330-12 (LAB)
RFTS,MZFZ
12D-27L</v>
      </c>
      <c r="E14" s="90"/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IFERROR(__xludf.DUMMYFUNCTION("""COMPUTED_VALUE"""),"***Please DM me on Discord/Slack or email me before coming to the consultation**")</f>
        <v>***Please DM me on Discord/Slack or email me before coming to the consultation**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Ahmed Mayeesha Reza Agomoni</v>
      </c>
      <c r="E4" s="57"/>
      <c r="F4" s="58" t="s">
        <v>1</v>
      </c>
      <c r="G4" s="59" t="s">
        <v>100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ahmed.mayeesha@bracu.ac.bd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4L87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IFERROR(__xludf.DUMMYFUNCTION("""COMPUTED_VALUE"""),"CSE370-16
09A-05C")</f>
        <v>CSE370-16
09A-05C</v>
      </c>
      <c r="C9" s="86" t="str">
        <f>IFERROR(__xludf.DUMMYFUNCTION("""COMPUTED_VALUE"""),"CSE221-23
09A-05C")</f>
        <v>CSE221-23
09A-05C</v>
      </c>
      <c r="D9" s="86" t="str">
        <f>IFERROR(__xludf.DUMMYFUNCTION("""COMPUTED_VALUE"""),"Consultation By Appointment")</f>
        <v>Consultation By Appointment</v>
      </c>
      <c r="E9" s="86" t="str">
        <f>IFERROR(__xludf.DUMMYFUNCTION("""COMPUTED_VALUE"""),"Consultation By Appointment")</f>
        <v>Consultation By Appointment</v>
      </c>
      <c r="F9" s="86" t="str">
        <f>IFERROR(__xludf.DUMMYFUNCTION("""COMPUTED_VALUE"""),"Consultation By Appointment")</f>
        <v>Consultation By Appointment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IFERROR(__xludf.DUMMYFUNCTION("""COMPUTED_VALUE"""),"CSE220-11 (LAB)
MZG,ANT
09B-10L")</f>
        <v>CSE220-11 (LAB)
MZG,ANT
09B-10L</v>
      </c>
      <c r="C10" s="90" t="str">
        <f>IFERROR(__xludf.DUMMYFUNCTION("""COMPUTED_VALUE"""),"CSE220-11 (LAB)
MZG,ANT
09B-10L")</f>
        <v>CSE220-11 (LAB)
MZG,ANT
09B-10L</v>
      </c>
      <c r="D10" s="90" t="str">
        <f>IFERROR(__xludf.DUMMYFUNCTION("""COMPUTED_VALUE"""),"CSE220-15 (LAB)
SLAR,MZG
09B-11L")</f>
        <v>CSE220-15 (LAB)
SLAR,MZG
09B-11L</v>
      </c>
      <c r="E10" s="90" t="str">
        <f>IFERROR(__xludf.DUMMYFUNCTION("""COMPUTED_VALUE"""),"CSE220-15 (LAB)
SLAR,MZG
09B-11L")</f>
        <v>CSE220-15 (LAB)
SLAR,MZG
09B-11L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IFERROR(__xludf.DUMMYFUNCTION("""COMPUTED_VALUE"""),"CSE220-21 (LAB)
MZG,FDM
09B-11L")</f>
        <v>CSE220-21 (LAB)
MZG,FDM
09B-11L</v>
      </c>
      <c r="C11" s="90" t="str">
        <f>IFERROR(__xludf.DUMMYFUNCTION("""COMPUTED_VALUE"""),"CSE220-21 (LAB)
MZG,FDM
09B-11L")</f>
        <v>CSE220-21 (LAB)
MZG,FDM
09B-11L</v>
      </c>
      <c r="D11" s="90" t="str">
        <f>IFERROR(__xludf.DUMMYFUNCTION("""COMPUTED_VALUE"""),"CSE220-04 (LAB)
MZG,SWG
09B-11L")</f>
        <v>CSE220-04 (LAB)
MZG,SWG
09B-11L</v>
      </c>
      <c r="E11" s="90" t="str">
        <f>IFERROR(__xludf.DUMMYFUNCTION("""COMPUTED_VALUE"""),"CSE220-04 (LAB)
MZG,SWG
09B-11L")</f>
        <v>CSE220-04 (LAB)
MZG,SWG
09B-11L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IFERROR(__xludf.DUMMYFUNCTION("""COMPUTED_VALUE"""),"CSE370-16
09A-05C")</f>
        <v>CSE370-16
09A-05C</v>
      </c>
      <c r="C14" s="90" t="str">
        <f>IFERROR(__xludf.DUMMYFUNCTION("""COMPUTED_VALUE"""),"CSE221-23
09A-05C")</f>
        <v>CSE221-23
09A-05C</v>
      </c>
      <c r="D14" s="90" t="str">
        <f>IFERROR(__xludf.DUMMYFUNCTION("""COMPUTED_VALUE"""),"Consultation By Appointment")</f>
        <v>Consultation By Appointment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Maazin Munawar</v>
      </c>
      <c r="E4" s="57"/>
      <c r="F4" s="58" t="s">
        <v>1</v>
      </c>
      <c r="G4" s="59" t="s">
        <v>228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ext.maazin.munawar@bracu.ac.bd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IFERROR(__xludf.DUMMYFUNCTION("""COMPUTED_VALUE"""),"CSE221-09 (LAB)
CMHH,MZW
09B-09L")</f>
        <v>CSE221-09 (LAB)
CMHH,MZW
09B-09L</v>
      </c>
      <c r="C9" s="86" t="str">
        <f>IFERROR(__xludf.DUMMYFUNCTION("""COMPUTED_VALUE"""),"CSE221-09 (LAB)
CMHH,MZW
09B-09L")</f>
        <v>CSE221-09 (LAB)
CMHH,MZW
09B-09L</v>
      </c>
      <c r="D9" s="86" t="str">
        <f>IFERROR(__xludf.DUMMYFUNCTION("""COMPUTED_VALUE"""),"CSE221-10 (LAB)
TAP,MZW
09B-09L")</f>
        <v>CSE221-10 (LAB)
TAP,MZW
09B-09L</v>
      </c>
      <c r="E9" s="86" t="str">
        <f>IFERROR(__xludf.DUMMYFUNCTION("""COMPUTED_VALUE"""),"CSE221-10 (LAB)
TAP,MZW
09B-09L")</f>
        <v>CSE221-10 (LAB)
TAP,MZW
09B-09L</v>
      </c>
      <c r="F9" s="86" t="str">
        <f>IFERROR(__xludf.DUMMYFUNCTION("""COMPUTED_VALUE"""),"CSE221-08 (LAB)
ARD,MZW
09B-08L")</f>
        <v>CSE221-08 (LAB)
ARD,MZW
09B-08L</v>
      </c>
      <c r="G9" s="86" t="str">
        <f>IFERROR(__xludf.DUMMYFUNCTION("""COMPUTED_VALUE"""),"CSE221-08 (LAB)
ARD,MZW
09B-08L")</f>
        <v>CSE221-08 (LAB)
ARD,MZW
09B-08L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IFERROR(__xludf.DUMMYFUNCTION("""COMPUTED_VALUE"""),"CSE221-19 (LAB)
IBA,MZW
09E-22L")</f>
        <v>CSE221-19 (LAB)
IBA,MZW
09E-22L</v>
      </c>
      <c r="E10" s="90" t="str">
        <f>IFERROR(__xludf.DUMMYFUNCTION("""COMPUTED_VALUE"""),"CSE221-19 (LAB)
IBA,MZW
09E-22L")</f>
        <v>CSE221-19 (LAB)
IBA,MZW
09E-22L</v>
      </c>
      <c r="F10" s="90" t="str">
        <f>IFERROR(__xludf.DUMMYFUNCTION("""COMPUTED_VALUE"""),"Consultation by Appointment")</f>
        <v>Consultation by Appointment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IFERROR(__xludf.DUMMYFUNCTION("""COMPUTED_VALUE"""),"CSE330-19 (LAB)
ADD,MZW
12D-26L")</f>
        <v>CSE330-19 (LAB)
ADD,MZW
12D-26L</v>
      </c>
      <c r="C11" s="90" t="str">
        <f>IFERROR(__xludf.DUMMYFUNCTION("""COMPUTED_VALUE"""),"CSE330-19 (LAB)
ADD,MZW
12D-26L")</f>
        <v>CSE330-19 (LAB)
ADD,MZW
12D-26L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IFERROR(__xludf.DUMMYFUNCTION("""COMPUTED_VALUE"""),"CSE330-01 (LAB)
NTN,MZW
10G-34L")</f>
        <v>CSE330-01 (LAB)
NTN,MZW
10G-34L</v>
      </c>
      <c r="C12" s="90" t="str">
        <f>IFERROR(__xludf.DUMMYFUNCTION("""COMPUTED_VALUE"""),"CSE330-01 (LAB)
NTN,MZW
10G-34L")</f>
        <v>CSE330-01 (LAB)
NTN,MZW
10G-34L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Nafiu Rahman</v>
      </c>
      <c r="E4" s="57"/>
      <c r="F4" s="58" t="s">
        <v>1</v>
      </c>
      <c r="G4" s="59" t="s">
        <v>101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nafiu.rahman@bracu.ac.bd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4N138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IFERROR(__xludf.DUMMYFUNCTION("""COMPUTED_VALUE"""),"CSE330-10
09A-02C")</f>
        <v>CSE330-10
09A-02C</v>
      </c>
      <c r="C10" s="90" t="str">
        <f>IFERROR(__xludf.DUMMYFUNCTION("""COMPUTED_VALUE"""),"CSE330-11
09A-02C")</f>
        <v>CSE330-11
09A-02C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IFERROR(__xludf.DUMMYFUNCTION("""COMPUTED_VALUE"""),"CSE470-09
09C-13C")</f>
        <v>CSE470-09
09C-13C</v>
      </c>
      <c r="C11" s="90" t="str">
        <f>IFERROR(__xludf.DUMMYFUNCTION("""COMPUTED_VALUE"""),"CSE470-10
09C-13C")</f>
        <v>CSE470-10
09C-13C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IFERROR(__xludf.DUMMYFUNCTION("""COMPUTED_VALUE"""),"CSE330-10
09A-02C")</f>
        <v>CSE330-10
09A-02C</v>
      </c>
      <c r="C12" s="90" t="str">
        <f>IFERROR(__xludf.DUMMYFUNCTION("""COMPUTED_VALUE"""),"CSE330-11
09A-02C")</f>
        <v>CSE330-11
09A-02C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IFERROR(__xludf.DUMMYFUNCTION("""COMPUTED_VALUE"""),"CSE470-09
09C-13C")</f>
        <v>CSE470-09
09C-13C</v>
      </c>
      <c r="C13" s="90" t="str">
        <f>IFERROR(__xludf.DUMMYFUNCTION("""COMPUTED_VALUE"""),"CSE470-10
09C-13C")</f>
        <v>CSE470-10
09C-13C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Nazmus Sakib Touhid</v>
      </c>
      <c r="E4" s="57"/>
      <c r="F4" s="58" t="s">
        <v>1</v>
      </c>
      <c r="G4" s="59" t="s">
        <v>102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nazmus.touhid@bracu.ac.bd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4P195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IFERROR(__xludf.DUMMYFUNCTION("""COMPUTED_VALUE"""),"CSE471-11
09A-07C")</f>
        <v>CSE471-11
09A-07C</v>
      </c>
      <c r="C9" s="86" t="str">
        <f>IFERROR(__xludf.DUMMYFUNCTION("""COMPUTED_VALUE"""),"CSE471-12
09A-07C")</f>
        <v>CSE471-12
09A-07C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IFERROR(__xludf.DUMMYFUNCTION("""COMPUTED_VALUE"""),"CSE471-13
09A-05C")</f>
        <v>CSE471-13
09A-05C</v>
      </c>
      <c r="C11" s="90" t="str">
        <f>IFERROR(__xludf.DUMMYFUNCTION("""COMPUTED_VALUE"""),"CSE427-06
09A-05C")</f>
        <v>CSE427-06
09A-05C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IFERROR(__xludf.DUMMYFUNCTION("""COMPUTED_VALUE"""),"CSE471-13
09A-05C")</f>
        <v>CSE471-13
09A-05C</v>
      </c>
      <c r="C13" s="90" t="str">
        <f>IFERROR(__xludf.DUMMYFUNCTION("""COMPUTED_VALUE"""),"CSE427-06
09A-05C")</f>
        <v>CSE427-06
09A-05C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IFERROR(__xludf.DUMMYFUNCTION("""COMPUTED_VALUE"""),"CSE471-11
09A-07C")</f>
        <v>CSE471-11
09A-07C</v>
      </c>
      <c r="C14" s="90" t="str">
        <f>IFERROR(__xludf.DUMMYFUNCTION("""COMPUTED_VALUE"""),"CSE471-12
09A-07C")</f>
        <v>CSE471-12
09A-07C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NIRJHOR DATTA</v>
      </c>
      <c r="E4" s="57"/>
      <c r="F4" s="58" t="s">
        <v>1</v>
      </c>
      <c r="G4" s="59" t="s">
        <v>103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nirjhor.datta@bracu.ac.bd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4M132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IFERROR(__xludf.DUMMYFUNCTION("""COMPUTED_VALUE"""),"CSE421-19
09A-05C")</f>
        <v>CSE421-19
09A-05C</v>
      </c>
      <c r="C10" s="90" t="str">
        <f>IFERROR(__xludf.DUMMYFUNCTION("""COMPUTED_VALUE"""),"CSE421-20
09A-05C")</f>
        <v>CSE421-20
09A-05C</v>
      </c>
      <c r="D10" s="90" t="str">
        <f>IFERROR(__xludf.DUMMYFUNCTION("""COMPUTED_VALUE"""),"CSE422-18 (LAB)
DPU,NDT
10G-32L")</f>
        <v>CSE422-18 (LAB)
DPU,NDT
10G-32L</v>
      </c>
      <c r="E10" s="90" t="str">
        <f>IFERROR(__xludf.DUMMYFUNCTION("""COMPUTED_VALUE"""),"CSE422-18 (LAB)
DPU,NDT
10G-32L")</f>
        <v>CSE422-18 (LAB)
DPU,NDT
10G-32L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IFERROR(__xludf.DUMMYFUNCTION("""COMPUTED_VALUE"""),"CSE422-19
09A-04C")</f>
        <v>CSE422-19
09A-04C</v>
      </c>
      <c r="C11" s="90" t="str">
        <f>IFERROR(__xludf.DUMMYFUNCTION("""COMPUTED_VALUE"""),"Consultation")</f>
        <v>Consultation</v>
      </c>
      <c r="D11" s="90" t="str">
        <f>IFERROR(__xludf.DUMMYFUNCTION("""COMPUTED_VALUE"""),"Consultation")</f>
        <v>Consultation</v>
      </c>
      <c r="E11" s="90" t="str">
        <f>IFERROR(__xludf.DUMMYFUNCTION("""COMPUTED_VALUE"""),"CSE422-21
09A-02C")</f>
        <v>CSE422-21
09A-02C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IFERROR(__xludf.DUMMYFUNCTION("""COMPUTED_VALUE"""),"CSE421-19
09A-05C")</f>
        <v>CSE421-19
09A-05C</v>
      </c>
      <c r="C12" s="90" t="str">
        <f>IFERROR(__xludf.DUMMYFUNCTION("""COMPUTED_VALUE"""),"CSE421-20
09A-05C")</f>
        <v>CSE421-20
09A-05C</v>
      </c>
      <c r="D12" s="90" t="str">
        <f>IFERROR(__xludf.DUMMYFUNCTION("""COMPUTED_VALUE"""),"CSE421-15 (LAB)
SRJ,NDT
09F-24L,CSE421-16 (LAB)
SRJ,NDT
09F-24L")</f>
        <v>CSE421-15 (LAB)
SRJ,NDT
09F-24L,CSE421-16 (LAB)
SRJ,NDT
09F-24L</v>
      </c>
      <c r="E12" s="90" t="str">
        <f>IFERROR(__xludf.DUMMYFUNCTION("""COMPUTED_VALUE"""),"CSE421-15 (LAB)
SRJ,NDT
09F-24L,CSE421-16 (LAB)
SRJ,NDT
09F-24L")</f>
        <v>CSE421-15 (LAB)
SRJ,NDT
09F-24L,CSE421-16 (LAB)
SRJ,NDT
09F-24L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IFERROR(__xludf.DUMMYFUNCTION("""COMPUTED_VALUE"""),"CSE422-19
09A-04C")</f>
        <v>CSE422-19
09A-04C</v>
      </c>
      <c r="C13" s="90" t="str">
        <f>IFERROR(__xludf.DUMMYFUNCTION("""COMPUTED_VALUE"""),"Consultation")</f>
        <v>Consultation</v>
      </c>
      <c r="D13" s="90" t="str">
        <f>IFERROR(__xludf.DUMMYFUNCTION("""COMPUTED_VALUE"""),"Consultation")</f>
        <v>Consultation</v>
      </c>
      <c r="E13" s="90" t="str">
        <f>IFERROR(__xludf.DUMMYFUNCTION("""COMPUTED_VALUE"""),"CSE422-21
09A-02C")</f>
        <v>CSE422-21
09A-02C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Nafis Faisal</v>
      </c>
      <c r="E4" s="57"/>
      <c r="F4" s="58" t="s">
        <v>1</v>
      </c>
      <c r="G4" s="59" t="s">
        <v>229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ext.nafis.faisal@bracu.ac.bd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IFERROR(__xludf.DUMMYFUNCTION("""COMPUTED_VALUE"""),"Consultation")</f>
        <v>Consultation</v>
      </c>
      <c r="G10" s="90" t="str">
        <f>IFERROR(__xludf.DUMMYFUNCTION("""COMPUTED_VALUE"""),"CSE250-04A
10B-17C,CSE250-04B
10B-17C")</f>
        <v>CSE250-04A
10B-17C,CSE250-04B
10B-17C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IFERROR(__xludf.DUMMYFUNCTION("""COMPUTED_VALUE"""),"CSE250-03A (LAB)
NFS,RAS
12B-20L")</f>
        <v>CSE250-03A (LAB)
NFS,RAS
12B-20L</v>
      </c>
      <c r="C11" s="90" t="str">
        <f>IFERROR(__xludf.DUMMYFUNCTION("""COMPUTED_VALUE"""),"CSE250-03A (LAB)
NFS,RAS
12B-20L")</f>
        <v>CSE250-03A (LAB)
NFS,RAS
12B-20L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IFERROR(__xludf.DUMMYFUNCTION("""COMPUTED_VALUE"""),"CSE251-08B (LAB)
SDQ,NFS
12B-20L")</f>
        <v>CSE251-08B (LAB)
SDQ,NFS
12B-20L</v>
      </c>
      <c r="E12" s="90" t="str">
        <f>IFERROR(__xludf.DUMMYFUNCTION("""COMPUTED_VALUE"""),"CSE251-08B (LAB)
SDQ,NFS
12B-20L")</f>
        <v>CSE251-08B (LAB)
SDQ,NFS
12B-20L</v>
      </c>
      <c r="F12" s="90" t="str">
        <f>IFERROR(__xludf.DUMMYFUNCTION("""COMPUTED_VALUE"""),"Consultation")</f>
        <v>Consultation</v>
      </c>
      <c r="G12" s="90" t="str">
        <f>IFERROR(__xludf.DUMMYFUNCTION("""COMPUTED_VALUE"""),"CSE250-04A
10B-17C,CSE250-04B
10B-17C")</f>
        <v>CSE250-04A
10B-17C,CSE250-04B
10B-17C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IFERROR(__xludf.DUMMYFUNCTION("""COMPUTED_VALUE"""),"CSE481-01 (LAB)
SDS,NFS
09B-10L")</f>
        <v>CSE481-01 (LAB)
SDS,NFS
09B-10L</v>
      </c>
      <c r="C14" s="90" t="str">
        <f>IFERROR(__xludf.DUMMYFUNCTION("""COMPUTED_VALUE"""),"CSE481-01 (LAB)
SDS,NFS
09B-10L")</f>
        <v>CSE481-01 (LAB)
SDS,NFS
09B-10L</v>
      </c>
      <c r="D14" s="90" t="str">
        <f>IFERROR(__xludf.DUMMYFUNCTION("""COMPUTED_VALUE"""),"CSE402-01 (LAB)
SDAS,NFS
09B-10L")</f>
        <v>CSE402-01 (LAB)
SDAS,NFS
09B-10L</v>
      </c>
      <c r="E14" s="90" t="str">
        <f>IFERROR(__xludf.DUMMYFUNCTION("""COMPUTED_VALUE"""),"CSE402-01 (LAB)
SDAS,NFS
09B-10L")</f>
        <v>CSE402-01 (LAB)
SDAS,NFS
09B-10L</v>
      </c>
      <c r="F14" s="90" t="str">
        <f>IFERROR(__xludf.DUMMYFUNCTION("""COMPUTED_VALUE"""),"CSE490C-01 (LAB)
SDAS,NFS
12D-26L")</f>
        <v>CSE490C-01 (LAB)
SDAS,NFS
12D-26L</v>
      </c>
      <c r="G14" s="90" t="str">
        <f>IFERROR(__xludf.DUMMYFUNCTION("""COMPUTED_VALUE"""),"CSE490C-01 (LAB)
SDAS,NFS
12D-26L")</f>
        <v>CSE490C-01 (LAB)
SDAS,NFS
12D-26L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Namirul Islam</v>
      </c>
      <c r="E4" s="57"/>
      <c r="F4" s="58" t="s">
        <v>1</v>
      </c>
      <c r="G4" s="59" t="s">
        <v>104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namirul.islam@bracu.ac.bd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IFERROR(__xludf.DUMMYFUNCTION("""COMPUTED_VALUE"""),"Consultation")</f>
        <v>Consultation</v>
      </c>
      <c r="E9" s="86" t="str">
        <f>IFERROR(__xludf.DUMMYFUNCTION("""COMPUTED_VALUE"""),"CSE420-10
10B-16C")</f>
        <v>CSE420-10
10B-16C</v>
      </c>
      <c r="F9" s="86" t="str">
        <f>IFERROR(__xludf.DUMMYFUNCTION("""COMPUTED_VALUE"""),"CSE420-11
10B-16C")</f>
        <v>CSE420-11
10B-16C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IFERROR(__xludf.DUMMYFUNCTION("""COMPUTED_VALUE"""),"MSc Class")</f>
        <v>MSc Class</v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IFERROR(__xludf.DUMMYFUNCTION("""COMPUTED_VALUE"""),"CSE420-02 (LAB)
NLAM,SUE
10G-34L,CSE420-07 (LAB)
NLAM,SUE
10G-34L")</f>
        <v>CSE420-02 (LAB)
NLAM,SUE
10G-34L,CSE420-07 (LAB)
NLAM,SUE
10G-34L</v>
      </c>
      <c r="C10" s="90" t="str">
        <f>IFERROR(__xludf.DUMMYFUNCTION("""COMPUTED_VALUE"""),"CSE420-02 (LAB)
NLAM,SUE
10G-34L,CSE420-07 (LAB)
NLAM,SUE
10G-34L")</f>
        <v>CSE420-02 (LAB)
NLAM,SUE
10G-34L,CSE420-07 (LAB)
NLAM,SUE
10G-34L</v>
      </c>
      <c r="D10" s="90" t="str">
        <f>IFERROR(__xludf.DUMMYFUNCTION("""COMPUTED_VALUE"""),"CSE330-05 (LAB)
SADF,NLAM
10G-34L")</f>
        <v>CSE330-05 (LAB)
SADF,NLAM
10G-34L</v>
      </c>
      <c r="E10" s="90" t="str">
        <f>IFERROR(__xludf.DUMMYFUNCTION("""COMPUTED_VALUE"""),"CSE330-05 (LAB)
SADF,NLAM
10G-34L")</f>
        <v>CSE330-05 (LAB)
SADF,NLAM
10G-34L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 By Appointment")</f>
        <v>Consultation By Appointment</v>
      </c>
      <c r="D11" s="90" t="str">
        <f>IFERROR(__xludf.DUMMYFUNCTION("""COMPUTED_VALUE"""),"CSE260-19B (LAB)
FIC,NLAM
FT10-03L")</f>
        <v>CSE260-19B (LAB)
FIC,NLAM
FT10-03L</v>
      </c>
      <c r="E11" s="90" t="str">
        <f>IFERROR(__xludf.DUMMYFUNCTION("""COMPUTED_VALUE"""),"CSE260-19B (LAB)
FIC,NLAM
FT10-03L")</f>
        <v>CSE260-19B (LAB)
FIC,NLAM
FT10-03L</v>
      </c>
      <c r="F11" s="90" t="str">
        <f>IFERROR(__xludf.DUMMYFUNCTION("""COMPUTED_VALUE"""),"CSE420-12 (LAB)
NLAM,MAF
10E-27L,CSE420-13 (LAB)
NLAM,MAF
10E-27L")</f>
        <v>CSE420-12 (LAB)
NLAM,MAF
10E-27L,CSE420-13 (LAB)
NLAM,MAF
10E-27L</v>
      </c>
      <c r="G11" s="90" t="str">
        <f>IFERROR(__xludf.DUMMYFUNCTION("""COMPUTED_VALUE"""),"CSE420-12 (LAB)
NLAM,MAF
10E-27L,CSE420-13 (LAB)
NLAM,MAF
10E-27L")</f>
        <v>CSE420-12 (LAB)
NLAM,MAF
10E-27L,CSE420-13 (LAB)
NLAM,MAF
10E-27L</v>
      </c>
      <c r="H11" s="90" t="str">
        <f>IFERROR(__xludf.DUMMYFUNCTION("""COMPUTED_VALUE"""),"Consultation By Appointment")</f>
        <v>Consultation By Appointment</v>
      </c>
      <c r="I11" s="90" t="str">
        <f>IFERROR(__xludf.DUMMYFUNCTION("""COMPUTED_VALUE"""),"MSc Class")</f>
        <v>MSc Class</v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IFERROR(__xludf.DUMMYFUNCTION("""COMPUTED_VALUE"""),"CSE420-10
10B-16C")</f>
        <v>CSE420-10
10B-16C</v>
      </c>
      <c r="F14" s="90" t="str">
        <f>IFERROR(__xludf.DUMMYFUNCTION("""COMPUTED_VALUE"""),"CSE420-11
10B-16C")</f>
        <v>CSE420-11
10B-16C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Niloy Farhan</v>
      </c>
      <c r="E4" s="57"/>
      <c r="F4" s="58" t="s">
        <v>1</v>
      </c>
      <c r="G4" s="59" t="s">
        <v>105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niloy.farhan@bracu.ac.bd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IFERROR(__xludf.DUMMYFUNCTION("""COMPUTED_VALUE"""),"Consultation")</f>
        <v>Consultation</v>
      </c>
      <c r="C10" s="90" t="str">
        <f>IFERROR(__xludf.DUMMYFUNCTION("""COMPUTED_VALUE"""),"Consultation")</f>
        <v>Consultation</v>
      </c>
      <c r="D10" s="90" t="str">
        <f>IFERROR(__xludf.DUMMYFUNCTION("""COMPUTED_VALUE"""),"CSE440-01 (LAB)
MCW,NLH
12F-30L,CSE440-02 (LAB)
MCW,NLH
12F-30L")</f>
        <v>CSE440-01 (LAB)
MCW,NLH
12F-30L,CSE440-02 (LAB)
MCW,NLH
12F-30L</v>
      </c>
      <c r="E10" s="90" t="str">
        <f>IFERROR(__xludf.DUMMYFUNCTION("""COMPUTED_VALUE"""),"CSE440-01 (LAB)
MCW,NLH
12F-30L,CSE440-02 (LAB)
MCW,NLH
12F-30L")</f>
        <v>CSE440-01 (LAB)
MCW,NLH
12F-30L,CSE440-02 (LAB)
MCW,NLH
12F-30L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IFERROR(__xludf.DUMMYFUNCTION("""COMPUTED_VALUE"""),"Consultation")</f>
        <v>Consultation</v>
      </c>
      <c r="C11" s="90" t="str">
        <f>IFERROR(__xludf.DUMMYFUNCTION("""COMPUTED_VALUE"""),"Consultation")</f>
        <v>Consultation</v>
      </c>
      <c r="D11" s="90" t="str">
        <f>IFERROR(__xludf.DUMMYFUNCTION("""COMPUTED_VALUE"""),"")</f>
        <v/>
      </c>
      <c r="E11" s="90" t="str">
        <f>IFERROR(__xludf.DUMMYFUNCTION("""COMPUTED_VALUE"""),"CSE440-02
09C-16T,CSE440-03
09C-16T,CSE440-04
09C-16T")</f>
        <v>CSE440-02
09C-16T,CSE440-03
09C-16T,CSE440-04
09C-16T</v>
      </c>
      <c r="F11" s="90" t="str">
        <f>IFERROR(__xludf.DUMMYFUNCTION("""COMPUTED_VALUE"""),"CSE260-24A
07D-19C,CSE260-24B
07D-19C")</f>
        <v>CSE260-24A
07D-19C,CSE260-24B
07D-19C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IFERROR(__xludf.DUMMYFUNCTION("""COMPUTED_VALUE"""),"CSE427-02 (LAB)
ADU,NLH
09F-27L,CSE427-02 (LAB)
ADU,NLH
09F-27L")</f>
        <v>CSE427-02 (LAB)
ADU,NLH
09F-27L,CSE427-02 (LAB)
ADU,NLH
09F-27L</v>
      </c>
      <c r="C12" s="90" t="str">
        <f>IFERROR(__xludf.DUMMYFUNCTION("""COMPUTED_VALUE"""),"CSE427-02 (LAB)
ADU,NLH
09F-27L,CSE427-02 (LAB)
ADU,NLH
09F-27L")</f>
        <v>CSE427-02 (LAB)
ADU,NLH
09F-27L,CSE427-02 (LAB)
ADU,NLH
09F-27L</v>
      </c>
      <c r="D12" s="90" t="str">
        <f>IFERROR(__xludf.DUMMYFUNCTION("""COMPUTED_VALUE"""),"CSE427-03 (LAB)
RZR,NLH
09F-27L,CSE427-03 (LAB)
RZR,NLH
09F-27L")</f>
        <v>CSE427-03 (LAB)
RZR,NLH
09F-27L,CSE427-03 (LAB)
RZR,NLH
09F-27L</v>
      </c>
      <c r="E12" s="90" t="str">
        <f>IFERROR(__xludf.DUMMYFUNCTION("""COMPUTED_VALUE"""),"CSE427-03 (LAB)
RZR,NLH
09F-27L,CSE427-03 (LAB)
RZR,NLH
09F-27L")</f>
        <v>CSE427-03 (LAB)
RZR,NLH
09F-27L,CSE427-03 (LAB)
RZR,NLH
09F-27L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IFERROR(__xludf.DUMMYFUNCTION("""COMPUTED_VALUE"""),"Consultation")</f>
        <v>Consultation</v>
      </c>
      <c r="C13" s="90" t="str">
        <f>IFERROR(__xludf.DUMMYFUNCTION("""COMPUTED_VALUE"""),"Consultation")</f>
        <v>Consultation</v>
      </c>
      <c r="D13" s="90" t="str">
        <f>IFERROR(__xludf.DUMMYFUNCTION("""COMPUTED_VALUE"""),"")</f>
        <v/>
      </c>
      <c r="E13" s="90" t="str">
        <f>IFERROR(__xludf.DUMMYFUNCTION("""COMPUTED_VALUE"""),"CSE440-02
09C-16T,CSE440-03
09C-16T,CSE440-04
09C-16T")</f>
        <v>CSE440-02
09C-16T,CSE440-03
09C-16T,CSE440-04
09C-16T</v>
      </c>
      <c r="F13" s="90" t="str">
        <f>IFERROR(__xludf.DUMMYFUNCTION("""COMPUTED_VALUE"""),"CSE260-24A
07D-19C,CSE260-24B
07D-19C")</f>
        <v>CSE260-24A
07D-19C,CSE260-24B
07D-19C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IFERROR(__xludf.DUMMYFUNCTION("""COMPUTED_VALUE"""),"If you plan to visit during my consultation hours, kindly send me an email in advance. Otherwise, I may not be at my desk even if I am present in the department.")</f>
        <v>If you plan to visit during my consultation hours, kindly send me an email in advance. Otherwise, I may not be at my desk even if I am present in the department.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Namira Mustafiz Pranty</v>
      </c>
      <c r="E4" s="57"/>
      <c r="F4" s="58" t="s">
        <v>1</v>
      </c>
      <c r="G4" s="59" t="s">
        <v>230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ext.namira.pranty@bracu.ac.bd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IFERROR(__xludf.DUMMYFUNCTION("""COMPUTED_VALUE"""),"CSE260-20A (LAB)
MDF,NMP
FT10-04L")</f>
        <v>CSE260-20A (LAB)
MDF,NMP
FT10-04L</v>
      </c>
      <c r="C9" s="86" t="str">
        <f>IFERROR(__xludf.DUMMYFUNCTION("""COMPUTED_VALUE"""),"CSE260-20A (LAB)
MDF,NMP
FT10-04L")</f>
        <v>CSE260-20A (LAB)
MDF,NMP
FT10-04L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IFERROR(__xludf.DUMMYFUNCTION("""COMPUTED_VALUE"""),"CSE423-05 (LAB)
MZFZ,NMP
09F-27L,CSE423-06 (LAB)
MZFZ,NMP
09F-27L")</f>
        <v>CSE423-05 (LAB)
MZFZ,NMP
09F-27L,CSE423-06 (LAB)
MZFZ,NMP
09F-27L</v>
      </c>
      <c r="G9" s="86" t="str">
        <f>IFERROR(__xludf.DUMMYFUNCTION("""COMPUTED_VALUE"""),"CSE423-05 (LAB)
MZFZ,NMP
09F-27L,CSE423-06 (LAB)
MZFZ,NMP
09F-27L")</f>
        <v>CSE423-05 (LAB)
MZFZ,NMP
09F-27L,CSE423-06 (LAB)
MZFZ,NMP
09F-27L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IFERROR(__xludf.DUMMYFUNCTION("""COMPUTED_VALUE"""),"CSE423-11 (LAB)
NMP,ANT
09F-25L,CSE423-12 (LAB)
NMP,ANT
09F-25L")</f>
        <v>CSE423-11 (LAB)
NMP,ANT
09F-25L,CSE423-12 (LAB)
NMP,ANT
09F-25L</v>
      </c>
      <c r="G10" s="90" t="str">
        <f>IFERROR(__xludf.DUMMYFUNCTION("""COMPUTED_VALUE"""),"CSE423-11 (LAB)
NMP,ANT
09F-25L,CSE423-12 (LAB)
NMP,ANT
09F-25L")</f>
        <v>CSE423-11 (LAB)
NMP,ANT
09F-25L,CSE423-12 (LAB)
NMP,ANT
09F-25L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IFERROR(__xludf.DUMMYFUNCTION("""COMPUTED_VALUE"""),"CSE260-03B (LAB)
PRC,NMP
FT11-01L")</f>
        <v>CSE260-03B (LAB)
PRC,NMP
FT11-01L</v>
      </c>
      <c r="C13" s="90" t="str">
        <f>IFERROR(__xludf.DUMMYFUNCTION("""COMPUTED_VALUE"""),"CSE260-03B (LAB)
PRC,NMP
FT11-01L")</f>
        <v>CSE260-03B (LAB)
PRC,NMP
FT11-01L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IFERROR(__xludf.DUMMYFUNCTION("""COMPUTED_VALUE"""),"CSE423-17 (LAB)
MAHS,NMP
12F-31L,CSE423-18 (LAB)
MAHS,NMP
12F-31L")</f>
        <v>CSE423-17 (LAB)
MAHS,NMP
12F-31L,CSE423-18 (LAB)
MAHS,NMP
12F-31L</v>
      </c>
      <c r="G13" s="90" t="str">
        <f>IFERROR(__xludf.DUMMYFUNCTION("""COMPUTED_VALUE"""),"CSE423-17 (LAB)
MAHS,NMP
12F-31L,CSE423-18 (LAB)
MAHS,NMP
12F-31L")</f>
        <v>CSE423-17 (LAB)
MAHS,NMP
12F-31L,CSE423-18 (LAB)
MAHS,NMP
12F-31L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IFERROR(__xludf.DUMMYFUNCTION("""COMPUTED_VALUE"""),"CSE321-23 (LAB)
CNFH,NMP
12D-26L")</f>
        <v>CSE321-23 (LAB)
CNFH,NMP
12D-26L</v>
      </c>
      <c r="C14" s="90" t="str">
        <f>IFERROR(__xludf.DUMMYFUNCTION("""COMPUTED_VALUE"""),"CSE321-23 (LAB)
CNFH,NMP
12D-26L")</f>
        <v>CSE321-23 (LAB)
CNFH,NMP
12D-26L</v>
      </c>
      <c r="D14" s="90" t="str">
        <f>IFERROR(__xludf.DUMMYFUNCTION("""COMPUTED_VALUE"""),"CSE321-24 (LAB)
SJM,NMP
12D-26L")</f>
        <v>CSE321-24 (LAB)
SJM,NMP
12D-26L</v>
      </c>
      <c r="E14" s="90" t="str">
        <f>IFERROR(__xludf.DUMMYFUNCTION("""COMPUTED_VALUE"""),"CSE321-24 (LAB)
SJM,NMP
12D-26L")</f>
        <v>CSE321-24 (LAB)
SJM,NMP
12D-26L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Najeefa Nikhat Choudhury</v>
      </c>
      <c r="E4" s="57"/>
      <c r="F4" s="58" t="s">
        <v>1</v>
      </c>
      <c r="G4" s="59" t="s">
        <v>106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najeefa.chy@bracu.ac.bd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4G30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IFERROR(__xludf.DUMMYFUNCTION("""COMPUTED_VALUE"""),"CSE370-03
10A-10C")</f>
        <v>CSE370-03
10A-10C</v>
      </c>
      <c r="C10" s="90" t="str">
        <f>IFERROR(__xludf.DUMMYFUNCTION("""COMPUTED_VALUE"""),"CSE370-04
10A-10C")</f>
        <v>CSE370-04
10A-10C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IFERROR(__xludf.DUMMYFUNCTION("""COMPUTED_VALUE"""),"CSE370-01
10A-05C")</f>
        <v>CSE370-01
10A-05C</v>
      </c>
      <c r="C11" s="90" t="str">
        <f>IFERROR(__xludf.DUMMYFUNCTION("""COMPUTED_VALUE"""),"CSE370-02
10A-05C")</f>
        <v>CSE370-02
10A-05C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IFERROR(__xludf.DUMMYFUNCTION("""COMPUTED_VALUE"""),"CSE370-03
10A-10C")</f>
        <v>CSE370-03
10A-10C</v>
      </c>
      <c r="C12" s="90" t="str">
        <f>IFERROR(__xludf.DUMMYFUNCTION("""COMPUTED_VALUE"""),"CSE370-04
10A-10C")</f>
        <v>CSE370-04
10A-10C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IFERROR(__xludf.DUMMYFUNCTION("""COMPUTED_VALUE"""),"CSE370-01
10A-05C")</f>
        <v>CSE370-01
10A-05C</v>
      </c>
      <c r="C13" s="90" t="str">
        <f>IFERROR(__xludf.DUMMYFUNCTION("""COMPUTED_VALUE"""),"CSE370-02
10A-05C")</f>
        <v>CSE370-02
10A-05C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Nafiz Ishtiaque Mahee</v>
      </c>
      <c r="E4" s="57"/>
      <c r="F4" s="58" t="s">
        <v>1</v>
      </c>
      <c r="G4" s="59" t="s">
        <v>231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ext.nafiz.ishtiaque@bracu.ac.bd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IFERROR(__xludf.DUMMYFUNCTION("""COMPUTED_VALUE"""),"CSE370-07 (LAB)
KZMN,NQM
12F-31L")</f>
        <v>CSE370-07 (LAB)
KZMN,NQM
12F-31L</v>
      </c>
      <c r="E9" s="86" t="str">
        <f>IFERROR(__xludf.DUMMYFUNCTION("""COMPUTED_VALUE"""),"CSE370-07 (LAB)
KZMN,NQM
12F-31L")</f>
        <v>CSE370-07 (LAB)
KZMN,NQM
12F-31L</v>
      </c>
      <c r="F9" s="86" t="str">
        <f>IFERROR(__xludf.DUMMYFUNCTION("""COMPUTED_VALUE"""),"CSE260-15B (LAB)
AAF,NQM
FT10-03L")</f>
        <v>CSE260-15B (LAB)
AAF,NQM
FT10-03L</v>
      </c>
      <c r="G9" s="86" t="str">
        <f>IFERROR(__xludf.DUMMYFUNCTION("""COMPUTED_VALUE"""),"CSE260-15B (LAB)
AAF,NQM
FT10-03L")</f>
        <v>CSE260-15B (LAB)
AAF,NQM
FT10-03L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IFERROR(__xludf.DUMMYFUNCTION("""COMPUTED_VALUE"""),"CSE260-23A (LAB)
MCW,NQM
FT10-04L")</f>
        <v>CSE260-23A (LAB)
MCW,NQM
FT10-04L</v>
      </c>
      <c r="C11" s="90" t="str">
        <f>IFERROR(__xludf.DUMMYFUNCTION("""COMPUTED_VALUE"""),"CSE260-23A (LAB)
MCW,NQM
FT10-04L")</f>
        <v>CSE260-23A (LAB)
MCW,NQM
FT10-04L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IFERROR(__xludf.DUMMYFUNCTION("""COMPUTED_VALUE"""),"CSE260-03A (LAB)
TWK,NQM
FT10-04L")</f>
        <v>CSE260-03A (LAB)
TWK,NQM
FT10-04L</v>
      </c>
      <c r="C13" s="90" t="str">
        <f>IFERROR(__xludf.DUMMYFUNCTION("""COMPUTED_VALUE"""),"CSE260-03A (LAB)
TWK,NQM
FT10-04L")</f>
        <v>CSE260-03A (LAB)
TWK,NQM
FT10-04L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IFERROR(__xludf.DUMMYFUNCTION("""COMPUTED_VALUE"""),"CSE260-04B (LAB)
CABS,NQM
FT10-04L")</f>
        <v>CSE260-04B (LAB)
CABS,NQM
FT10-04L</v>
      </c>
      <c r="G13" s="90" t="str">
        <f>IFERROR(__xludf.DUMMYFUNCTION("""COMPUTED_VALUE"""),"CSE260-04B (LAB)
CABS,NQM
FT10-04L")</f>
        <v>CSE260-04B (LAB)
CABS,NQM
FT10-04L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IFERROR(__xludf.DUMMYFUNCTION("""COMPUTED_VALUE"""),"CSE110-07 (LAB)
NQM,NTN
09B-09L")</f>
        <v>CSE110-07 (LAB)
NQM,NTN
09B-09L</v>
      </c>
      <c r="E14" s="90" t="str">
        <f>IFERROR(__xludf.DUMMYFUNCTION("""COMPUTED_VALUE"""),"CSE110-07 (LAB)
NQM,NTN
09B-09L")</f>
        <v>CSE110-07 (LAB)
NQM,NTN
09B-09L</v>
      </c>
      <c r="F14" s="90" t="str">
        <f>IFERROR(__xludf.DUMMYFUNCTION("""COMPUTED_VALUE"""),"CSE370-18 (LAB)
CSYR,NQM
10E-27L")</f>
        <v>CSE370-18 (LAB)
CSYR,NQM
10E-27L</v>
      </c>
      <c r="G14" s="90" t="str">
        <f>IFERROR(__xludf.DUMMYFUNCTION("""COMPUTED_VALUE"""),"CSE370-18 (LAB)
CSYR,NQM
10E-27L")</f>
        <v>CSE370-18 (LAB)
CSYR,NQM
10E-27L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Naima Tahsin Nodi</v>
      </c>
      <c r="E4" s="57"/>
      <c r="F4" s="58" t="s">
        <v>1</v>
      </c>
      <c r="G4" s="59" t="s">
        <v>232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ext.naima.tahsin@bracu.ac.bd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IFERROR(__xludf.DUMMYFUNCTION("""COMPUTED_VALUE"""),"CSE260-22B (LAB)
MAO,NTN
FT11-01L")</f>
        <v>CSE260-22B (LAB)
MAO,NTN
FT11-01L</v>
      </c>
      <c r="E9" s="86" t="str">
        <f>IFERROR(__xludf.DUMMYFUNCTION("""COMPUTED_VALUE"""),"CSE260-22B (LAB)
MAO,NTN
FT11-01L")</f>
        <v>CSE260-22B (LAB)
MAO,NTN
FT11-01L</v>
      </c>
      <c r="F9" s="86" t="str">
        <f>IFERROR(__xludf.DUMMYFUNCTION("""COMPUTED_VALUE"""),"Consultation")</f>
        <v>Consultation</v>
      </c>
      <c r="G9" s="86" t="str">
        <f>IFERROR(__xludf.DUMMYFUNCTION("""COMPUTED_VALUE"""),"CSE330-18
07D-20C")</f>
        <v>CSE330-18
07D-20C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IFERROR(__xludf.DUMMYFUNCTION("""COMPUTED_VALUE"""),"CSE330-01 (LAB)
NTN,MZW
10G-34L")</f>
        <v>CSE330-01 (LAB)
NTN,MZW
10G-34L</v>
      </c>
      <c r="C12" s="90" t="str">
        <f>IFERROR(__xludf.DUMMYFUNCTION("""COMPUTED_VALUE"""),"CSE330-01 (LAB)
NTN,MZW
10G-34L")</f>
        <v>CSE330-01 (LAB)
NTN,MZW
10G-34L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IFERROR(__xludf.DUMMYFUNCTION("""COMPUTED_VALUE"""),"CSE110-13 (LAB)
NTN,RKBM
09B-10L")</f>
        <v>CSE110-13 (LAB)
NTN,RKBM
09B-10L</v>
      </c>
      <c r="C13" s="90" t="str">
        <f>IFERROR(__xludf.DUMMYFUNCTION("""COMPUTED_VALUE"""),"CSE110-13 (LAB)
NTN,RKBM
09B-10L")</f>
        <v>CSE110-13 (LAB)
NTN,RKBM
09B-10L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IFERROR(__xludf.DUMMYFUNCTION("""COMPUTED_VALUE"""),"CSE330-20 (LAB)
ADD,NTN
10G-34L")</f>
        <v>CSE330-20 (LAB)
ADD,NTN
10G-34L</v>
      </c>
      <c r="G13" s="90" t="str">
        <f>IFERROR(__xludf.DUMMYFUNCTION("""COMPUTED_VALUE"""),"CSE330-20 (LAB)
ADD,NTN
10G-34L")</f>
        <v>CSE330-20 (LAB)
ADD,NTN
10G-34L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IFERROR(__xludf.DUMMYFUNCTION("""COMPUTED_VALUE"""),"CSE110-07 (LAB)
NQM,NTN
09B-09L")</f>
        <v>CSE110-07 (LAB)
NQM,NTN
09B-09L</v>
      </c>
      <c r="E14" s="90" t="str">
        <f>IFERROR(__xludf.DUMMYFUNCTION("""COMPUTED_VALUE"""),"CSE110-07 (LAB)
NQM,NTN
09B-09L")</f>
        <v>CSE110-07 (LAB)
NQM,NTN
09B-09L</v>
      </c>
      <c r="F14" s="90" t="str">
        <f>IFERROR(__xludf.DUMMYFUNCTION("""COMPUTED_VALUE"""),"Consultation")</f>
        <v>Consultation</v>
      </c>
      <c r="G14" s="90" t="str">
        <f>IFERROR(__xludf.DUMMYFUNCTION("""COMPUTED_VALUE"""),"CSE330-18
07D-20C")</f>
        <v>CSE330-18
07D-20C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Narzu Tarannum</v>
      </c>
      <c r="E4" s="57"/>
      <c r="F4" s="58" t="s">
        <v>1</v>
      </c>
      <c r="G4" s="59" t="s">
        <v>107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narzu.tarannum@bracu.ac.bd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IFERROR(__xludf.DUMMYFUNCTION("""COMPUTED_VALUE"""),"CSE320-03
10B-16C")</f>
        <v>CSE320-03
10B-16C</v>
      </c>
      <c r="F10" s="90" t="str">
        <f>IFERROR(__xludf.DUMMYFUNCTION("""COMPUTED_VALUE"""),"CSE320-04
10B-16C")</f>
        <v>CSE320-04
10B-16C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IFERROR(__xludf.DUMMYFUNCTION("""COMPUTED_VALUE"""),"CSE321-02
10B-13C")</f>
        <v>CSE321-02
10B-13C</v>
      </c>
      <c r="E11" s="90" t="str">
        <f>IFERROR(__xludf.DUMMYFUNCTION("""COMPUTED_VALUE"""),"CSE321-03
10B-13C")</f>
        <v>CSE321-03
10B-13C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IFERROR(__xludf.DUMMYFUNCTION("""COMPUTED_VALUE"""),"CSE320-03
10B-16C")</f>
        <v>CSE320-03
10B-16C</v>
      </c>
      <c r="F12" s="90" t="str">
        <f>IFERROR(__xludf.DUMMYFUNCTION("""COMPUTED_VALUE"""),"CSE320-04
10B-16C")</f>
        <v>CSE320-04
10B-16C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IFERROR(__xludf.DUMMYFUNCTION("""COMPUTED_VALUE"""),"CSE321-02
10B-13C")</f>
        <v>CSE321-02
10B-13C</v>
      </c>
      <c r="E13" s="90" t="str">
        <f>IFERROR(__xludf.DUMMYFUNCTION("""COMPUTED_VALUE"""),"CSE321-03
10B-13C")</f>
        <v>CSE321-03
10B-13C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Nur Mohammad Shaon</v>
      </c>
      <c r="E4" s="57"/>
      <c r="F4" s="58" t="s">
        <v>1</v>
      </c>
      <c r="G4" s="59" t="s">
        <v>233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ext.nur.shaon@bracu.ac.bd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IFERROR(__xludf.DUMMYFUNCTION("""COMPUTED_VALUE"""),"CSE350-03B (LAB)
NUR,RFQ
FT11-01L")</f>
        <v>CSE350-03B (LAB)
NUR,RFQ
FT11-01L</v>
      </c>
      <c r="C9" s="86" t="str">
        <f>IFERROR(__xludf.DUMMYFUNCTION("""COMPUTED_VALUE"""),"CSE350-03B (LAB)
NUR,RFQ
FT11-01L")</f>
        <v>CSE350-03B (LAB)
NUR,RFQ
FT11-01L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IFERROR(__xludf.DUMMYFUNCTION("""COMPUTED_VALUE"""),"CSE350-03A
07H-26C,CSE350-03B
07H-26C")</f>
        <v>CSE350-03A
07H-26C,CSE350-03B
07H-26C</v>
      </c>
      <c r="F10" s="90" t="str">
        <f>IFERROR(__xludf.DUMMYFUNCTION("""COMPUTED_VALUE"""),"CSE350-10B (LAB)
AKJ,NUR
12B-20L")</f>
        <v>CSE350-10B (LAB)
AKJ,NUR
12B-20L</v>
      </c>
      <c r="G10" s="90" t="str">
        <f>IFERROR(__xludf.DUMMYFUNCTION("""COMPUTED_VALUE"""),"CSE350-10B (LAB)
AKJ,NUR
12B-20L")</f>
        <v>CSE350-10B (LAB)
AKJ,NUR
12B-20L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IFERROR(__xludf.DUMMYFUNCTION("""COMPUTED_VALUE"""),"CSE350-03A
07H-26C,CSE350-03B
07H-26C")</f>
        <v>CSE350-03A
07H-26C,CSE350-03B
07H-26C</v>
      </c>
      <c r="F12" s="90" t="str">
        <f>IFERROR(__xludf.DUMMYFUNCTION("""COMPUTED_VALUE"""),"Consultaion by appointment")</f>
        <v>Consultaion by appointment</v>
      </c>
      <c r="G12" s="90" t="str">
        <f>IFERROR(__xludf.DUMMYFUNCTION("""COMPUTED_VALUE"""),"CSE251-10A (LAB)
TAV,NUR
FT10-01L")</f>
        <v>CSE251-10A (LAB)
TAV,NUR
FT10-01L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IFERROR(__xludf.DUMMYFUNCTION("""COMPUTED_VALUE"""),"CSE251-02A (LAB)
NUR,RAS
FT10-01L")</f>
        <v>CSE251-02A (LAB)
NUR,RAS
FT10-01L</v>
      </c>
      <c r="C14" s="90" t="str">
        <f>IFERROR(__xludf.DUMMYFUNCTION("""COMPUTED_VALUE"""),"CSE251-02A (LAB)
NUR,RAS
FT10-01L")</f>
        <v>CSE251-02A (LAB)
NUR,RAS
FT10-01L</v>
      </c>
      <c r="D14" s="90" t="str">
        <f>IFERROR(__xludf.DUMMYFUNCTION("""COMPUTED_VALUE"""),"CSE350-05A (LAB)
SDU,NUR
FT10-01L")</f>
        <v>CSE350-05A (LAB)
SDU,NUR
FT10-01L</v>
      </c>
      <c r="E14" s="90" t="str">
        <f>IFERROR(__xludf.DUMMYFUNCTION("""COMPUTED_VALUE"""),"CSE350-05A (LAB)
SDU,NUR
FT10-01L")</f>
        <v>CSE350-05A (LAB)
SDU,NUR
FT10-01L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Nowshin Tabassum</v>
      </c>
      <c r="E4" s="57"/>
      <c r="F4" s="58" t="s">
        <v>1</v>
      </c>
      <c r="G4" s="59" t="s">
        <v>234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ext.nowshin.tabassum@bracu.ac.bd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IFERROR(__xludf.DUMMYFUNCTION("""COMPUTED_VALUE"""),"CSE341-07 (LAB)
TRZA,NWT
12F-30L")</f>
        <v>CSE341-07 (LAB)
TRZA,NWT
12F-30L</v>
      </c>
      <c r="G9" s="86" t="str">
        <f>IFERROR(__xludf.DUMMYFUNCTION("""COMPUTED_VALUE"""),"CSE341-07 (LAB)
TRZA,NWT
12F-30L")</f>
        <v>CSE341-07 (LAB)
TRZA,NWT
12F-30L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IFERROR(__xludf.DUMMYFUNCTION("""COMPUTED_VALUE"""),"CSE341-08 (LAB)
NWT,TRZA
12F-31L")</f>
        <v>CSE341-08 (LAB)
NWT,TRZA
12F-31L</v>
      </c>
      <c r="C10" s="90" t="str">
        <f>IFERROR(__xludf.DUMMYFUNCTION("""COMPUTED_VALUE"""),"CSE341-08 (LAB)
NWT,TRZA
12F-31L")</f>
        <v>CSE341-08 (LAB)
NWT,TRZA
12F-31L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IFERROR(__xludf.DUMMYFUNCTION("""COMPUTED_VALUE"""),"CSE427-05
09A-07C")</f>
        <v>CSE427-05
09A-07C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IFERROR(__xludf.DUMMYFUNCTION("""COMPUTED_VALUE"""),"CSE422-10 (LAB)
NWT,MUNR
09F-24L")</f>
        <v>CSE422-10 (LAB)
NWT,MUNR
09F-24L</v>
      </c>
      <c r="C11" s="90" t="str">
        <f>IFERROR(__xludf.DUMMYFUNCTION("""COMPUTED_VALUE"""),"CSE422-10 (LAB)
NWT,MUNR
09F-24L")</f>
        <v>CSE422-10 (LAB)
NWT,MUNR
09F-24L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IFERROR(__xludf.DUMMYFUNCTION("""COMPUTED_VALUE"""),"CSE427-05
09A-07C")</f>
        <v>CSE427-05
09A-07C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IFERROR(__xludf.DUMMYFUNCTION("""COMPUTED_VALUE"""),"CSE341-02 (LAB)
NWT,HBN
12F-30L")</f>
        <v>CSE341-02 (LAB)
NWT,HBN
12F-30L</v>
      </c>
      <c r="C13" s="90" t="str">
        <f>IFERROR(__xludf.DUMMYFUNCTION("""COMPUTED_VALUE"""),"CSE341-02 (LAB)
NWT,HBN
12F-30L")</f>
        <v>CSE341-02 (LAB)
NWT,HBN
12F-30L</v>
      </c>
      <c r="D13" s="90" t="str">
        <f>IFERROR(__xludf.DUMMYFUNCTION("""COMPUTED_VALUE"""),"CSE341-05 (LAB)
RAHA,NWT
12F-30L")</f>
        <v>CSE341-05 (LAB)
RAHA,NWT
12F-30L</v>
      </c>
      <c r="E13" s="90" t="str">
        <f>IFERROR(__xludf.DUMMYFUNCTION("""COMPUTED_VALUE"""),"CSE341-05 (LAB)
RAHA,NWT
12F-30L")</f>
        <v>CSE341-05 (LAB)
RAHA,NWT
12F-30L</v>
      </c>
      <c r="F13" s="90" t="str">
        <f>IFERROR(__xludf.DUMMYFUNCTION("""COMPUTED_VALUE"""),"")</f>
        <v/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IFERROR(__xludf.DUMMYFUNCTION("""COMPUTED_VALUE"""),"**Email me before coming for my consultation")</f>
        <v>**Email me before coming for my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Niaz Ashraf Khan</v>
      </c>
      <c r="E4" s="57"/>
      <c r="F4" s="58" t="s">
        <v>1</v>
      </c>
      <c r="G4" s="59" t="s">
        <v>108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niaz.ashraf@bracu.ac.bd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IFERROR(__xludf.DUMMYFUNCTION("""COMPUTED_VALUE"""),"CSE230-01
10B-15C")</f>
        <v>CSE230-01
10B-15C</v>
      </c>
      <c r="G10" s="90" t="str">
        <f>IFERROR(__xludf.DUMMYFUNCTION("""COMPUTED_VALUE"""),"CSE230-02
10B-15C")</f>
        <v>CSE230-02
10B-15C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IFERROR(__xludf.DUMMYFUNCTION("""COMPUTED_VALUE"""),"CSE101-01
10B-13C")</f>
        <v>CSE101-01
10B-13C</v>
      </c>
      <c r="G11" s="90" t="str">
        <f>IFERROR(__xludf.DUMMYFUNCTION("""COMPUTED_VALUE"""),"CSE230-03
10B-13C")</f>
        <v>CSE230-03
10B-13C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IFERROR(__xludf.DUMMYFUNCTION("""COMPUTED_VALUE"""),"CSE230-01
10B-15C")</f>
        <v>CSE230-01
10B-15C</v>
      </c>
      <c r="G12" s="90" t="str">
        <f>IFERROR(__xludf.DUMMYFUNCTION("""COMPUTED_VALUE"""),"CSE230-02
10B-15C")</f>
        <v>CSE230-02
10B-15C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IFERROR(__xludf.DUMMYFUNCTION("""COMPUTED_VALUE"""),"CSE101-01
10B-13C")</f>
        <v>CSE101-01
10B-13C</v>
      </c>
      <c r="G13" s="90" t="str">
        <f>IFERROR(__xludf.DUMMYFUNCTION("""COMPUTED_VALUE"""),"CSE230-03
10B-13C")</f>
        <v>CSE230-03
10B-13C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Nazmul Islam</v>
      </c>
      <c r="E4" s="57"/>
      <c r="F4" s="58" t="s">
        <v>1</v>
      </c>
      <c r="G4" s="59" t="s">
        <v>109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nazmul.islam1@bracu.ac.bd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IFERROR(__xludf.DUMMYFUNCTION("""COMPUTED_VALUE"""),"CSE370-10
09D-18C")</f>
        <v>CSE370-10
09D-18C</v>
      </c>
      <c r="C10" s="90" t="str">
        <f>IFERROR(__xludf.DUMMYFUNCTION("""COMPUTED_VALUE"""),"CSE370-11
09D-18C")</f>
        <v>CSE370-11
09D-18C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IFERROR(__xludf.DUMMYFUNCTION("""COMPUTED_VALUE"""),"CSE370-05 (LAB)
NZU,RAHA
12F-32L")</f>
        <v>CSE370-05 (LAB)
NZU,RAHA
12F-32L</v>
      </c>
      <c r="G10" s="90" t="str">
        <f>IFERROR(__xludf.DUMMYFUNCTION("""COMPUTED_VALUE"""),"CSE370-05 (LAB)
NZU,RAHA
12F-32L")</f>
        <v>CSE370-05 (LAB)
NZU,RAHA
12F-32L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IFERROR(__xludf.DUMMYFUNCTION("""COMPUTED_VALUE"""),"CSE370-03 (LAB)
NZU,FEK
12F-32L")</f>
        <v>CSE370-03 (LAB)
NZU,FEK
12F-32L</v>
      </c>
      <c r="C11" s="90" t="str">
        <f>IFERROR(__xludf.DUMMYFUNCTION("""COMPUTED_VALUE"""),"CSE370-03 (LAB)
NZU,FEK
12F-32L")</f>
        <v>CSE370-03 (LAB)
NZU,FEK
12F-32L</v>
      </c>
      <c r="D11" s="90" t="str">
        <f>IFERROR(__xludf.DUMMYFUNCTION("""COMPUTED_VALUE"""),"CSE370-17 (LAB)
TMD,NZU
12F-32L")</f>
        <v>CSE370-17 (LAB)
TMD,NZU
12F-32L</v>
      </c>
      <c r="E11" s="90" t="str">
        <f>IFERROR(__xludf.DUMMYFUNCTION("""COMPUTED_VALUE"""),"CSE370-17 (LAB)
TMD,NZU
12F-32L")</f>
        <v>CSE370-17 (LAB)
TMD,NZU
12F-32L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IFERROR(__xludf.DUMMYFUNCTION("""COMPUTED_VALUE"""),"CSE370-10
09D-18C")</f>
        <v>CSE370-10
09D-18C</v>
      </c>
      <c r="C12" s="90" t="str">
        <f>IFERROR(__xludf.DUMMYFUNCTION("""COMPUTED_VALUE"""),"CSE370-11
09D-18C")</f>
        <v>CSE370-11
09D-18C</v>
      </c>
      <c r="D12" s="90" t="str">
        <f>IFERROR(__xludf.DUMMYFUNCTION("""COMPUTED_VALUE"""),"CSE370-02 (LAB)
FEK,NZU
12F-31L")</f>
        <v>CSE370-02 (LAB)
FEK,NZU
12F-31L</v>
      </c>
      <c r="E12" s="90" t="str">
        <f>IFERROR(__xludf.DUMMYFUNCTION("""COMPUTED_VALUE"""),"CSE370-02 (LAB)
FEK,NZU
12F-31L")</f>
        <v>CSE370-02 (LAB)
FEK,NZU
12F-31L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IFERROR(__xludf.DUMMYFUNCTION("""COMPUTED_VALUE"""),"CSE370-15 (LAB)
NZU,STNM
12F-31L")</f>
        <v>CSE370-15 (LAB)
NZU,STNM
12F-31L</v>
      </c>
      <c r="C13" s="90" t="str">
        <f>IFERROR(__xludf.DUMMYFUNCTION("""COMPUTED_VALUE"""),"CSE370-15 (LAB)
NZU,STNM
12F-31L")</f>
        <v>CSE370-15 (LAB)
NZU,STNM
12F-31L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IFERROR(__xludf.DUMMYFUNCTION("""COMPUTED_VALUE"""),"CSE370-10 (LAB)
RBR,NZU
10E-27L")</f>
        <v>CSE370-10 (LAB)
RBR,NZU
10E-27L</v>
      </c>
      <c r="G13" s="90" t="str">
        <f>IFERROR(__xludf.DUMMYFUNCTION("""COMPUTED_VALUE"""),"CSE370-10 (LAB)
RBR,NZU
10E-27L")</f>
        <v>CSE370-10 (LAB)
RBR,NZU
10E-27L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Partha Bhoumik</v>
      </c>
      <c r="E4" s="57"/>
      <c r="F4" s="58" t="s">
        <v>1</v>
      </c>
      <c r="G4" s="59" t="s">
        <v>110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partha.bhoumik@bracu.ac.bd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IFERROR(__xludf.DUMMYFUNCTION("""COMPUTED_VALUE"""),"CSE340-04
09A-04C")</f>
        <v>CSE340-04
09A-04C</v>
      </c>
      <c r="C9" s="86" t="str">
        <f>IFERROR(__xludf.DUMMYFUNCTION("""COMPUTED_VALUE"""),"CSE340-05
09A-04C")</f>
        <v>CSE340-05
09A-04C</v>
      </c>
      <c r="D9" s="86" t="str">
        <f>IFERROR(__xludf.DUMMYFUNCTION("""COMPUTED_VALUE"""),"CSE260-24A (LAB)
PBK,THR
FT10-02L")</f>
        <v>CSE260-24A (LAB)
PBK,THR
FT10-02L</v>
      </c>
      <c r="E9" s="86" t="str">
        <f>IFERROR(__xludf.DUMMYFUNCTION("""COMPUTED_VALUE"""),"CSE260-24A (LAB)
PBK,THR
FT10-02L")</f>
        <v>CSE260-24A (LAB)
PBK,THR
FT10-02L</v>
      </c>
      <c r="F9" s="86" t="str">
        <f>IFERROR(__xludf.DUMMYFUNCTION("""COMPUTED_VALUE"""),"Consultaion by Appointment")</f>
        <v>Consultaion by Appointment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IFERROR(__xludf.DUMMYFUNCTION("""COMPUTED_VALUE"""),"CSE260-05A
09A-07C,CSE260-05B
09A-07C")</f>
        <v>CSE260-05A
09A-07C,CSE260-05B
09A-07C</v>
      </c>
      <c r="C10" s="90" t="str">
        <f>IFERROR(__xludf.DUMMYFUNCTION("""COMPUTED_VALUE"""),"CSE260-06A
09A-07C,CSE260-06B
09A-07C")</f>
        <v>CSE260-06A
09A-07C,CSE260-06B
09A-07C</v>
      </c>
      <c r="D10" s="90" t="str">
        <f>IFERROR(__xludf.DUMMYFUNCTION("""COMPUTED_VALUE"""),"CSE260-26A (LAB)
PBK,THR
FT10-02L")</f>
        <v>CSE260-26A (LAB)
PBK,THR
FT10-02L</v>
      </c>
      <c r="E10" s="90" t="str">
        <f>IFERROR(__xludf.DUMMYFUNCTION("""COMPUTED_VALUE"""),"CSE260-26A (LAB)
PBK,THR
FT10-02L")</f>
        <v>CSE260-26A (LAB)
PBK,THR
FT10-02L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IFERROR(__xludf.DUMMYFUNCTION("""COMPUTED_VALUE"""),"CSE260-05A
09A-07C,CSE260-05B
09A-07C")</f>
        <v>CSE260-05A
09A-07C,CSE260-05B
09A-07C</v>
      </c>
      <c r="C12" s="90" t="str">
        <f>IFERROR(__xludf.DUMMYFUNCTION("""COMPUTED_VALUE"""),"CSE260-06A
09A-07C,CSE260-06B
09A-07C")</f>
        <v>CSE260-06A
09A-07C,CSE260-06B
09A-07C</v>
      </c>
      <c r="D12" s="90" t="str">
        <f>IFERROR(__xludf.DUMMYFUNCTION("""COMPUTED_VALUE"""),"Consultation")</f>
        <v>Consultation</v>
      </c>
      <c r="E12" s="90" t="str">
        <f>IFERROR(__xludf.DUMMYFUNCTION("""COMPUTED_VALUE"""),"Consultaion by Appointment")</f>
        <v>Consultaion by Appointment</v>
      </c>
      <c r="F12" s="90" t="str">
        <f>IFERROR(__xludf.DUMMYFUNCTION("""COMPUTED_VALUE"""),"Consultaion by Appointment")</f>
        <v>Consultaion by Appointment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IFERROR(__xludf.DUMMYFUNCTION("""COMPUTED_VALUE"""),"CSE340-04
09A-04C")</f>
        <v>CSE340-04
09A-04C</v>
      </c>
      <c r="C14" s="90" t="str">
        <f>IFERROR(__xludf.DUMMYFUNCTION("""COMPUTED_VALUE"""),"CSE340-05
09A-04C")</f>
        <v>CSE340-05
09A-04C</v>
      </c>
      <c r="D14" s="90" t="str">
        <f>IFERROR(__xludf.DUMMYFUNCTION("""COMPUTED_VALUE"""),"CSE260-02B (LAB)
DZK,PBK
FT10-04L")</f>
        <v>CSE260-02B (LAB)
DZK,PBK
FT10-04L</v>
      </c>
      <c r="E14" s="90" t="str">
        <f>IFERROR(__xludf.DUMMYFUNCTION("""COMPUTED_VALUE"""),"CSE260-02B (LAB)
DZK,PBK
FT10-04L")</f>
        <v>CSE260-02B (LAB)
DZK,PBK
FT10-04L</v>
      </c>
      <c r="F14" s="90" t="str">
        <f>IFERROR(__xludf.DUMMYFUNCTION("""COMPUTED_VALUE"""),"Consultaion by Appointment")</f>
        <v>Consultaion by Appointment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must email me a day before to book a consultation slot.")</f>
        <v>**You must email me a day before to book a consultation slot.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Purbayan Das</v>
      </c>
      <c r="E4" s="57"/>
      <c r="F4" s="58" t="s">
        <v>1</v>
      </c>
      <c r="G4" s="59" t="s">
        <v>111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purbayan.das@bracu.ac.bd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IFERROR(__xludf.DUMMYFUNCTION("""COMPUTED_VALUE"""),"CSE250-09A (LAB)
PDS,THL
12B-20L")</f>
        <v>CSE250-09A (LAB)
PDS,THL
12B-20L</v>
      </c>
      <c r="E10" s="90" t="str">
        <f>IFERROR(__xludf.DUMMYFUNCTION("""COMPUTED_VALUE"""),"CSE250-09A (LAB)
PDS,THL
12B-20L")</f>
        <v>CSE250-09A (LAB)
PDS,THL
12B-20L</v>
      </c>
      <c r="F10" s="90" t="str">
        <f>IFERROR(__xludf.DUMMYFUNCTION("""COMPUTED_VALUE"""),"CSE251-04A
09A-01C")</f>
        <v>CSE251-04A
09A-01C</v>
      </c>
      <c r="G10" s="90" t="str">
        <f>IFERROR(__xludf.DUMMYFUNCTION("""COMPUTED_VALUE"""),"Consultation")</f>
        <v>Consultation</v>
      </c>
      <c r="H10" s="90" t="str">
        <f>IFERROR(__xludf.DUMMYFUNCTION("""COMPUTED_VALUE"""),"Consultation")</f>
        <v>Consultation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IFERROR(__xludf.DUMMYFUNCTION("""COMPUTED_VALUE"""),"CSE251-03B (LAB)
PDS,ALSM
FT11-01L")</f>
        <v>CSE251-03B (LAB)
PDS,ALSM
FT11-01L</v>
      </c>
      <c r="C11" s="90" t="str">
        <f>IFERROR(__xludf.DUMMYFUNCTION("""COMPUTED_VALUE"""),"CSE251-03B (LAB)
PDS,ALSM
FT11-01L")</f>
        <v>CSE251-03B (LAB)
PDS,ALSM
FT11-01L</v>
      </c>
      <c r="D11" s="90" t="str">
        <f>IFERROR(__xludf.DUMMYFUNCTION("""COMPUTED_VALUE"""),"CSE350-01A (LAB)
PDS,ALSM
FT10-01L")</f>
        <v>CSE350-01A (LAB)
PDS,ALSM
FT10-01L</v>
      </c>
      <c r="E11" s="90" t="str">
        <f>IFERROR(__xludf.DUMMYFUNCTION("""COMPUTED_VALUE"""),"CSE350-01A (LAB)
PDS,ALSM
FT10-01L")</f>
        <v>CSE350-01A (LAB)
PDS,ALSM
FT10-01L</v>
      </c>
      <c r="F11" s="90" t="str">
        <f>IFERROR(__xludf.DUMMYFUNCTION("""COMPUTED_VALUE"""),"Consultation")</f>
        <v>Consultation</v>
      </c>
      <c r="G11" s="90" t="str">
        <f>IFERROR(__xludf.DUMMYFUNCTION("""COMPUTED_VALUE"""),"CSE250-09A
07H-26C,CSE250-09B
07H-26C")</f>
        <v>CSE250-09A
07H-26C,CSE250-09B
07H-26C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IFERROR(__xludf.DUMMYFUNCTION("""COMPUTED_VALUE"""),5.0)</f>
        <v>5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IFERROR(__xludf.DUMMYFUNCTION("""COMPUTED_VALUE"""),"CSE251-08A (LAB)
PDS,ARPD
12B-20L")</f>
        <v>CSE251-08A (LAB)
PDS,ARPD
12B-20L</v>
      </c>
      <c r="E12" s="90" t="str">
        <f>IFERROR(__xludf.DUMMYFUNCTION("""COMPUTED_VALUE"""),"CSE251-08A (LAB)
PDS,ARPD
12B-20L")</f>
        <v>CSE251-08A (LAB)
PDS,ARPD
12B-20L</v>
      </c>
      <c r="F12" s="90" t="str">
        <f>IFERROR(__xludf.DUMMYFUNCTION("""COMPUTED_VALUE"""),"CSE251-04A
09A-01C")</f>
        <v>CSE251-04A
09A-01C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IFERROR(__xludf.DUMMYFUNCTION("""COMPUTED_VALUE"""),"CSE250-04A (LAB)
PDS,HMH
12B-20L")</f>
        <v>CSE250-04A (LAB)
PDS,HMH
12B-20L</v>
      </c>
      <c r="E13" s="90" t="str">
        <f>IFERROR(__xludf.DUMMYFUNCTION("""COMPUTED_VALUE"""),"CSE250-04A (LAB)
PDS,HMH
12B-20L")</f>
        <v>CSE250-04A (LAB)
PDS,HMH
12B-20L</v>
      </c>
      <c r="F13" s="90" t="str">
        <f>IFERROR(__xludf.DUMMYFUNCTION("""COMPUTED_VALUE"""),"Consultation")</f>
        <v>Consultation</v>
      </c>
      <c r="G13" s="90" t="str">
        <f>IFERROR(__xludf.DUMMYFUNCTION("""COMPUTED_VALUE"""),"CSE250-09A
07H-26C,CSE250-09B
07H-26C")</f>
        <v>CSE250-09A
07H-26C,CSE250-09B
07H-26C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IFERROR(__xludf.DUMMYFUNCTION("""COMPUTED_VALUE"""),"CSE251-05A (LAB)
SDS,PDS
12B-20L")</f>
        <v>CSE251-05A (LAB)
SDS,PDS
12B-20L</v>
      </c>
      <c r="E14" s="90" t="str">
        <f>IFERROR(__xludf.DUMMYFUNCTION("""COMPUTED_VALUE"""),"CSE251-05A (LAB)
SDS,PDS
12B-20L")</f>
        <v>CSE251-05A (LAB)
SDS,PDS
12B-20L</v>
      </c>
      <c r="F14" s="90" t="str">
        <f>IFERROR(__xludf.DUMMYFUNCTION("""COMPUTED_VALUE"""),"CSE250-02A (LAB)
PDS,SEF
12B-20L")</f>
        <v>CSE250-02A (LAB)
PDS,SEF
12B-20L</v>
      </c>
      <c r="G14" s="90" t="str">
        <f>IFERROR(__xludf.DUMMYFUNCTION("""COMPUTED_VALUE"""),"CSE250-02A (LAB)
PDS,SEF
12B-20L")</f>
        <v>CSE250-02A (LAB)
PDS,SEF
12B-20L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Pollock Nag</v>
      </c>
      <c r="E4" s="57"/>
      <c r="F4" s="58" t="s">
        <v>1</v>
      </c>
      <c r="G4" s="59" t="s">
        <v>112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pollock.nag@bracu.ac.bd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IFERROR(__xludf.DUMMYFUNCTION("""COMPUTED_VALUE"""),"CSE422-23 (LAB)
PLN,IRZ
09F-27L")</f>
        <v>CSE422-23 (LAB)
PLN,IRZ
09F-27L</v>
      </c>
      <c r="C9" s="86" t="str">
        <f>IFERROR(__xludf.DUMMYFUNCTION("""COMPUTED_VALUE"""),"CSE422-23 (LAB)
PLN,IRZ
09F-27L")</f>
        <v>CSE422-23 (LAB)
PLN,IRZ
09F-27L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IFERROR(__xludf.DUMMYFUNCTION("""COMPUTED_VALUE"""),"CSE470-20
09D-17C")</f>
        <v>CSE470-20
09D-17C</v>
      </c>
      <c r="G9" s="86" t="str">
        <f>IFERROR(__xludf.DUMMYFUNCTION("""COMPUTED_VALUE"""),"CSE370-15
09D-17C")</f>
        <v>CSE370-15
09D-17C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IFERROR(__xludf.DUMMYFUNCTION("""COMPUTED_VALUE"""),"CSE471-09 (LAB)
PLN,IRZ
12D-26L")</f>
        <v>CSE471-09 (LAB)
PLN,IRZ
12D-26L</v>
      </c>
      <c r="G10" s="90" t="str">
        <f>IFERROR(__xludf.DUMMYFUNCTION("""COMPUTED_VALUE"""),"CSE471-09 (LAB)
PLN,IRZ
12D-26L")</f>
        <v>CSE471-09 (LAB)
PLN,IRZ
12D-26L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IFERROR(__xludf.DUMMYFUNCTION("""COMPUTED_VALUE"""),"CSE471-11 (LAB)
PLN,AWK
12F-30L")</f>
        <v>CSE471-11 (LAB)
PLN,AWK
12F-30L</v>
      </c>
      <c r="E11" s="90" t="str">
        <f>IFERROR(__xludf.DUMMYFUNCTION("""COMPUTED_VALUE"""),"CSE471-11 (LAB)
PLN,AWK
12F-30L")</f>
        <v>CSE471-11 (LAB)
PLN,AWK
12F-30L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IFERROR(__xludf.DUMMYFUNCTION("""COMPUTED_VALUE"""),"CSE422-11 (LAB)
PLN,CMHH
09F-26L")</f>
        <v>CSE422-11 (LAB)
PLN,CMHH
09F-26L</v>
      </c>
      <c r="C14" s="90" t="str">
        <f>IFERROR(__xludf.DUMMYFUNCTION("""COMPUTED_VALUE"""),"CSE422-11 (LAB)
PLN,CMHH
09F-26L")</f>
        <v>CSE422-11 (LAB)
PLN,CMHH
09F-26L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IFERROR(__xludf.DUMMYFUNCTION("""COMPUTED_VALUE"""),"CSE470-20
09D-17C")</f>
        <v>CSE470-20
09D-17C</v>
      </c>
      <c r="G14" s="90" t="str">
        <f>IFERROR(__xludf.DUMMYFUNCTION("""COMPUTED_VALUE"""),"CSE370-15
09D-17C")</f>
        <v>CSE370-15
09D-17C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Pratick Roy Chowdhuruy</v>
      </c>
      <c r="E4" s="57"/>
      <c r="F4" s="58" t="s">
        <v>1</v>
      </c>
      <c r="G4" s="59" t="s">
        <v>235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ext.pratick.roy@bracu.ac.bd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IFERROR(__xludf.DUMMYFUNCTION("""COMPUTED_VALUE"""),"CSE461-08 (LAB)
UTKR,PRC
10G-33L")</f>
        <v>CSE461-08 (LAB)
UTKR,PRC
10G-33L</v>
      </c>
      <c r="E9" s="86" t="str">
        <f>IFERROR(__xludf.DUMMYFUNCTION("""COMPUTED_VALUE"""),"CSE461-08 (LAB)
UTKR,PRC
10G-33L")</f>
        <v>CSE461-08 (LAB)
UTKR,PRC
10G-33L</v>
      </c>
      <c r="F9" s="86" t="str">
        <f>IFERROR(__xludf.DUMMYFUNCTION("""COMPUTED_VALUE"""),"CSE360-05 (LAB)
IRZ,PRC
10G-32L,CSE360-08 (LAB)
IRZ,PRC
10G-32L")</f>
        <v>CSE360-05 (LAB)
IRZ,PRC
10G-32L,CSE360-08 (LAB)
IRZ,PRC
10G-32L</v>
      </c>
      <c r="G9" s="86" t="str">
        <f>IFERROR(__xludf.DUMMYFUNCTION("""COMPUTED_VALUE"""),"CSE360-05 (LAB)
IRZ,PRC
10G-32L,CSE360-08 (LAB)
IRZ,PRC
10G-32L")</f>
        <v>CSE360-05 (LAB)
IRZ,PRC
10G-32L,CSE360-08 (LAB)
IRZ,PRC
10G-32L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IFERROR(__xludf.DUMMYFUNCTION("""COMPUTED_VALUE"""),"CSE461-05 (LAB)
KHR,PRC
10G-33L")</f>
        <v>CSE461-05 (LAB)
KHR,PRC
10G-33L</v>
      </c>
      <c r="E11" s="90" t="str">
        <f>IFERROR(__xludf.DUMMYFUNCTION("""COMPUTED_VALUE"""),"CSE461-05 (LAB)
KHR,PRC
10G-33L")</f>
        <v>CSE461-05 (LAB)
KHR,PRC
10G-33L</v>
      </c>
      <c r="F11" s="90" t="str">
        <f>IFERROR(__xludf.DUMMYFUNCTION("""COMPUTED_VALUE"""),"CSE360-03 (LAB)
RDW,PRC
10G-32L,CSE360-07 (LAB)
RDW,PRC
10G-32L")</f>
        <v>CSE360-03 (LAB)
RDW,PRC
10G-32L,CSE360-07 (LAB)
RDW,PRC
10G-32L</v>
      </c>
      <c r="G11" s="90" t="str">
        <f>IFERROR(__xludf.DUMMYFUNCTION("""COMPUTED_VALUE"""),"CSE360-03 (LAB)
RDW,PRC
10G-32L,CSE360-07 (LAB)
RDW,PRC
10G-32L")</f>
        <v>CSE360-03 (LAB)
RDW,PRC
10G-32L,CSE360-07 (LAB)
RDW,PRC
10G-32L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IFERROR(__xludf.DUMMYFUNCTION("""COMPUTED_VALUE"""),"CSE360-04 (LAB)
PRC,SMYA
10G-32L,CSE360-06 (LAB)
PRC,SMYA
10G-32L")</f>
        <v>CSE360-04 (LAB)
PRC,SMYA
10G-32L,CSE360-06 (LAB)
PRC,SMYA
10G-32L</v>
      </c>
      <c r="G12" s="90" t="str">
        <f>IFERROR(__xludf.DUMMYFUNCTION("""COMPUTED_VALUE"""),"CSE360-04 (LAB)
PRC,SMYA
10G-32L,CSE360-06 (LAB)
PRC,SMYA
10G-32L")</f>
        <v>CSE360-04 (LAB)
PRC,SMYA
10G-32L,CSE360-06 (LAB)
PRC,SMYA
10G-32L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IFERROR(__xludf.DUMMYFUNCTION("""COMPUTED_VALUE"""),"CSE260-03B (LAB)
PRC,NMP
FT11-01L")</f>
        <v>CSE260-03B (LAB)
PRC,NMP
FT11-01L</v>
      </c>
      <c r="C13" s="90" t="str">
        <f>IFERROR(__xludf.DUMMYFUNCTION("""COMPUTED_VALUE"""),"CSE260-03B (LAB)
PRC,NMP
FT11-01L")</f>
        <v>CSE260-03B (LAB)
PRC,NMP
FT11-01L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IFERROR(__xludf.DUMMYFUNCTION("""COMPUTED_VALUE"""),"CSE461-01 (LAB)
PRC,RFF
10G-32L")</f>
        <v>CSE461-01 (LAB)
PRC,RFF
10G-32L</v>
      </c>
      <c r="G13" s="90" t="str">
        <f>IFERROR(__xludf.DUMMYFUNCTION("""COMPUTED_VALUE"""),"CSE461-01 (LAB)
PRC,RFF
10G-32L")</f>
        <v>CSE461-01 (LAB)
PRC,RFF
10G-32L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Prothito Shovon Majumder</v>
      </c>
      <c r="E4" s="57"/>
      <c r="F4" s="58" t="s">
        <v>1</v>
      </c>
      <c r="G4" s="59" t="s">
        <v>113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prothito.shovon@bracu.ac.bd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IFERROR(__xludf.DUMMYFUNCTION("""COMPUTED_VALUE"""),"CSE422-22
09B-12C")</f>
        <v>CSE422-22
09B-12C</v>
      </c>
      <c r="F10" s="90" t="str">
        <f>IFERROR(__xludf.DUMMYFUNCTION("""COMPUTED_VALUE"""),"CSE422-23
09B-12C")</f>
        <v>CSE422-23
09B-12C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IFERROR(__xludf.DUMMYFUNCTION("""COMPUTED_VALUE"""),"CSE230-10
09A-06C")</f>
        <v>CSE230-10
09A-06C</v>
      </c>
      <c r="F11" s="90" t="str">
        <f>IFERROR(__xludf.DUMMYFUNCTION("""COMPUTED_VALUE"""),"CSE230-11
09A-06C")</f>
        <v>CSE230-11
09A-06C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IFERROR(__xludf.DUMMYFUNCTION("""COMPUTED_VALUE"""),"CSE422-22
09B-12C")</f>
        <v>CSE422-22
09B-12C</v>
      </c>
      <c r="F12" s="90" t="str">
        <f>IFERROR(__xludf.DUMMYFUNCTION("""COMPUTED_VALUE"""),"CSE422-23
09B-12C")</f>
        <v>CSE422-23
09B-12C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IFERROR(__xludf.DUMMYFUNCTION("""COMPUTED_VALUE"""),"CSE230-10
09A-06C")</f>
        <v>CSE230-10
09A-06C</v>
      </c>
      <c r="F13" s="90" t="str">
        <f>IFERROR(__xludf.DUMMYFUNCTION("""COMPUTED_VALUE"""),"CSE230-11
09A-06C")</f>
        <v>CSE230-11
09A-06C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IFERROR(__xludf.DUMMYFUNCTION("""COMPUTED_VALUE"""),"**If you want to meet for consultation, please send me an email or a DM on Discord the previous day. It helps me to plan ahead.")</f>
        <v>**If you want to meet for consultation, please send me an email or a DM on Discord the previous day. It helps me to plan ahead.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Quazi Ashikur Rahman</v>
      </c>
      <c r="E4" s="57"/>
      <c r="F4" s="58" t="s">
        <v>1</v>
      </c>
      <c r="G4" s="59" t="s">
        <v>114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quazi.ashikur@bracu.ac.bd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IFERROR(__xludf.DUMMYFUNCTION("""COMPUTED_VALUE"""),"CSE230-12
09B-12C")</f>
        <v>CSE230-12
09B-12C</v>
      </c>
      <c r="D10" s="90" t="str">
        <f>IFERROR(__xludf.DUMMYFUNCTION("""COMPUTED_VALUE"""),"CSE230-13
09B-12C")</f>
        <v>CSE230-13
09B-12C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IFERROR(__xludf.DUMMYFUNCTION("""COMPUTED_VALUE"""),"CSE427-08
07H-27C")</f>
        <v>CSE427-08
07H-27C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 by
Appointment")</f>
        <v>Consultation by
Appointment</v>
      </c>
      <c r="D11" s="90" t="str">
        <f>IFERROR(__xludf.DUMMYFUNCTION("""COMPUTED_VALUE"""),"Consultation by
Appointment")</f>
        <v>Consultation by
Appointment</v>
      </c>
      <c r="E11" s="90" t="str">
        <f>IFERROR(__xludf.DUMMYFUNCTION("""COMPUTED_VALUE"""),"CSE111-17
09H-34C")</f>
        <v>CSE111-17
09H-34C</v>
      </c>
      <c r="F11" s="90" t="str">
        <f>IFERROR(__xludf.DUMMYFUNCTION("""COMPUTED_VALUE"""),"CSE427-08 (LAB)
DFD,QUZA
09F-27L")</f>
        <v>CSE427-08 (LAB)
DFD,QUZA
09F-27L</v>
      </c>
      <c r="G11" s="90" t="str">
        <f>IFERROR(__xludf.DUMMYFUNCTION("""COMPUTED_VALUE"""),"CSE427-08 (LAB)
DFD,QUZA
09F-27L")</f>
        <v>CSE427-08 (LAB)
DFD,QUZA
09F-27L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IFERROR(__xludf.DUMMYFUNCTION("""COMPUTED_VALUE"""),"CSE230-12
09B-12C")</f>
        <v>CSE230-12
09B-12C</v>
      </c>
      <c r="D12" s="90" t="str">
        <f>IFERROR(__xludf.DUMMYFUNCTION("""COMPUTED_VALUE"""),"CSE230-13
09B-12C")</f>
        <v>CSE230-13
09B-12C</v>
      </c>
      <c r="E12" s="90" t="str">
        <f>IFERROR(__xludf.DUMMYFUNCTION("""COMPUTED_VALUE"""),"Consultation")</f>
        <v>Consultation</v>
      </c>
      <c r="F12" s="90"/>
      <c r="G12" s="90" t="str">
        <f>IFERROR(__xludf.DUMMYFUNCTION("""COMPUTED_VALUE"""),"CSE427-08
07H-27C")</f>
        <v>CSE427-08
07H-27C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IFERROR(__xludf.DUMMYFUNCTION("""COMPUTED_VALUE"""),"CSE111-10 (LAB)
AVB,QUZA
09E-21L")</f>
        <v>CSE111-10 (LAB)
AVB,QUZA
09E-21L</v>
      </c>
      <c r="C13" s="90" t="str">
        <f>IFERROR(__xludf.DUMMYFUNCTION("""COMPUTED_VALUE"""),"CSE111-10 (LAB)
AVB,QUZA
09E-21L")</f>
        <v>CSE111-10 (LAB)
AVB,QUZA
09E-21L</v>
      </c>
      <c r="D13" s="90" t="str">
        <f>IFERROR(__xludf.DUMMYFUNCTION("""COMPUTED_VALUE"""),"Consultation")</f>
        <v>Consultation</v>
      </c>
      <c r="E13" s="90" t="str">
        <f>IFERROR(__xludf.DUMMYFUNCTION("""COMPUTED_VALUE"""),"CSE111-17
09H-34C")</f>
        <v>CSE111-17
09H-34C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/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Farzana Reefat Raha</v>
      </c>
      <c r="E4" s="57"/>
      <c r="F4" s="58" t="s">
        <v>1</v>
      </c>
      <c r="G4" s="59" t="s">
        <v>115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reefat.raha@bracu.ac.bd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4P178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IFERROR(__xludf.DUMMYFUNCTION("""COMPUTED_VALUE"""),"CSE423-21
09B-12C")</f>
        <v>CSE423-21
09B-12C</v>
      </c>
      <c r="D9" s="86" t="str">
        <f>IFERROR(__xludf.DUMMYFUNCTION("""COMPUTED_VALUE"""),"Consultation")</f>
        <v>Consultation</v>
      </c>
      <c r="E9" s="86" t="str">
        <f>IFERROR(__xludf.DUMMYFUNCTION("""COMPUTED_VALUE"""),"CSE341-12
09A-03C")</f>
        <v>CSE341-12
09A-03C</v>
      </c>
      <c r="F9" s="86" t="str">
        <f>IFERROR(__xludf.DUMMYFUNCTION("""COMPUTED_VALUE"""),"Consultation")</f>
        <v>Consultation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IFERROR(__xludf.DUMMYFUNCTION("""COMPUTED_VALUE"""),"CSE341-09 (LAB)
RAHA,TRZA
12F-31L")</f>
        <v>CSE341-09 (LAB)
RAHA,TRZA
12F-31L</v>
      </c>
      <c r="E10" s="90" t="str">
        <f>IFERROR(__xludf.DUMMYFUNCTION("""COMPUTED_VALUE"""),"CSE341-09 (LAB)
RAHA,TRZA
12F-31L")</f>
        <v>CSE341-09 (LAB)
RAHA,TRZA
12F-31L</v>
      </c>
      <c r="F10" s="90" t="str">
        <f>IFERROR(__xludf.DUMMYFUNCTION("""COMPUTED_VALUE"""),"CSE370-05 (LAB)
NZU,RAHA
12F-32L")</f>
        <v>CSE370-05 (LAB)
NZU,RAHA
12F-32L</v>
      </c>
      <c r="G10" s="90" t="str">
        <f>IFERROR(__xludf.DUMMYFUNCTION("""COMPUTED_VALUE"""),"CSE370-05 (LAB)
NZU,RAHA
12F-32L")</f>
        <v>CSE370-05 (LAB)
NZU,RAHA
12F-32L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IFERROR(__xludf.DUMMYFUNCTION("""COMPUTED_VALUE"""),"CSE341-05 (LAB)
RAHA,NWT
12F-30L")</f>
        <v>CSE341-05 (LAB)
RAHA,NWT
12F-30L</v>
      </c>
      <c r="E13" s="90" t="str">
        <f>IFERROR(__xludf.DUMMYFUNCTION("""COMPUTED_VALUE"""),"CSE341-05 (LAB)
RAHA,NWT
12F-30L")</f>
        <v>CSE341-05 (LAB)
RAHA,NWT
12F-30L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IFERROR(__xludf.DUMMYFUNCTION("""COMPUTED_VALUE"""),"CSE423-21
09B-12C")</f>
        <v>CSE423-21
09B-12C</v>
      </c>
      <c r="D14" s="90" t="str">
        <f>IFERROR(__xludf.DUMMYFUNCTION("""COMPUTED_VALUE"""),"Consultation")</f>
        <v>Consultation</v>
      </c>
      <c r="E14" s="90" t="str">
        <f>IFERROR(__xludf.DUMMYFUNCTION("""COMPUTED_VALUE"""),"CSE341-12
09A-03C")</f>
        <v>CSE341-12
09A-03C</v>
      </c>
      <c r="F14" s="90" t="str">
        <f>IFERROR(__xludf.DUMMYFUNCTION("""COMPUTED_VALUE"""),"CSE370-11 (LAB)
RAHA,CABS
12F-31L")</f>
        <v>CSE370-11 (LAB)
RAHA,CABS
12F-31L</v>
      </c>
      <c r="G14" s="90" t="str">
        <f>IFERROR(__xludf.DUMMYFUNCTION("""COMPUTED_VALUE"""),"CSE370-11 (LAB)
RAHA,CABS
12F-31L")</f>
        <v>CSE370-11 (LAB)
RAHA,CABS
12F-31L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Rubayat Ahmed Khan</v>
      </c>
      <c r="E4" s="57"/>
      <c r="F4" s="58" t="s">
        <v>1</v>
      </c>
      <c r="G4" s="59" t="s">
        <v>116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rubayat.ahmed@bracu.ac.bd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IFERROR(__xludf.DUMMYFUNCTION("""COMPUTED_VALUE"""),"CSE110-07
10A-05C")</f>
        <v>CSE110-07
10A-05C</v>
      </c>
      <c r="C10" s="90" t="str">
        <f>IFERROR(__xludf.DUMMYFUNCTION("""COMPUTED_VALUE"""),"CSE220-01
10A-05C")</f>
        <v>CSE220-01
10A-05C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IFERROR(__xludf.DUMMYFUNCTION("""COMPUTED_VALUE"""),"CSE220-08 (LAB)
RAK,SKIB
09B-09L")</f>
        <v>CSE220-08 (LAB)
RAK,SKIB
09B-09L</v>
      </c>
      <c r="G10" s="90" t="str">
        <f>IFERROR(__xludf.DUMMYFUNCTION("""COMPUTED_VALUE"""),"CSE220-08 (LAB)
RAK,SKIB
09B-09L")</f>
        <v>CSE220-08 (LAB)
RAK,SKIB
09B-09L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IFERROR(__xludf.DUMMYFUNCTION("""COMPUTED_VALUE"""),"CSE220-06 (LAB)
RAK,AYO
09B-08L")</f>
        <v>CSE220-06 (LAB)
RAK,AYO
09B-08L</v>
      </c>
      <c r="E11" s="90" t="str">
        <f>IFERROR(__xludf.DUMMYFUNCTION("""COMPUTED_VALUE"""),"CSE220-06 (LAB)
RAK,AYO
09B-08L")</f>
        <v>CSE220-06 (LAB)
RAK,AYO
09B-08L</v>
      </c>
      <c r="F11" s="90" t="str">
        <f>IFERROR(__xludf.DUMMYFUNCTION("""COMPUTED_VALUE"""),"CSE220-02
10A-10C")</f>
        <v>CSE220-02
10A-10C</v>
      </c>
      <c r="G11" s="90" t="str">
        <f>IFERROR(__xludf.DUMMYFUNCTION("""COMPUTED_VALUE"""),"CSE220-03
10A-10C")</f>
        <v>CSE220-03
10A-10C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IFERROR(__xludf.DUMMYFUNCTION("""COMPUTED_VALUE"""),"CSE110-07
10A-05C")</f>
        <v>CSE110-07
10A-05C</v>
      </c>
      <c r="C12" s="90" t="str">
        <f>IFERROR(__xludf.DUMMYFUNCTION("""COMPUTED_VALUE"""),"CSE220-01
10A-05C")</f>
        <v>CSE220-01
10A-05C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IFERROR(__xludf.DUMMYFUNCTION("""COMPUTED_VALUE"""),"CSE220-02
10A-10C")</f>
        <v>CSE220-02
10A-10C</v>
      </c>
      <c r="G13" s="90" t="str">
        <f>IFERROR(__xludf.DUMMYFUNCTION("""COMPUTED_VALUE"""),"CSE220-03
10A-10C")</f>
        <v>CSE220-03
10A-10C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Mohammed Radoan</v>
      </c>
      <c r="E4" s="57"/>
      <c r="F4" s="58" t="s">
        <v>1</v>
      </c>
      <c r="G4" s="59" t="s">
        <v>236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ext.mohammed.radoan@bracu.ac.bd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IFERROR(__xludf.DUMMYFUNCTION("""COMPUTED_VALUE"""),"CSE251-07A (LAB)
ZAZ,RAO
12B-20L")</f>
        <v>CSE251-07A (LAB)
ZAZ,RAO
12B-20L</v>
      </c>
      <c r="C10" s="90" t="str">
        <f>IFERROR(__xludf.DUMMYFUNCTION("""COMPUTED_VALUE"""),"CSE251-07A (LAB)
ZAZ,RAO
12B-20L")</f>
        <v>CSE251-07A (LAB)
ZAZ,RAO
12B-20L</v>
      </c>
      <c r="D10" s="90" t="str">
        <f>IFERROR(__xludf.DUMMYFUNCTION("""COMPUTED_VALUE"""),"Consultation")</f>
        <v>Consultation</v>
      </c>
      <c r="E10" s="90" t="str">
        <f>IFERROR(__xludf.DUMMYFUNCTION("""COMPUTED_VALUE"""),"CSE251-03A
09A-01C,CSE251-03B
09A-01C")</f>
        <v>CSE251-03A
09A-01C,CSE251-03B
09A-01C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IFERROR(__xludf.DUMMYFUNCTION("""COMPUTED_VALUE"""),"CSE250-03B (LAB)
RAO,ZBH
12B-20L")</f>
        <v>CSE250-03B (LAB)
RAO,ZBH
12B-20L</v>
      </c>
      <c r="C11" s="90" t="str">
        <f>IFERROR(__xludf.DUMMYFUNCTION("""COMPUTED_VALUE"""),"CSE250-03B (LAB)
RAO,ZBH
12B-20L")</f>
        <v>CSE250-03B (LAB)
RAO,ZBH
12B-20L</v>
      </c>
      <c r="D11" s="90" t="str">
        <f>IFERROR(__xludf.DUMMYFUNCTION("""COMPUTED_VALUE"""),"CSE350-01B (LAB)
ZAZ,RAO
FT11-01L")</f>
        <v>CSE350-01B (LAB)
ZAZ,RAO
FT11-01L</v>
      </c>
      <c r="E11" s="90" t="str">
        <f>IFERROR(__xludf.DUMMYFUNCTION("""COMPUTED_VALUE"""),"CSE350-01B (LAB)
ZAZ,RAO
FT11-01L")</f>
        <v>CSE350-01B (LAB)
ZAZ,RAO
FT11-01L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IFERROR(__xludf.DUMMYFUNCTION("""COMPUTED_VALUE"""),"CSE250-10B (LAB)
RAO,ARPD
FT10-01L")</f>
        <v>CSE250-10B (LAB)
RAO,ARPD
FT10-01L</v>
      </c>
      <c r="C12" s="90" t="str">
        <f>IFERROR(__xludf.DUMMYFUNCTION("""COMPUTED_VALUE"""),"CSE250-10B (LAB)
RAO,ARPD
FT10-01L")</f>
        <v>CSE250-10B (LAB)
RAO,ARPD
FT10-01L</v>
      </c>
      <c r="D12" s="90" t="str">
        <f>IFERROR(__xludf.DUMMYFUNCTION("""COMPUTED_VALUE"""),"Consultation")</f>
        <v>Consultation</v>
      </c>
      <c r="E12" s="90" t="str">
        <f>IFERROR(__xludf.DUMMYFUNCTION("""COMPUTED_VALUE"""),"CSE251-03A
09A-01C,CSE251-03B
09A-01C")</f>
        <v>CSE251-03A
09A-01C,CSE251-03B
09A-01C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Rasel Mia</v>
      </c>
      <c r="E4" s="57"/>
      <c r="F4" s="58" t="s">
        <v>1</v>
      </c>
      <c r="G4" s="59" t="s">
        <v>117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rasel.mia@bracu.ac.bd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IFERROR(__xludf.DUMMYFUNCTION("""COMPUTED_VALUE"""),"CSE250-03A (LAB)
NFS,RAS
12B-20L")</f>
        <v>CSE250-03A (LAB)
NFS,RAS
12B-20L</v>
      </c>
      <c r="C11" s="90" t="str">
        <f>IFERROR(__xludf.DUMMYFUNCTION("""COMPUTED_VALUE"""),"CSE250-03A (LAB)
NFS,RAS
12B-20L")</f>
        <v>CSE250-03A (LAB)
NFS,RAS
12B-20L</v>
      </c>
      <c r="D11" s="90" t="str">
        <f>IFERROR(__xludf.DUMMYFUNCTION("""COMPUTED_VALUE"""),"")</f>
        <v/>
      </c>
      <c r="E11" s="90" t="str">
        <f>IFERROR(__xludf.DUMMYFUNCTION("""COMPUTED_VALUE"""),"CSE460-07
10B-17C")</f>
        <v>CSE460-07
10B-17C</v>
      </c>
      <c r="F11" s="90" t="str">
        <f>IFERROR(__xludf.DUMMYFUNCTION("""COMPUTED_VALUE"""),"CSE460-08
09A-01C")</f>
        <v>CSE460-08
09A-01C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IFERROR(__xludf.DUMMYFUNCTION("""COMPUTED_VALUE"""),"CSE460-06 (LAB)
RAS,MTOT
09E-21L")</f>
        <v>CSE460-06 (LAB)
RAS,MTOT
09E-21L</v>
      </c>
      <c r="E12" s="90" t="str">
        <f>IFERROR(__xludf.DUMMYFUNCTION("""COMPUTED_VALUE"""),"CSE460-06 (LAB)
RAS,MTOT
09E-21L")</f>
        <v>CSE460-06 (LAB)
RAS,MTOT
09E-21L</v>
      </c>
      <c r="F12" s="90" t="str">
        <f>IFERROR(__xludf.DUMMYFUNCTION("""COMPUTED_VALUE"""),"CSE460-11 (LAB)
THL,RAS
09E-21L")</f>
        <v>CSE460-11 (LAB)
THL,RAS
09E-21L</v>
      </c>
      <c r="G12" s="90" t="str">
        <f>IFERROR(__xludf.DUMMYFUNCTION("""COMPUTED_VALUE"""),"CSE460-11 (LAB)
THL,RAS
09E-21L")</f>
        <v>CSE460-11 (LAB)
THL,RAS
09E-21L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IFERROR(__xludf.DUMMYFUNCTION("""COMPUTED_VALUE"""),"CSE460-10 (LAB)
SDU,RAS
09E-22L")</f>
        <v>CSE460-10 (LAB)
SDU,RAS
09E-22L</v>
      </c>
      <c r="C13" s="90" t="str">
        <f>IFERROR(__xludf.DUMMYFUNCTION("""COMPUTED_VALUE"""),"CSE460-10 (LAB)
SDU,RAS
09E-22L")</f>
        <v>CSE460-10 (LAB)
SDU,RAS
09E-22L</v>
      </c>
      <c r="D13" s="90" t="str">
        <f>IFERROR(__xludf.DUMMYFUNCTION("""COMPUTED_VALUE"""),"")</f>
        <v/>
      </c>
      <c r="E13" s="90" t="str">
        <f>IFERROR(__xludf.DUMMYFUNCTION("""COMPUTED_VALUE"""),"CSE460-07
10B-17C")</f>
        <v>CSE460-07
10B-17C</v>
      </c>
      <c r="F13" s="90" t="str">
        <f>IFERROR(__xludf.DUMMYFUNCTION("""COMPUTED_VALUE"""),"CSE460-08
09A-01C")</f>
        <v>CSE460-08
09A-01C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IFERROR(__xludf.DUMMYFUNCTION("""COMPUTED_VALUE"""),"CSE251-02A (LAB)
NUR,RAS
FT10-01L")</f>
        <v>CSE251-02A (LAB)
NUR,RAS
FT10-01L</v>
      </c>
      <c r="C14" s="90" t="str">
        <f>IFERROR(__xludf.DUMMYFUNCTION("""COMPUTED_VALUE"""),"CSE251-02A (LAB)
NUR,RAS
FT10-01L")</f>
        <v>CSE251-02A (LAB)
NUR,RAS
FT10-01L</v>
      </c>
      <c r="D14" s="90" t="str">
        <f>IFERROR(__xludf.DUMMYFUNCTION("""COMPUTED_VALUE"""),"CSE460-07 (LAB)
RAS,ARPD
09E-21L")</f>
        <v>CSE460-07 (LAB)
RAS,ARPD
09E-21L</v>
      </c>
      <c r="E14" s="90" t="str">
        <f>IFERROR(__xludf.DUMMYFUNCTION("""COMPUTED_VALUE"""),"CSE460-07 (LAB)
RAS,ARPD
09E-21L")</f>
        <v>CSE460-07 (LAB)
RAS,ARPD
09E-21L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Rakin Bin Rabbani</v>
      </c>
      <c r="E4" s="57"/>
      <c r="F4" s="58" t="s">
        <v>1</v>
      </c>
      <c r="G4" s="59" t="s">
        <v>118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rakin.rabbani@bracu.ac.bd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IFERROR(__xludf.DUMMYFUNCTION("""COMPUTED_VALUE"""),"CSE370-05
10A-04C")</f>
        <v>CSE370-05
10A-04C</v>
      </c>
      <c r="E10" s="90" t="str">
        <f>IFERROR(__xludf.DUMMYFUNCTION("""COMPUTED_VALUE"""),"CSE370-06
10A-04C")</f>
        <v>CSE370-06
10A-04C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IFERROR(__xludf.DUMMYFUNCTION("""COMPUTED_VALUE"""),"CSE101-02
09D-17C")</f>
        <v>CSE101-02
09D-17C</v>
      </c>
      <c r="E11" s="90" t="str">
        <f>IFERROR(__xludf.DUMMYFUNCTION("""COMPUTED_VALUE"""),"CSE101-03
09D-17C")</f>
        <v>CSE101-03
09D-17C</v>
      </c>
      <c r="F11" s="90" t="str">
        <f>IFERROR(__xludf.DUMMYFUNCTION("""COMPUTED_VALUE"""),"CSE101-04 (LAB)
RBR,TRZA
FT11-04L")</f>
        <v>CSE101-04 (LAB)
RBR,TRZA
FT11-04L</v>
      </c>
      <c r="G11" s="90" t="str">
        <f>IFERROR(__xludf.DUMMYFUNCTION("""COMPUTED_VALUE"""),"CSE101-04 (LAB)
RBR,TRZA
FT11-04L")</f>
        <v>CSE101-04 (LAB)
RBR,TRZA
FT11-04L</v>
      </c>
      <c r="H11" s="90" t="str">
        <f>IFERROR(__xludf.DUMMYFUNCTION("""COMPUTED_VALUE"""),"Research")</f>
        <v>Research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IFERROR(__xludf.DUMMYFUNCTION("""COMPUTED_VALUE"""),"CSE370-05
10A-04C")</f>
        <v>CSE370-05
10A-04C</v>
      </c>
      <c r="E12" s="90" t="str">
        <f>IFERROR(__xludf.DUMMYFUNCTION("""COMPUTED_VALUE"""),"CSE370-06
10A-04C")</f>
        <v>CSE370-06
10A-04C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IFERROR(__xludf.DUMMYFUNCTION("""COMPUTED_VALUE"""),"CSE101-02
09D-17C")</f>
        <v>CSE101-02
09D-17C</v>
      </c>
      <c r="E13" s="90" t="str">
        <f>IFERROR(__xludf.DUMMYFUNCTION("""COMPUTED_VALUE"""),"CSE101-03
09D-17C")</f>
        <v>CSE101-03
09D-17C</v>
      </c>
      <c r="F13" s="90" t="str">
        <f>IFERROR(__xludf.DUMMYFUNCTION("""COMPUTED_VALUE"""),"CSE370-10 (LAB)
RBR,NZU
10E-27L")</f>
        <v>CSE370-10 (LAB)
RBR,NZU
10E-27L</v>
      </c>
      <c r="G13" s="90" t="str">
        <f>IFERROR(__xludf.DUMMYFUNCTION("""COMPUTED_VALUE"""),"CSE370-10 (LAB)
RBR,NZU
10E-27L")</f>
        <v>CSE370-10 (LAB)
RBR,NZU
10E-27L</v>
      </c>
      <c r="H13" s="90" t="str">
        <f>IFERROR(__xludf.DUMMYFUNCTION("""COMPUTED_VALUE"""),"Research")</f>
        <v>Research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IFERROR(__xludf.DUMMYFUNCTION("""COMPUTED_VALUE"""),"Thesis (UG)")</f>
        <v>Thesis (UG)</v>
      </c>
      <c r="D14" s="90" t="str">
        <f>IFERROR(__xludf.DUMMYFUNCTION("""COMPUTED_VALUE"""),"Thesis (UG)")</f>
        <v>Thesis (UG)</v>
      </c>
      <c r="E14" s="90" t="str">
        <f>IFERROR(__xludf.DUMMYFUNCTION("""COMPUTED_VALUE"""),"Thesis (UG)")</f>
        <v>Thesis (UG)</v>
      </c>
      <c r="F14" s="90" t="str">
        <f>IFERROR(__xludf.DUMMYFUNCTION("""COMPUTED_VALUE"""),"Thesis (UG)")</f>
        <v>Thesis (UG)</v>
      </c>
      <c r="G14" s="90" t="str">
        <f>IFERROR(__xludf.DUMMYFUNCTION("""COMPUTED_VALUE"""),"Thesis (UG)")</f>
        <v>Thesis (UG)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Rantu Das</v>
      </c>
      <c r="E4" s="57"/>
      <c r="F4" s="58" t="s">
        <v>1</v>
      </c>
      <c r="G4" s="59" t="s">
        <v>237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ext.rantu.das@bracu.ac.bd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IFERROR(__xludf.DUMMYFUNCTION("""COMPUTED_VALUE"""),"CSE421-07 (LAB)
RDS,WBH
09F-25L,CSE421-19 (LAB)
RDS,WBH
09F-25L")</f>
        <v>CSE421-07 (LAB)
RDS,WBH
09F-25L,CSE421-19 (LAB)
RDS,WBH
09F-25L</v>
      </c>
      <c r="C9" s="86" t="str">
        <f>IFERROR(__xludf.DUMMYFUNCTION("""COMPUTED_VALUE"""),"CSE421-07 (LAB)
RDS,WBH
09F-25L,CSE421-19 (LAB)
RDS,WBH
09F-25L")</f>
        <v>CSE421-07 (LAB)
RDS,WBH
09F-25L,CSE421-19 (LAB)
RDS,WBH
09F-25L</v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IFERROR(__xludf.DUMMYFUNCTION("""COMPUTED_VALUE"""),"CSE421-03 (LAB)
RDS,WBH
09F-25L,CSE421-04 (LAB)
RDS,WBH
09F-25L")</f>
        <v>CSE421-03 (LAB)
RDS,WBH
09F-25L,CSE421-04 (LAB)
RDS,WBH
09F-25L</v>
      </c>
      <c r="G9" s="86" t="str">
        <f>IFERROR(__xludf.DUMMYFUNCTION("""COMPUTED_VALUE"""),"CSE421-03 (LAB)
RDS,WBH
09F-25L,CSE421-04 (LAB)
RDS,WBH
09F-25L")</f>
        <v>CSE421-03 (LAB)
RDS,WBH
09F-25L,CSE421-04 (LAB)
RDS,WBH
09F-25L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IFERROR(__xludf.DUMMYFUNCTION("""COMPUTED_VALUE"""),"CSE260-21A (LAB)
MVH,RDS
FT10-02L")</f>
        <v>CSE260-21A (LAB)
MVH,RDS
FT10-02L</v>
      </c>
      <c r="E12" s="90" t="str">
        <f>IFERROR(__xludf.DUMMYFUNCTION("""COMPUTED_VALUE"""),"CSE260-21A (LAB)
MVH,RDS
FT10-02L")</f>
        <v>CSE260-21A (LAB)
MVH,RDS
FT10-02L</v>
      </c>
      <c r="F12" s="90" t="str">
        <f>IFERROR(__xludf.DUMMYFUNCTION("""COMPUTED_VALUE"""),"CSE260-13A (LAB)
RDS,AWK
FT10-02L")</f>
        <v>CSE260-13A (LAB)
RDS,AWK
FT10-02L</v>
      </c>
      <c r="G12" s="90" t="str">
        <f>IFERROR(__xludf.DUMMYFUNCTION("""COMPUTED_VALUE"""),"CSE260-13A (LAB)
RDS,AWK
FT10-02L")</f>
        <v>CSE260-13A (LAB)
RDS,AWK
FT10-02L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IFERROR(__xludf.DUMMYFUNCTION("""COMPUTED_VALUE"""),"CSE260-09A (LAB)
AWK,RDS
FT10-02L")</f>
        <v>CSE260-09A (LAB)
AWK,RDS
FT10-02L</v>
      </c>
      <c r="C13" s="90" t="str">
        <f>IFERROR(__xludf.DUMMYFUNCTION("""COMPUTED_VALUE"""),"CSE260-09A (LAB)
AWK,RDS
FT10-02L")</f>
        <v>CSE260-09A (LAB)
AWK,RDS
FT10-02L</v>
      </c>
      <c r="D13" s="90" t="str">
        <f>IFERROR(__xludf.DUMMYFUNCTION("""COMPUTED_VALUE"""),"CSE420-14 (LAB)
LRK,RDS
10E-27L,CSE420-15 (LAB)
LRK,RDS
10E-27L")</f>
        <v>CSE420-14 (LAB)
LRK,RDS
10E-27L,CSE420-15 (LAB)
LRK,RDS
10E-27L</v>
      </c>
      <c r="E13" s="90" t="str">
        <f>IFERROR(__xludf.DUMMYFUNCTION("""COMPUTED_VALUE"""),"CSE420-14 (LAB)
LRK,RDS
10E-27L,CSE420-15 (LAB)
LRK,RDS
10E-27L")</f>
        <v>CSE420-14 (LAB)
LRK,RDS
10E-27L,CSE420-15 (LAB)
LRK,RDS
10E-27L</v>
      </c>
      <c r="F13" s="90" t="str">
        <f>IFERROR(__xludf.DUMMYFUNCTION("""COMPUTED_VALUE"""),"CSE260-08A (LAB)
FIC,RDS
FT10-02L")</f>
        <v>CSE260-08A (LAB)
FIC,RDS
FT10-02L</v>
      </c>
      <c r="G13" s="90" t="str">
        <f>IFERROR(__xludf.DUMMYFUNCTION("""COMPUTED_VALUE"""),"CSE260-08A (LAB)
FIC,RDS
FT10-02L")</f>
        <v>CSE260-08A (LAB)
FIC,RDS
FT10-02L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IFERROR(__xludf.DUMMYFUNCTION("""COMPUTED_VALUE"""),6.0)</f>
        <v>6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Redowanul Akbar</v>
      </c>
      <c r="E4" s="57"/>
      <c r="F4" s="58" t="s">
        <v>1</v>
      </c>
      <c r="G4" s="59" t="s">
        <v>119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redowanul.akbar@bracu.ac.bd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IFERROR(__xludf.DUMMYFUNCTION("""COMPUTED_VALUE"""),"CSE340-08
09H-34C")</f>
        <v>CSE340-08
09H-34C</v>
      </c>
      <c r="C10" s="90" t="str">
        <f>IFERROR(__xludf.DUMMYFUNCTION("""COMPUTED_VALUE"""),"CSE360-05
09H-34C")</f>
        <v>CSE360-05
09H-34C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IFERROR(__xludf.DUMMYFUNCTION("""COMPUTED_VALUE"""),"CSE340-06
09D-18C")</f>
        <v>CSE340-06
09D-18C</v>
      </c>
      <c r="C11" s="90" t="str">
        <f>IFERROR(__xludf.DUMMYFUNCTION("""COMPUTED_VALUE"""),"CSE340-07
09D-18C")</f>
        <v>CSE340-07
09D-18C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IFERROR(__xludf.DUMMYFUNCTION("""COMPUTED_VALUE"""),"CSE360-03 (LAB)
RDW,PRC
10G-32L,CSE360-07 (LAB)
RDW,PRC
10G-32L")</f>
        <v>CSE360-03 (LAB)
RDW,PRC
10G-32L,CSE360-07 (LAB)
RDW,PRC
10G-32L</v>
      </c>
      <c r="G11" s="90" t="str">
        <f>IFERROR(__xludf.DUMMYFUNCTION("""COMPUTED_VALUE"""),"CSE360-03 (LAB)
RDW,PRC
10G-32L,CSE360-07 (LAB)
RDW,PRC
10G-32L")</f>
        <v>CSE360-03 (LAB)
RDW,PRC
10G-32L,CSE360-07 (LAB)
RDW,PRC
10G-32L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IFERROR(__xludf.DUMMYFUNCTION("""COMPUTED_VALUE"""),"CSE340-08
09H-34C")</f>
        <v>CSE340-08
09H-34C</v>
      </c>
      <c r="C12" s="90" t="str">
        <f>IFERROR(__xludf.DUMMYFUNCTION("""COMPUTED_VALUE"""),"CSE360-05
09H-34C")</f>
        <v>CSE360-05
09H-34C</v>
      </c>
      <c r="D12" s="90" t="str">
        <f>IFERROR(__xludf.DUMMYFUNCTION("""COMPUTED_VALUE"""),"CSE461-03 (LAB)
RDW,SMYA
10G-33L")</f>
        <v>CSE461-03 (LAB)
RDW,SMYA
10G-33L</v>
      </c>
      <c r="E12" s="90" t="str">
        <f>IFERROR(__xludf.DUMMYFUNCTION("""COMPUTED_VALUE"""),"CSE461-03 (LAB)
RDW,SMYA
10G-33L")</f>
        <v>CSE461-03 (LAB)
RDW,SMYA
10G-33L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IFERROR(__xludf.DUMMYFUNCTION("""COMPUTED_VALUE"""),"CSE340-06
09D-18C")</f>
        <v>CSE340-06
09D-18C</v>
      </c>
      <c r="C13" s="90" t="str">
        <f>IFERROR(__xludf.DUMMYFUNCTION("""COMPUTED_VALUE"""),"CSE340-07
09D-18C")</f>
        <v>CSE340-07
09D-18C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Rafid Ahnaf</v>
      </c>
      <c r="E4" s="57"/>
      <c r="F4" s="58" t="s">
        <v>1</v>
      </c>
      <c r="G4" s="59" t="s">
        <v>120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rafid.ahnaf@bracu.ac.bd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4M133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IFERROR(__xludf.DUMMYFUNCTION("""COMPUTED_VALUE"""),"CSE461-05
09A-07C")</f>
        <v>CSE461-05
09A-07C</v>
      </c>
      <c r="E9" s="86" t="str">
        <f>IFERROR(__xludf.DUMMYFUNCTION("""COMPUTED_VALUE"""),"Consultation")</f>
        <v>Consultation</v>
      </c>
      <c r="F9" s="86" t="str">
        <f>IFERROR(__xludf.DUMMYFUNCTION("""COMPUTED_VALUE"""),"CSE260-15A (LAB)
RFF,MVH
FT10-02L")</f>
        <v>CSE260-15A (LAB)
RFF,MVH
FT10-02L</v>
      </c>
      <c r="G9" s="86" t="str">
        <f>IFERROR(__xludf.DUMMYFUNCTION("""COMPUTED_VALUE"""),"CSE260-15A (LAB)
RFF,MVH
FT10-02L")</f>
        <v>CSE260-15A (LAB)
RFF,MVH
FT10-02L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IFERROR(__xludf.DUMMYFUNCTION("""COMPUTED_VALUE"""),"CSE260-26A
07F-22C,CSE260-26B
07F-22C")</f>
        <v>CSE260-26A
07F-22C,CSE260-26B
07F-22C</v>
      </c>
      <c r="C11" s="90" t="str">
        <f>IFERROR(__xludf.DUMMYFUNCTION("""COMPUTED_VALUE"""),"CSE260-27A
07F-22C,CSE260-27B
07F-22C")</f>
        <v>CSE260-27A
07F-22C,CSE260-27B
07F-22C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IFERROR(__xludf.DUMMYFUNCTION("""COMPUTED_VALUE"""),"CSE260-26A
07F-22C,CSE260-26B
07F-22C")</f>
        <v>CSE260-26A
07F-22C,CSE260-26B
07F-22C</v>
      </c>
      <c r="C13" s="90" t="str">
        <f>IFERROR(__xludf.DUMMYFUNCTION("""COMPUTED_VALUE"""),"CSE260-27A
07F-22C,CSE260-27B
07F-22C")</f>
        <v>CSE260-27A
07F-22C,CSE260-27B
07F-22C</v>
      </c>
      <c r="D13" s="90" t="str">
        <f>IFERROR(__xludf.DUMMYFUNCTION("""COMPUTED_VALUE"""),"CSE260-04A (LAB)
RFF,CNZR
FT10-04L")</f>
        <v>CSE260-04A (LAB)
RFF,CNZR
FT10-04L</v>
      </c>
      <c r="E13" s="90" t="str">
        <f>IFERROR(__xludf.DUMMYFUNCTION("""COMPUTED_VALUE"""),"CSE260-04A (LAB)
RFF,CNZR
FT10-04L")</f>
        <v>CSE260-04A (LAB)
RFF,CNZR
FT10-04L</v>
      </c>
      <c r="F13" s="90" t="str">
        <f>IFERROR(__xludf.DUMMYFUNCTION("""COMPUTED_VALUE"""),"CSE461-01 (LAB)
PRC,RFF
10G-32L")</f>
        <v>CSE461-01 (LAB)
PRC,RFF
10G-32L</v>
      </c>
      <c r="G13" s="90" t="str">
        <f>IFERROR(__xludf.DUMMYFUNCTION("""COMPUTED_VALUE"""),"CSE461-01 (LAB)
PRC,RFF
10G-32L")</f>
        <v>CSE461-01 (LAB)
PRC,RFF
10G-32L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IFERROR(__xludf.DUMMYFUNCTION("""COMPUTED_VALUE"""),6.0)</f>
        <v>6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IFERROR(__xludf.DUMMYFUNCTION("""COMPUTED_VALUE"""),"CSE461-05
09A-07C")</f>
        <v>CSE461-05
09A-07C</v>
      </c>
      <c r="E14" s="90" t="str">
        <f>IFERROR(__xludf.DUMMYFUNCTION("""COMPUTED_VALUE"""),"Consultation")</f>
        <v>Consultation</v>
      </c>
      <c r="F14" s="90" t="str">
        <f>IFERROR(__xludf.DUMMYFUNCTION("""COMPUTED_VALUE"""),"CSE461-02 (LAB)
RFF,SMYA
10G-32L")</f>
        <v>CSE461-02 (LAB)
RFF,SMYA
10G-32L</v>
      </c>
      <c r="G14" s="90" t="str">
        <f>IFERROR(__xludf.DUMMYFUNCTION("""COMPUTED_VALUE"""),"CSE461-02 (LAB)
RFF,SMYA
10G-32L")</f>
        <v>CSE461-02 (LAB)
RFF,SMYA
10G-32L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send me an email before coming to consultation")</f>
        <v>**Please send me an email before coming to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Rafatul Haq</v>
      </c>
      <c r="E4" s="57"/>
      <c r="F4" s="58" t="s">
        <v>1</v>
      </c>
      <c r="G4" s="59" t="s">
        <v>238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ext.rafatul.haq@bracu.ac.bd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IFERROR(__xludf.DUMMYFUNCTION("""COMPUTED_VALUE"""),"CSE350-03B (LAB)
NUR,RFQ
FT11-01L")</f>
        <v>CSE350-03B (LAB)
NUR,RFQ
FT11-01L</v>
      </c>
      <c r="C9" s="86" t="str">
        <f>IFERROR(__xludf.DUMMYFUNCTION("""COMPUTED_VALUE"""),"CSE350-03B (LAB)
NUR,RFQ
FT11-01L")</f>
        <v>CSE350-03B (LAB)
NUR,RFQ
FT11-01L</v>
      </c>
      <c r="D9" s="86" t="str">
        <f>IFERROR(__xludf.DUMMYFUNCTION("""COMPUTED_VALUE"""),"Consultation")</f>
        <v>Consultation</v>
      </c>
      <c r="E9" s="86" t="str">
        <f>IFERROR(__xludf.DUMMYFUNCTION("""COMPUTED_VALUE"""),"CSE250-11A
10B-17C,CSE250-11B
10B-17C")</f>
        <v>CSE250-11A
10B-17C,CSE250-11B
10B-17C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IFERROR(__xludf.DUMMYFUNCTION("""COMPUTED_VALUE"""),"CSE251-11B (LAB)
UTS,RFQ
FT11-01L")</f>
        <v>CSE251-11B (LAB)
UTS,RFQ
FT11-01L</v>
      </c>
      <c r="G11" s="90" t="str">
        <f>IFERROR(__xludf.DUMMYFUNCTION("""COMPUTED_VALUE"""),"CSE251-11B (LAB)
UTS,RFQ
FT11-01L")</f>
        <v>CSE251-11B (LAB)
UTS,RFQ
FT11-01L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IFERROR(__xludf.DUMMYFUNCTION("""COMPUTED_VALUE"""),"CSE250-07A (LAB)
MHY,RFQ
12B-20L")</f>
        <v>CSE250-07A (LAB)
MHY,RFQ
12B-20L</v>
      </c>
      <c r="C14" s="90" t="str">
        <f>IFERROR(__xludf.DUMMYFUNCTION("""COMPUTED_VALUE"""),"CSE250-07A (LAB)
MHY,RFQ
12B-20L")</f>
        <v>CSE250-07A (LAB)
MHY,RFQ
12B-20L</v>
      </c>
      <c r="D14" s="90" t="str">
        <f>IFERROR(__xludf.DUMMYFUNCTION("""COMPUTED_VALUE"""),"Consultation")</f>
        <v>Consultation</v>
      </c>
      <c r="E14" s="90" t="str">
        <f>IFERROR(__xludf.DUMMYFUNCTION("""COMPUTED_VALUE"""),"CSE250-11A
10B-17C,CSE250-11B
10B-17C")</f>
        <v>CSE250-11A
10B-17C,CSE250-11B
10B-17C</v>
      </c>
      <c r="F14" s="90" t="str">
        <f>IFERROR(__xludf.DUMMYFUNCTION("""COMPUTED_VALUE"""),"CSE350-04B (LAB)
ZAZ,RFQ
FT11-01L")</f>
        <v>CSE350-04B (LAB)
ZAZ,RFQ
FT11-01L</v>
      </c>
      <c r="G14" s="90" t="str">
        <f>IFERROR(__xludf.DUMMYFUNCTION("""COMPUTED_VALUE"""),"CSE350-04B (LAB)
ZAZ,RFQ
FT11-01L")</f>
        <v>CSE350-04B (LAB)
ZAZ,RFQ
FT11-01L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IFERROR(__xludf.DUMMYFUNCTION("""COMPUTED_VALUE"""),5.0)</f>
        <v>5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Rifat Rahman</v>
      </c>
      <c r="E4" s="57"/>
      <c r="F4" s="58" t="s">
        <v>1</v>
      </c>
      <c r="G4" s="59" t="s">
        <v>121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rifat.rahman@bracu.ac.bd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IFERROR(__xludf.DUMMYFUNCTION("""COMPUTED_VALUE"""),"CSE331-15
09H-34C")</f>
        <v>CSE331-15
09H-34C</v>
      </c>
      <c r="C9" s="86" t="str">
        <f>IFERROR(__xludf.DUMMYFUNCTION("""COMPUTED_VALUE"""),"CSE331-16
09H-34C")</f>
        <v>CSE331-16
09H-34C</v>
      </c>
      <c r="D9" s="86" t="str">
        <f>IFERROR(__xludf.DUMMYFUNCTION("""COMPUTED_VALUE"""),"Consultation")</f>
        <v>Consultation</v>
      </c>
      <c r="E9" s="86" t="str">
        <f>IFERROR(__xludf.DUMMYFUNCTION("""COMPUTED_VALUE"""),"CSE331-17
09A-02C")</f>
        <v>CSE331-17
09A-02C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IFERROR(__xludf.DUMMYFUNCTION("""COMPUTED_VALUE"""),"CSE426-02
09C-13C")</f>
        <v>CSE426-02
09C-13C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IFERROR(__xludf.DUMMYFUNCTION("""COMPUTED_VALUE"""),"CSE426-02
09C-13C")</f>
        <v>CSE426-02
09C-13C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IFERROR(__xludf.DUMMYFUNCTION("""COMPUTED_VALUE"""),"CSE331-15
09H-34C")</f>
        <v>CSE331-15
09H-34C</v>
      </c>
      <c r="C14" s="90" t="str">
        <f>IFERROR(__xludf.DUMMYFUNCTION("""COMPUTED_VALUE"""),"CSE331-16
09H-34C")</f>
        <v>CSE331-16
09H-34C</v>
      </c>
      <c r="D14" s="90" t="str">
        <f>IFERROR(__xludf.DUMMYFUNCTION("""COMPUTED_VALUE"""),"Consultation")</f>
        <v>Consultation</v>
      </c>
      <c r="E14" s="90" t="str">
        <f>IFERROR(__xludf.DUMMYFUNCTION("""COMPUTED_VALUE"""),"CSE331-17
09A-02C")</f>
        <v>CSE331-17
09A-02C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Rifa Tasfiya</v>
      </c>
      <c r="E4" s="57"/>
      <c r="F4" s="58" t="s">
        <v>1</v>
      </c>
      <c r="G4" s="59" t="s">
        <v>122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rifa.tasfiya@bracu.ac.bd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4K69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IFERROR(__xludf.DUMMYFUNCTION("""COMPUTED_VALUE"""),"CSE330-04 (LAB)
ALB,RFTS
10G-34L")</f>
        <v>CSE330-04 (LAB)
ALB,RFTS
10G-34L</v>
      </c>
      <c r="E9" s="86" t="str">
        <f>IFERROR(__xludf.DUMMYFUNCTION("""COMPUTED_VALUE"""),"CSE330-04 (LAB)
ALB,RFTS
10G-34L")</f>
        <v>CSE330-04 (LAB)
ALB,RFTS
10G-34L</v>
      </c>
      <c r="F9" s="86" t="str">
        <f>IFERROR(__xludf.DUMMYFUNCTION("""COMPUTED_VALUE"""),"CSE220-22
09H-34C")</f>
        <v>CSE220-22
09H-34C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IFERROR(__xludf.DUMMYFUNCTION("""COMPUTED_VALUE"""),"CSE220-09 (LAB)
RFTS,ASMN
09B-08L")</f>
        <v>CSE220-09 (LAB)
RFTS,ASMN
09B-08L</v>
      </c>
      <c r="E10" s="90" t="str">
        <f>IFERROR(__xludf.DUMMYFUNCTION("""COMPUTED_VALUE"""),"CSE220-09 (LAB)
RFTS,ASMN
09B-08L")</f>
        <v>CSE220-09 (LAB)
RFTS,ASMN
09B-08L</v>
      </c>
      <c r="F10" s="90" t="str">
        <f>IFERROR(__xludf.DUMMYFUNCTION("""COMPUTED_VALUE"""),"CSE330-14
07D-19C")</f>
        <v>CSE330-14
07D-19C</v>
      </c>
      <c r="G10" s="90" t="str">
        <f>IFERROR(__xludf.DUMMYFUNCTION("""COMPUTED_VALUE"""),"CSE330-15
07D-19C")</f>
        <v>CSE330-15
07D-19C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IFERROR(__xludf.DUMMYFUNCTION("""COMPUTED_VALUE"""),"CSE341-03 (LAB)
RFTS,HBN
12D-27L")</f>
        <v>CSE341-03 (LAB)
RFTS,HBN
12D-27L</v>
      </c>
      <c r="E12" s="90" t="str">
        <f>IFERROR(__xludf.DUMMYFUNCTION("""COMPUTED_VALUE"""),"CSE341-03 (LAB)
RFTS,HBN
12D-27L")</f>
        <v>CSE341-03 (LAB)
RFTS,HBN
12D-27L</v>
      </c>
      <c r="F12" s="90" t="str">
        <f>IFERROR(__xludf.DUMMYFUNCTION("""COMPUTED_VALUE"""),"CSE330-14
07D-19C")</f>
        <v>CSE330-14
07D-19C</v>
      </c>
      <c r="G12" s="90" t="str">
        <f>IFERROR(__xludf.DUMMYFUNCTION("""COMPUTED_VALUE"""),"CSE330-15
07D-19C")</f>
        <v>CSE330-15
07D-19C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IFERROR(__xludf.DUMMYFUNCTION("""COMPUTED_VALUE"""),"CSE330-12 (LAB)
RFTS,MZFZ
12D-27L")</f>
        <v>CSE330-12 (LAB)
RFTS,MZFZ
12D-27L</v>
      </c>
      <c r="E14" s="90" t="str">
        <f>IFERROR(__xludf.DUMMYFUNCTION("""COMPUTED_VALUE"""),"CSE330-12 (LAB)
RFTS,MZFZ
12D-27L")</f>
        <v>CSE330-12 (LAB)
RFTS,MZFZ
12D-27L</v>
      </c>
      <c r="F14" s="90" t="str">
        <f>IFERROR(__xludf.DUMMYFUNCTION("""COMPUTED_VALUE"""),"CSE220-22
09H-34C")</f>
        <v>CSE220-22
09H-34C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send an email the night before the consultation slot you plan to attend.")</f>
        <v>**Please send an email the night before the consultation slot you plan to attend.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Imran Zahid</v>
      </c>
      <c r="E4" s="57"/>
      <c r="F4" s="58" t="s">
        <v>1</v>
      </c>
      <c r="G4" s="59" t="s">
        <v>123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imran.zahid@bracu.ac.bd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IFERROR(__xludf.DUMMYFUNCTION("""COMPUTED_VALUE"""),"CSE321-10
09H-33C")</f>
        <v>CSE321-10
09H-33C</v>
      </c>
      <c r="C10" s="90" t="str">
        <f>IFERROR(__xludf.DUMMYFUNCTION("""COMPUTED_VALUE"""),"CSE321-11
09H-33C")</f>
        <v>CSE321-11
09H-33C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IFERROR(__xludf.DUMMYFUNCTION("""COMPUTED_VALUE"""),"CSE470-07
10B-16C")</f>
        <v>CSE470-07
10B-16C</v>
      </c>
      <c r="C11" s="90" t="str">
        <f>IFERROR(__xludf.DUMMYFUNCTION("""COMPUTED_VALUE"""),"CSE470-08
10B-16C")</f>
        <v>CSE470-08
10B-16C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IFERROR(__xludf.DUMMYFUNCTION("""COMPUTED_VALUE"""),"CSE321-10
09H-33C")</f>
        <v>CSE321-10
09H-33C</v>
      </c>
      <c r="C12" s="90" t="str">
        <f>IFERROR(__xludf.DUMMYFUNCTION("""COMPUTED_VALUE"""),"CSE321-11
09H-33C")</f>
        <v>CSE321-11
09H-33C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IFERROR(__xludf.DUMMYFUNCTION("""COMPUTED_VALUE"""),"CSE470-07
10B-16C")</f>
        <v>CSE470-07
10B-16C</v>
      </c>
      <c r="C13" s="90" t="str">
        <f>IFERROR(__xludf.DUMMYFUNCTION("""COMPUTED_VALUE"""),"CSE470-08
10B-16C")</f>
        <v>CSE470-08
10B-16C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Mohammad Rakibul Hasan Mahin</v>
      </c>
      <c r="E4" s="57"/>
      <c r="F4" s="58" t="s">
        <v>1</v>
      </c>
      <c r="G4" s="59" t="s">
        <v>124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mohammad.rakibul@bracu.ac.bd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4L92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IFERROR(__xludf.DUMMYFUNCTION("""COMPUTED_VALUE"""),"Consultation")</f>
        <v>Consultation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IFERROR(__xludf.DUMMYFUNCTION("""COMPUTED_VALUE"""),"CSE111-07
08H-22C")</f>
        <v>CSE111-07
08H-22C</v>
      </c>
      <c r="G10" s="90" t="str">
        <f>IFERROR(__xludf.DUMMYFUNCTION("""COMPUTED_VALUE"""),"CSE111-13
08H-22C")</f>
        <v>CSE111-13
08H-22C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IFERROR(__xludf.DUMMYFUNCTION("""COMPUTED_VALUE"""),"CSE427-09
07F-22C")</f>
        <v>CSE427-09
07F-22C</v>
      </c>
      <c r="G11" s="90" t="str">
        <f>IFERROR(__xludf.DUMMYFUNCTION("""COMPUTED_VALUE"""),"CSE427-10
07F-22C")</f>
        <v>CSE427-10
07F-22C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IFERROR(__xludf.DUMMYFUNCTION("""COMPUTED_VALUE"""),"CSE111-07
08H-22C")</f>
        <v>CSE111-07
08H-22C</v>
      </c>
      <c r="G12" s="90" t="str">
        <f>IFERROR(__xludf.DUMMYFUNCTION("""COMPUTED_VALUE"""),"CSE111-13
08H-22C")</f>
        <v>CSE111-13
08H-22C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IFERROR(__xludf.DUMMYFUNCTION("""COMPUTED_VALUE"""),"CSE110-13 (LAB)
NTN,RKBM
09B-10L")</f>
        <v>CSE110-13 (LAB)
NTN,RKBM
09B-10L</v>
      </c>
      <c r="C13" s="90" t="str">
        <f>IFERROR(__xludf.DUMMYFUNCTION("""COMPUTED_VALUE"""),"CSE110-13 (LAB)
NTN,RKBM
09B-10L")</f>
        <v>CSE110-13 (LAB)
NTN,RKBM
09B-10L</v>
      </c>
      <c r="D13" s="90" t="str">
        <f>IFERROR(__xludf.DUMMYFUNCTION("""COMPUTED_VALUE"""),"CSE110-03 (LAB)
SMUR,RKBM
09B-08L")</f>
        <v>CSE110-03 (LAB)
SMUR,RKBM
09B-08L</v>
      </c>
      <c r="E13" s="90" t="str">
        <f>IFERROR(__xludf.DUMMYFUNCTION("""COMPUTED_VALUE"""),"CSE110-03 (LAB)
SMUR,RKBM
09B-08L")</f>
        <v>CSE110-03 (LAB)
SMUR,RKBM
09B-08L</v>
      </c>
      <c r="F13" s="90" t="str">
        <f>IFERROR(__xludf.DUMMYFUNCTION("""COMPUTED_VALUE"""),"CSE427-09
07F-22C")</f>
        <v>CSE427-09
07F-22C</v>
      </c>
      <c r="G13" s="90" t="str">
        <f>IFERROR(__xludf.DUMMYFUNCTION("""COMPUTED_VALUE"""),"CSE427-10
07F-22C")</f>
        <v>CSE427-10
07F-22C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IFERROR(__xludf.DUMMYFUNCTION("""COMPUTED_VALUE"""),6.0)</f>
        <v>6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IFERROR(__xludf.DUMMYFUNCTION("""COMPUTED_VALUE"""),"CSE111-04 (LAB)
TAW,RKBM
12F-32L")</f>
        <v>CSE111-04 (LAB)
TAW,RKBM
12F-32L</v>
      </c>
      <c r="E14" s="90" t="str">
        <f>IFERROR(__xludf.DUMMYFUNCTION("""COMPUTED_VALUE"""),"CSE111-04 (LAB)
TAW,RKBM
12F-32L")</f>
        <v>CSE111-04 (LAB)
TAW,RKBM
12F-32L</v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Rakib  Kibria</v>
      </c>
      <c r="E4" s="57"/>
      <c r="F4" s="58" t="s">
        <v>1</v>
      </c>
      <c r="G4" s="59" t="s">
        <v>125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rakib.kibria@bracu.ac.bd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4P175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IFERROR(__xludf.DUMMYFUNCTION("""COMPUTED_VALUE"""),"CSE420-03 (LAB)
SUE,RKBR
10E-27L,CSE420-04 (LAB)
SUE,RKBR
10E-27L")</f>
        <v>CSE420-03 (LAB)
SUE,RKBR
10E-27L,CSE420-04 (LAB)
SUE,RKBR
10E-27L</v>
      </c>
      <c r="E9" s="86" t="str">
        <f>IFERROR(__xludf.DUMMYFUNCTION("""COMPUTED_VALUE"""),"CSE420-03 (LAB)
SUE,RKBR
10E-27L,CSE420-04 (LAB)
SUE,RKBR
10E-27L")</f>
        <v>CSE420-03 (LAB)
SUE,RKBR
10E-27L,CSE420-04 (LAB)
SUE,RKBR
10E-27L</v>
      </c>
      <c r="F9" s="86" t="str">
        <f>IFERROR(__xludf.DUMMYFUNCTION("""COMPUTED_VALUE"""),"CSE420-15
09A-06C")</f>
        <v>CSE420-15
09A-06C</v>
      </c>
      <c r="G9" s="86" t="str">
        <f>IFERROR(__xludf.DUMMYFUNCTION("""COMPUTED_VALUE"""),"CSE420-16
09A-06C")</f>
        <v>CSE420-16
09A-06C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IFERROR(__xludf.DUMMYFUNCTION("""COMPUTED_VALUE"""),"CSE420-08 (LAB)
SZD,RKBR
10E-27L,CSE420-09 (LAB)
SZD,RKBR
10E-27L")</f>
        <v>CSE420-08 (LAB)
SZD,RKBR
10E-27L,CSE420-09 (LAB)
SZD,RKBR
10E-27L</v>
      </c>
      <c r="E10" s="90" t="str">
        <f>IFERROR(__xludf.DUMMYFUNCTION("""COMPUTED_VALUE"""),"CSE420-08 (LAB)
SZD,RKBR
10E-27L,CSE420-09 (LAB)
SZD,RKBR
10E-27L")</f>
        <v>CSE420-08 (LAB)
SZD,RKBR
10E-27L,CSE420-09 (LAB)
SZD,RKBR
10E-27L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IFERROR(__xludf.DUMMYFUNCTION("""COMPUTED_VALUE"""),"CSE421-10 (LAB)
AKTD,RKBR
09F-25L,CSE421-17 (LAB)
AKTD,RKBR
09F-25L")</f>
        <v>CSE421-10 (LAB)
AKTD,RKBR
09F-25L,CSE421-17 (LAB)
AKTD,RKBR
09F-25L</v>
      </c>
      <c r="E13" s="90" t="str">
        <f>IFERROR(__xludf.DUMMYFUNCTION("""COMPUTED_VALUE"""),"CSE421-10 (LAB)
AKTD,RKBR
09F-25L,CSE421-17 (LAB)
AKTD,RKBR
09F-25L")</f>
        <v>CSE421-10 (LAB)
AKTD,RKBR
09F-25L,CSE421-17 (LAB)
AKTD,RKBR
09F-25L</v>
      </c>
      <c r="F13" s="90" t="str">
        <f>IFERROR(__xludf.DUMMYFUNCTION("""COMPUTED_VALUE"""),"CSE421-08 (LAB)
RKBR,THR
09F-25L,CSE421-09 (LAB)
RKBR,THR
09F-25L")</f>
        <v>CSE421-08 (LAB)
RKBR,THR
09F-25L,CSE421-09 (LAB)
RKBR,THR
09F-25L</v>
      </c>
      <c r="G13" s="90" t="str">
        <f>IFERROR(__xludf.DUMMYFUNCTION("""COMPUTED_VALUE"""),"CSE421-08 (LAB)
RKBR,THR
09F-25L,CSE421-09 (LAB)
RKBR,THR
09F-25L")</f>
        <v>CSE421-08 (LAB)
RKBR,THR
09F-25L,CSE421-09 (LAB)
RKBR,THR
09F-25L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IFERROR(__xludf.DUMMYFUNCTION("""COMPUTED_VALUE"""),"CSE420-15
09A-06C")</f>
        <v>CSE420-15
09A-06C</v>
      </c>
      <c r="G14" s="90" t="str">
        <f>IFERROR(__xludf.DUMMYFUNCTION("""COMPUTED_VALUE"""),"CSE420-16
09A-06C")</f>
        <v>CSE420-16
09A-06C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Raisul Kabir News</v>
      </c>
      <c r="E4" s="57"/>
      <c r="F4" s="58" t="s">
        <v>1</v>
      </c>
      <c r="G4" s="59" t="s">
        <v>126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raisul.kabir@bracu.ac.bd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4L94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IFERROR(__xludf.DUMMYFUNCTION("""COMPUTED_VALUE"""),"CSE341-01
09H-32C")</f>
        <v>CSE341-01
09H-32C</v>
      </c>
      <c r="E10" s="90" t="str">
        <f>IFERROR(__xludf.DUMMYFUNCTION("""COMPUTED_VALUE"""),"CSE341-02
09H-32C")</f>
        <v>CSE341-02
09H-32C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IFERROR(__xludf.DUMMYFUNCTION("""COMPUTED_VALUE"""),"CSE341-03
09D-18C")</f>
        <v>CSE341-03
09D-18C</v>
      </c>
      <c r="E11" s="90" t="str">
        <f>IFERROR(__xludf.DUMMYFUNCTION("""COMPUTED_VALUE"""),"CSE341-04
09D-18C")</f>
        <v>CSE341-04
09D-18C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IFERROR(__xludf.DUMMYFUNCTION("""COMPUTED_VALUE"""),"CSE341-01
09H-32C")</f>
        <v>CSE341-01
09H-32C</v>
      </c>
      <c r="E12" s="90" t="str">
        <f>IFERROR(__xludf.DUMMYFUNCTION("""COMPUTED_VALUE"""),"CSE341-02
09H-32C")</f>
        <v>CSE341-02
09H-32C</v>
      </c>
      <c r="F12" s="90" t="str">
        <f>IFERROR(__xludf.DUMMYFUNCTION("""COMPUTED_VALUE"""),"CSE341-12 (LAB)
RKN,CKMH
12D-27L")</f>
        <v>CSE341-12 (LAB)
RKN,CKMH
12D-27L</v>
      </c>
      <c r="G12" s="90" t="str">
        <f>IFERROR(__xludf.DUMMYFUNCTION("""COMPUTED_VALUE"""),"CSE341-12 (LAB)
RKN,CKMH
12D-27L")</f>
        <v>CSE341-12 (LAB)
RKN,CKMH
12D-27L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IFERROR(__xludf.DUMMYFUNCTION("""COMPUTED_VALUE"""),"CSE341-03
09D-18C")</f>
        <v>CSE341-03
09D-18C</v>
      </c>
      <c r="E13" s="90" t="str">
        <f>IFERROR(__xludf.DUMMYFUNCTION("""COMPUTED_VALUE"""),"CSE341-04
09D-18C")</f>
        <v>CSE341-04
09D-18C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Rafeed Rahman</v>
      </c>
      <c r="E4" s="57"/>
      <c r="F4" s="58" t="s">
        <v>1</v>
      </c>
      <c r="G4" s="59" t="s">
        <v>127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rahman.rafeed@bracu.ac.bd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IFERROR(__xludf.DUMMYFUNCTION("""COMPUTED_VALUE"""),"CSE422-03 (LAB)
RRH,AHC
09F-26L")</f>
        <v>CSE422-03 (LAB)
RRH,AHC
09F-26L</v>
      </c>
      <c r="C9" s="86" t="str">
        <f>IFERROR(__xludf.DUMMYFUNCTION("""COMPUTED_VALUE"""),"CSE422-03 (LAB)
RRH,AHC
09F-26L")</f>
        <v>CSE422-03 (LAB)
RRH,AHC
09F-26L</v>
      </c>
      <c r="D9" s="86" t="str">
        <f>IFERROR(__xludf.DUMMYFUNCTION("""COMPUTED_VALUE"""),"CSE422-04
09C-16T,CSE422-05
09C-16T,CSE422-06
09C-16T")</f>
        <v>CSE422-04
09C-16T,CSE422-05
09C-16T,CSE422-06
09C-16T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IFERROR(__xludf.DUMMYFUNCTION("""COMPUTED_VALUE"""),"CSE422-08 (LAB)
RRH,AHC
09F-26L")</f>
        <v>CSE422-08 (LAB)
RRH,AHC
09F-26L</v>
      </c>
      <c r="C10" s="90" t="str">
        <f>IFERROR(__xludf.DUMMYFUNCTION("""COMPUTED_VALUE"""),"CSE422-08 (LAB)
RRH,AHC
09F-26L")</f>
        <v>CSE422-08 (LAB)
RRH,AHC
09F-26L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IFERROR(__xludf.DUMMYFUNCTION("""COMPUTED_VALUE"""),"CSE427-09 (LAB)
RRH,CQAE
09B-11L")</f>
        <v>CSE427-09 (LAB)
RRH,CQAE
09B-11L</v>
      </c>
      <c r="C12" s="90" t="str">
        <f>IFERROR(__xludf.DUMMYFUNCTION("""COMPUTED_VALUE"""),"CSE427-09 (LAB)
RRH,CQAE
09B-11L")</f>
        <v>CSE427-09 (LAB)
RRH,CQAE
09B-11L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IFERROR(__xludf.DUMMYFUNCTION("""COMPUTED_VALUE"""),"CSE422-16 (LAB)
RRH,FMK
09F-27L")</f>
        <v>CSE422-16 (LAB)
RRH,FMK
09F-27L</v>
      </c>
      <c r="C14" s="90" t="str">
        <f>IFERROR(__xludf.DUMMYFUNCTION("""COMPUTED_VALUE"""),"CSE422-16 (LAB)
RRH,FMK
09F-27L")</f>
        <v>CSE422-16 (LAB)
RRH,FMK
09F-27L</v>
      </c>
      <c r="D14" s="90" t="str">
        <f>IFERROR(__xludf.DUMMYFUNCTION("""COMPUTED_VALUE"""),"CSE422-04
09C-16T,CSE422-05
09C-16T,CSE422-06
09C-16T")</f>
        <v>CSE422-04
09C-16T,CSE422-05
09C-16T,CSE422-06
09C-16T</v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Rafiad Sadat Shahir</v>
      </c>
      <c r="E4" s="57"/>
      <c r="F4" s="58" t="s">
        <v>1</v>
      </c>
      <c r="G4" s="59" t="s">
        <v>128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rafiad.shahir@bracu.ac.bd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IFERROR(__xludf.DUMMYFUNCTION("""COMPUTED_VALUE"""),"CSE331-07
09G-31T,CSE331-08
09G-31T,CSE331-09
09G-31T")</f>
        <v>CSE331-07
09G-31T,CSE331-08
09G-31T,CSE331-09
09G-31T</v>
      </c>
      <c r="D10" s="90" t="str">
        <f>IFERROR(__xludf.DUMMYFUNCTION("""COMPUTED_VALUE"""),"CSE422-19 (LAB)
ZHS,RSS
09F-26L")</f>
        <v>CSE422-19 (LAB)
ZHS,RSS
09F-26L</v>
      </c>
      <c r="E10" s="90" t="str">
        <f>IFERROR(__xludf.DUMMYFUNCTION("""COMPUTED_VALUE"""),"CSE422-19 (LAB)
ZHS,RSS
09F-26L")</f>
        <v>CSE422-19 (LAB)
ZHS,RSS
09F-26L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IFERROR(__xludf.DUMMYFUNCTION("""COMPUTED_VALUE"""),"CSE422-15
09H-33C")</f>
        <v>CSE422-15
09H-33C</v>
      </c>
      <c r="D11" s="90" t="str">
        <f>IFERROR(__xludf.DUMMYFUNCTION("""COMPUTED_VALUE"""),"CSE422-13 (LAB)
ZHS,RSS
09F-24L")</f>
        <v>CSE422-13 (LAB)
ZHS,RSS
09F-24L</v>
      </c>
      <c r="E11" s="90" t="str">
        <f>IFERROR(__xludf.DUMMYFUNCTION("""COMPUTED_VALUE"""),"CSE422-13 (LAB)
ZHS,RSS
09F-24L")</f>
        <v>CSE422-13 (LAB)
ZHS,RSS
09F-24L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IFERROR(__xludf.DUMMYFUNCTION("""COMPUTED_VALUE"""),"CSE331-07
09G-31T,CSE331-08
09G-31T,CSE331-09
09G-31T")</f>
        <v>CSE331-07
09G-31T,CSE331-08
09G-31T,CSE331-09
09G-31T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IFERROR(__xludf.DUMMYFUNCTION("""COMPUTED_VALUE"""),"CSE422-15
09H-33C")</f>
        <v>CSE422-15
09H-33C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/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IFERROR(__xludf.DUMMYFUNCTION("""COMPUTED_VALUE"""),"**RED slot indicates an occupied slot; You cannot put consultation or take a weekend on that slot / day")</f>
        <v>**RED slot indicates an occupied slot; You cannot put consultation or take a weekend on that slot / day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239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Riazul Islam Rifat</v>
      </c>
      <c r="E4" s="57"/>
      <c r="F4" s="58" t="s">
        <v>1</v>
      </c>
      <c r="G4" s="59" t="s">
        <v>240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ext.riazul.islam@bracu.ac.bd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IFERROR(__xludf.DUMMYFUNCTION("""COMPUTED_VALUE"""),"CSE330-19
07D-20C")</f>
        <v>CSE330-19
07D-20C</v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IFERROR(__xludf.DUMMYFUNCTION("""COMPUTED_VALUE"""),"CSE427-05 (LAB)
RZR,ADU
09F-27L")</f>
        <v>CSE427-05 (LAB)
RZR,ADU
09F-27L</v>
      </c>
      <c r="E11" s="90" t="str">
        <f>IFERROR(__xludf.DUMMYFUNCTION("""COMPUTED_VALUE"""),"CSE427-05 (LAB)
RZR,ADU
09F-27L")</f>
        <v>CSE427-05 (LAB)
RZR,ADU
09F-27L</v>
      </c>
      <c r="F11" s="90" t="str">
        <f>IFERROR(__xludf.DUMMYFUNCTION("""COMPUTED_VALUE"""),"CSE422-14 (LAB)
IRZ,RZR
09F-25L")</f>
        <v>CSE422-14 (LAB)
IRZ,RZR
09F-25L</v>
      </c>
      <c r="G11" s="90" t="str">
        <f>IFERROR(__xludf.DUMMYFUNCTION("""COMPUTED_VALUE"""),"CSE422-14 (LAB)
IRZ,RZR
09F-25L")</f>
        <v>CSE422-14 (LAB)
IRZ,RZR
09F-25L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IFERROR(__xludf.DUMMYFUNCTION("""COMPUTED_VALUE"""),"CSE330-19
07D-20C")</f>
        <v>CSE330-19
07D-20C</v>
      </c>
      <c r="C12" s="90" t="str">
        <f>IFERROR(__xludf.DUMMYFUNCTION("""COMPUTED_VALUE"""),"")</f>
        <v/>
      </c>
      <c r="D12" s="90" t="str">
        <f>IFERROR(__xludf.DUMMYFUNCTION("""COMPUTED_VALUE"""),"CSE427-03 (LAB)
RZR,NLH
09F-27L,CSE427-03 (LAB)
RZR,NLH
09F-27L")</f>
        <v>CSE427-03 (LAB)
RZR,NLH
09F-27L,CSE427-03 (LAB)
RZR,NLH
09F-27L</v>
      </c>
      <c r="E12" s="90" t="str">
        <f>IFERROR(__xludf.DUMMYFUNCTION("""COMPUTED_VALUE"""),"CSE427-03 (LAB)
RZR,NLH
09F-27L,CSE427-03 (LAB)
RZR,NLH
09F-27L")</f>
        <v>CSE427-03 (LAB)
RZR,NLH
09F-27L,CSE427-03 (LAB)
RZR,NLH
09F-27L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IFERROR(__xludf.DUMMYFUNCTION("""COMPUTED_VALUE"""),"CSE422-02 (LAB)
MUNR,RZR
09F-26L")</f>
        <v>CSE422-02 (LAB)
MUNR,RZR
09F-26L</v>
      </c>
      <c r="C13" s="90" t="str">
        <f>IFERROR(__xludf.DUMMYFUNCTION("""COMPUTED_VALUE"""),"CSE422-02 (LAB)
MUNR,RZR
09F-26L")</f>
        <v>CSE422-02 (LAB)
MUNR,RZR
09F-26L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IFERROR(__xludf.DUMMYFUNCTION("""COMPUTED_VALUE"""),"CSE422-06 (LAB)
YND,RZR
09F-27L")</f>
        <v>CSE422-06 (LAB)
YND,RZR
09F-27L</v>
      </c>
      <c r="G13" s="90" t="str">
        <f>IFERROR(__xludf.DUMMYFUNCTION("""COMPUTED_VALUE"""),"CSE422-06 (LAB)
YND,RZR
09F-27L")</f>
        <v>CSE422-06 (LAB)
YND,RZR
09F-27L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Sadif Ahmed</v>
      </c>
      <c r="E4" s="57"/>
      <c r="F4" s="58" t="s">
        <v>1</v>
      </c>
      <c r="G4" s="59" t="s">
        <v>129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sadif.ahmed@bracu.ac.bd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4P197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IFERROR(__xludf.DUMMYFUNCTION("""COMPUTED_VALUE"""),"CSE471-04 (LAB)
SADA,AJK
09E-22L")</f>
        <v>CSE471-04 (LAB)
SADA,AJK
09E-22L</v>
      </c>
      <c r="C9" s="86" t="str">
        <f>IFERROR(__xludf.DUMMYFUNCTION("""COMPUTED_VALUE"""),"CSE471-04 (LAB)
SADA,AJK
09E-22L")</f>
        <v>CSE471-04 (LAB)
SADA,AJK
09E-22L</v>
      </c>
      <c r="D9" s="86" t="str">
        <f>IFERROR(__xludf.DUMMYFUNCTION("""COMPUTED_VALUE"""),"CSE340-17
09A-05C")</f>
        <v>CSE340-17
09A-05C</v>
      </c>
      <c r="E9" s="86" t="str">
        <f>IFERROR(__xludf.DUMMYFUNCTION("""COMPUTED_VALUE"""),"CSE340-18
09A-05C")</f>
        <v>CSE340-18
09A-05C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IFERROR(__xludf.DUMMYFUNCTION("""COMPUTED_VALUE"""),"CSE470-11
09A-02C")</f>
        <v>CSE470-11
09A-02C</v>
      </c>
      <c r="C11" s="90" t="str">
        <f>IFERROR(__xludf.DUMMYFUNCTION("""COMPUTED_VALUE"""),"CSE470-12
09A-02C")</f>
        <v>CSE470-12
09A-02C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IFERROR(__xludf.DUMMYFUNCTION("""COMPUTED_VALUE"""),"CSE470-11
09A-02C")</f>
        <v>CSE470-11
09A-02C</v>
      </c>
      <c r="C13" s="90" t="str">
        <f>IFERROR(__xludf.DUMMYFUNCTION("""COMPUTED_VALUE"""),"CSE470-12
09A-02C")</f>
        <v>CSE470-12
09A-02C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IFERROR(__xludf.DUMMYFUNCTION("""COMPUTED_VALUE"""),"CSE471-07 (LAB)
SADA,AJK
09E-22L")</f>
        <v>CSE471-07 (LAB)
SADA,AJK
09E-22L</v>
      </c>
      <c r="C14" s="90" t="str">
        <f>IFERROR(__xludf.DUMMYFUNCTION("""COMPUTED_VALUE"""),"CSE471-07 (LAB)
SADA,AJK
09E-22L")</f>
        <v>CSE471-07 (LAB)
SADA,AJK
09E-22L</v>
      </c>
      <c r="D14" s="90" t="str">
        <f>IFERROR(__xludf.DUMMYFUNCTION("""COMPUTED_VALUE"""),"CSE340-17
09A-05C")</f>
        <v>CSE340-17
09A-05C</v>
      </c>
      <c r="E14" s="90" t="str">
        <f>IFERROR(__xludf.DUMMYFUNCTION("""COMPUTED_VALUE"""),"CSE340-18
09A-05C")</f>
        <v>CSE340-18
09A-05C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IFERROR(__xludf.DUMMYFUNCTION("""COMPUTED_VALUE"""),"**Consultations should be pre booked at least 2 hours before the session through text/email")</f>
        <v>**Consultations should be pre booked at least 2 hours before the session through text/email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Saadat Rafid Ahmed</v>
      </c>
      <c r="E4" s="57"/>
      <c r="F4" s="58" t="s">
        <v>1</v>
      </c>
      <c r="G4" s="59" t="s">
        <v>130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saadat.ahmed@bracu.ac.bd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IFERROR(__xludf.DUMMYFUNCTION("""COMPUTED_VALUE"""),"CSE330-05 (LAB)
SADF,NLAM
10G-34L")</f>
        <v>CSE330-05 (LAB)
SADF,NLAM
10G-34L</v>
      </c>
      <c r="E10" s="90" t="str">
        <f>IFERROR(__xludf.DUMMYFUNCTION("""COMPUTED_VALUE"""),"CSE330-05 (LAB)
SADF,NLAM
10G-34L")</f>
        <v>CSE330-05 (LAB)
SADF,NLAM
10G-34L</v>
      </c>
      <c r="F10" s="90" t="str">
        <f>IFERROR(__xludf.DUMMYFUNCTION("""COMPUTED_VALUE"""),"CSE330-07 (LAB)
SULT,SADF
09F-27L")</f>
        <v>CSE330-07 (LAB)
SULT,SADF
09F-27L</v>
      </c>
      <c r="G10" s="90" t="str">
        <f>IFERROR(__xludf.DUMMYFUNCTION("""COMPUTED_VALUE"""),"CSE330-07 (LAB)
SULT,SADF
09F-27L")</f>
        <v>CSE330-07 (LAB)
SULT,SADF
09F-27L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IFERROR(__xludf.DUMMYFUNCTION("""COMPUTED_VALUE"""),"CSE330-12
09A-03C")</f>
        <v>CSE330-12
09A-03C</v>
      </c>
      <c r="C11" s="90" t="str">
        <f>IFERROR(__xludf.DUMMYFUNCTION("""COMPUTED_VALUE"""),"Consultation")</f>
        <v>Consultation</v>
      </c>
      <c r="D11" s="90" t="str">
        <f>IFERROR(__xludf.DUMMYFUNCTION("""COMPUTED_VALUE"""),"CSE330-13
09A-02C")</f>
        <v>CSE330-13
09A-02C</v>
      </c>
      <c r="E11" s="90" t="str">
        <f>IFERROR(__xludf.DUMMYFUNCTION("""COMPUTED_VALUE"""),"Consultation")</f>
        <v>Consultation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IFERROR(__xludf.DUMMYFUNCTION("""COMPUTED_VALUE"""),"CSE330-02 (LAB)
ARD,SADF
10G-34L")</f>
        <v>CSE330-02 (LAB)
ARD,SADF
10G-34L</v>
      </c>
      <c r="E12" s="90" t="str">
        <f>IFERROR(__xludf.DUMMYFUNCTION("""COMPUTED_VALUE"""),"CSE330-02 (LAB)
ARD,SADF
10G-34L")</f>
        <v>CSE330-02 (LAB)
ARD,SADF
10G-34L</v>
      </c>
      <c r="F12" s="90" t="str">
        <f>IFERROR(__xludf.DUMMYFUNCTION("""COMPUTED_VALUE"""),"CSE330-08 (LAB)
AQU,SADF
10G-34L")</f>
        <v>CSE330-08 (LAB)
AQU,SADF
10G-34L</v>
      </c>
      <c r="G12" s="90" t="str">
        <f>IFERROR(__xludf.DUMMYFUNCTION("""COMPUTED_VALUE"""),"CSE330-08 (LAB)
AQU,SADF
10G-34L")</f>
        <v>CSE330-08 (LAB)
AQU,SADF
10G-34L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IFERROR(__xludf.DUMMYFUNCTION("""COMPUTED_VALUE"""),"CSE330-12
09A-03C")</f>
        <v>CSE330-12
09A-03C</v>
      </c>
      <c r="C13" s="90" t="str">
        <f>IFERROR(__xludf.DUMMYFUNCTION("""COMPUTED_VALUE"""),"Consultation")</f>
        <v>Consultation</v>
      </c>
      <c r="D13" s="90" t="str">
        <f>IFERROR(__xludf.DUMMYFUNCTION("""COMPUTED_VALUE"""),"CSE330-13
09A-02C")</f>
        <v>CSE330-13
09A-02C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 Sabbir Hossain</v>
      </c>
      <c r="E4" s="57"/>
      <c r="F4" s="58" t="s">
        <v>1</v>
      </c>
      <c r="G4" s="59" t="s">
        <v>131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sabbir.hossain@bracu.ac.bd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IFERROR(__xludf.DUMMYFUNCTION("""COMPUTED_VALUE"""),"CSE101-01 (LAB)
SBHN,CESF
FT11-04L")</f>
        <v>CSE101-01 (LAB)
SBHN,CESF
FT11-04L</v>
      </c>
      <c r="E10" s="90" t="str">
        <f>IFERROR(__xludf.DUMMYFUNCTION("""COMPUTED_VALUE"""),"CSE101-01 (LAB)
SBHN,CESF
FT11-04L")</f>
        <v>CSE101-01 (LAB)
SBHN,CESF
FT11-04L</v>
      </c>
      <c r="F10" s="90" t="str">
        <f>IFERROR(__xludf.DUMMYFUNCTION("""COMPUTED_VALUE"""),"CSE101-04
09H-35C")</f>
        <v>CSE101-04
09H-35C</v>
      </c>
      <c r="G10" s="90" t="str">
        <f>IFERROR(__xludf.DUMMYFUNCTION("""COMPUTED_VALUE"""),"CSE101-05
09H-35C")</f>
        <v>CSE101-05
09H-35C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IFERROR(__xludf.DUMMYFUNCTION("""COMPUTED_VALUE"""),"CSE424-01 (LAB)
SBHN,LBBH
12D-26L,CSE424-02 (LAB)
SBHN,LBBH
12D-26L")</f>
        <v>CSE424-01 (LAB)
SBHN,LBBH
12D-26L,CSE424-02 (LAB)
SBHN,LBBH
12D-26L</v>
      </c>
      <c r="E11" s="90" t="str">
        <f>IFERROR(__xludf.DUMMYFUNCTION("""COMPUTED_VALUE"""),"CSE424-01 (LAB)
SBHN,LBBH
12D-26L,CSE424-02 (LAB)
SBHN,LBBH
12D-26L")</f>
        <v>CSE424-01 (LAB)
SBHN,LBBH
12D-26L,CSE424-02 (LAB)
SBHN,LBBH
12D-26L</v>
      </c>
      <c r="F11" s="90" t="str">
        <f>IFERROR(__xludf.DUMMYFUNCTION("""COMPUTED_VALUE"""),"CSE101-06
09D-17C")</f>
        <v>CSE101-06
09D-17C</v>
      </c>
      <c r="G11" s="90" t="str">
        <f>IFERROR(__xludf.DUMMYFUNCTION("""COMPUTED_VALUE"""),"CSE424-02
09D-17C")</f>
        <v>CSE424-02
09D-17C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IFERROR(__xludf.DUMMYFUNCTION("""COMPUTED_VALUE"""),"CSE101-04
09H-35C")</f>
        <v>CSE101-04
09H-35C</v>
      </c>
      <c r="G12" s="90" t="str">
        <f>IFERROR(__xludf.DUMMYFUNCTION("""COMPUTED_VALUE"""),"CSE101-05
09H-35C")</f>
        <v>CSE101-05
09H-35C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IFERROR(__xludf.DUMMYFUNCTION("""COMPUTED_VALUE"""),"CSE101-05 (LAB)
SBHN,SLAR
FT11-04L")</f>
        <v>CSE101-05 (LAB)
SBHN,SLAR
FT11-04L</v>
      </c>
      <c r="E13" s="90" t="str">
        <f>IFERROR(__xludf.DUMMYFUNCTION("""COMPUTED_VALUE"""),"CSE101-05 (LAB)
SBHN,SLAR
FT11-04L")</f>
        <v>CSE101-05 (LAB)
SBHN,SLAR
FT11-04L</v>
      </c>
      <c r="F13" s="90" t="str">
        <f>IFERROR(__xludf.DUMMYFUNCTION("""COMPUTED_VALUE"""),"CSE101-06
09D-17C")</f>
        <v>CSE101-06
09D-17C</v>
      </c>
      <c r="G13" s="90" t="str">
        <f>IFERROR(__xludf.DUMMYFUNCTION("""COMPUTED_VALUE"""),"CSE424-02
09D-17C")</f>
        <v>CSE424-02
09D-17C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Sowmitra Das</v>
      </c>
      <c r="E4" s="57"/>
      <c r="F4" s="58" t="s">
        <v>1</v>
      </c>
      <c r="G4" s="59" t="s">
        <v>132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sowmitra.das@bracu.ac.bd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IFERROR(__xludf.DUMMYFUNCTION("""COMPUTED_VALUE"""),"CSE490C-01
07H-27C")</f>
        <v>CSE490C-01
07H-27C</v>
      </c>
      <c r="G10" s="90" t="str">
        <f>IFERROR(__xludf.DUMMYFUNCTION("""COMPUTED_VALUE"""),"CSE402-01
09B-12C")</f>
        <v>CSE402-01
09B-12C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IFERROR(__xludf.DUMMYFUNCTION("""COMPUTED_VALUE"""),"CSE490C-01
07H-27C")</f>
        <v>CSE490C-01
07H-27C</v>
      </c>
      <c r="G12" s="90" t="str">
        <f>IFERROR(__xludf.DUMMYFUNCTION("""COMPUTED_VALUE"""),"CSE402-01
09B-12C")</f>
        <v>CSE402-01
09B-12C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IFERROR(__xludf.DUMMYFUNCTION("""COMPUTED_VALUE"""),"CSE402-01 (LAB)
SDAS,NFS
09B-10L")</f>
        <v>CSE402-01 (LAB)
SDAS,NFS
09B-10L</v>
      </c>
      <c r="E14" s="90" t="str">
        <f>IFERROR(__xludf.DUMMYFUNCTION("""COMPUTED_VALUE"""),"CSE402-01 (LAB)
SDAS,NFS
09B-10L")</f>
        <v>CSE402-01 (LAB)
SDAS,NFS
09B-10L</v>
      </c>
      <c r="F14" s="90" t="str">
        <f>IFERROR(__xludf.DUMMYFUNCTION("""COMPUTED_VALUE"""),"CSE490C-01 (LAB)
SDAS,NFS
12D-26L")</f>
        <v>CSE490C-01 (LAB)
SDAS,NFS
12D-26L</v>
      </c>
      <c r="G14" s="90" t="str">
        <f>IFERROR(__xludf.DUMMYFUNCTION("""COMPUTED_VALUE"""),"CSE490C-01 (LAB)
SDAS,NFS
12D-26L")</f>
        <v>CSE490C-01 (LAB)
SDAS,NFS
12D-26L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 Sadek Ferdous</v>
      </c>
      <c r="E4" s="57"/>
      <c r="F4" s="58" t="s">
        <v>1</v>
      </c>
      <c r="G4" s="59" t="s">
        <v>133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sadek.ferdous@bracu.ac.bd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IFERROR(__xludf.DUMMYFUNCTION("""COMPUTED_VALUE"""),"CSE722-01
09A-01C")</f>
        <v>CSE722-01
09A-01C</v>
      </c>
      <c r="J10" s="91" t="str">
        <f>IFERROR(__xludf.DUMMYFUNCTION("""COMPUTED_VALUE"""),"CSE722-01
09A-01C")</f>
        <v>CSE722-01
09A-01C</v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IFERROR(__xludf.DUMMYFUNCTION("""COMPUTED_VALUE"""),"CSE446-01
10A-04C")</f>
        <v>CSE446-01
10A-04C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IFERROR(__xludf.DUMMYFUNCTION("""COMPUTED_VALUE"""),"CSE446-01
10A-04C")</f>
        <v>CSE446-01
10A-04C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Shadmin Sultana</v>
      </c>
      <c r="E4" s="57"/>
      <c r="F4" s="58" t="s">
        <v>1</v>
      </c>
      <c r="G4" s="59" t="s">
        <v>134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shadmin.sultana@bracu.ac.bd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IFERROR(__xludf.DUMMYFUNCTION("""COMPUTED_VALUE"""),"CSE251-10A
09A-01C,CSE251-10B
09A-01C")</f>
        <v>CSE251-10A
09A-01C,CSE251-10B
09A-01C</v>
      </c>
      <c r="E9" s="86" t="str">
        <f>IFERROR(__xludf.DUMMYFUNCTION("""COMPUTED_VALUE"""),"Consultation")</f>
        <v>Consultation</v>
      </c>
      <c r="F9" s="86" t="str">
        <f>IFERROR(__xludf.DUMMYFUNCTION("""COMPUTED_VALUE"""),"CSE250-12A
10B-17C,CSE250-12B
10B-17C")</f>
        <v>CSE250-12A
10B-17C,CSE250-12B
10B-17C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IFERROR(__xludf.DUMMYFUNCTION("""COMPUTED_VALUE"""),"CSE460-09 (LAB)
SDL,MTOT
10G-32L")</f>
        <v>CSE460-09 (LAB)
SDL,MTOT
10G-32L</v>
      </c>
      <c r="C10" s="90" t="str">
        <f>IFERROR(__xludf.DUMMYFUNCTION("""COMPUTED_VALUE"""),"CSE460-09 (LAB)
SDL,MTOT
10G-32L")</f>
        <v>CSE460-09 (LAB)
SDL,MTOT
10G-32L</v>
      </c>
      <c r="D10" s="90" t="str">
        <f>IFERROR(__xludf.DUMMYFUNCTION("""COMPUTED_VALUE"""),"CSE250-09B (LAB)
UTS,SDL
12B-20L")</f>
        <v>CSE250-09B (LAB)
UTS,SDL
12B-20L</v>
      </c>
      <c r="E10" s="90" t="str">
        <f>IFERROR(__xludf.DUMMYFUNCTION("""COMPUTED_VALUE"""),"CSE250-09B (LAB)
UTS,SDL
12B-20L")</f>
        <v>CSE250-09B (LAB)
UTS,SDL
12B-20L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IFERROR(__xludf.DUMMYFUNCTION("""COMPUTED_VALUE"""),"CSE251-03A (LAB)
HMH,SDL
FT10-01L")</f>
        <v>CSE251-03A (LAB)
HMH,SDL
FT10-01L</v>
      </c>
      <c r="C11" s="90" t="str">
        <f>IFERROR(__xludf.DUMMYFUNCTION("""COMPUTED_VALUE"""),"CSE251-03A (LAB)
HMH,SDL
FT10-01L")</f>
        <v>CSE251-03A (LAB)
HMH,SDL
FT10-01L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IFERROR(__xludf.DUMMYFUNCTION("""COMPUTED_VALUE"""),"CSE460-12 (LAB)
DPRN,SDL
09E-21L")</f>
        <v>CSE460-12 (LAB)
DPRN,SDL
09E-21L</v>
      </c>
      <c r="G11" s="90" t="str">
        <f>IFERROR(__xludf.DUMMYFUNCTION("""COMPUTED_VALUE"""),"CSE460-12 (LAB)
DPRN,SDL
09E-21L")</f>
        <v>CSE460-12 (LAB)
DPRN,SDL
09E-21L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IFERROR(__xludf.DUMMYFUNCTION("""COMPUTED_VALUE"""),"CSE460-01 (LAB)
SDL,UPM
09E-22L")</f>
        <v>CSE460-01 (LAB)
SDL,UPM
09E-22L</v>
      </c>
      <c r="E13" s="90" t="str">
        <f>IFERROR(__xludf.DUMMYFUNCTION("""COMPUTED_VALUE"""),"CSE460-01 (LAB)
SDL,UPM
09E-22L")</f>
        <v>CSE460-01 (LAB)
SDL,UPM
09E-22L</v>
      </c>
      <c r="F13" s="90" t="str">
        <f>IFERROR(__xludf.DUMMYFUNCTION("""COMPUTED_VALUE"""),"CSE250-12B (LAB)
ZIZE,SDL
12B-20L")</f>
        <v>CSE250-12B (LAB)
ZIZE,SDL
12B-20L</v>
      </c>
      <c r="G13" s="90" t="str">
        <f>IFERROR(__xludf.DUMMYFUNCTION("""COMPUTED_VALUE"""),"CSE250-12B (LAB)
ZIZE,SDL
12B-20L")</f>
        <v>CSE250-12B (LAB)
ZIZE,SDL
12B-20L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IFERROR(__xludf.DUMMYFUNCTION("""COMPUTED_VALUE"""),"CSE251-10A
09A-01C,CSE251-10B
09A-01C")</f>
        <v>CSE251-10A
09A-01C,CSE251-10B
09A-01C</v>
      </c>
      <c r="E14" s="90" t="str">
        <f>IFERROR(__xludf.DUMMYFUNCTION("""COMPUTED_VALUE"""),"Consultation")</f>
        <v>Consultation</v>
      </c>
      <c r="F14" s="90" t="str">
        <f>IFERROR(__xludf.DUMMYFUNCTION("""COMPUTED_VALUE"""),"CSE250-12A
10B-17C,CSE250-12B
10B-17C")</f>
        <v>CSE250-12A
10B-17C,CSE250-12B
10B-17C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Saiful Bari Siddiqui</v>
      </c>
      <c r="E4" s="57"/>
      <c r="F4" s="58" t="s">
        <v>1</v>
      </c>
      <c r="G4" s="59" t="s">
        <v>135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saiful.bari@bracu.ac.bd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IFERROR(__xludf.DUMMYFUNCTION("""COMPUTED_VALUE"""),"CSE251-09A (LAB)
SDQ,TAV
FT10-01L")</f>
        <v>CSE251-09A (LAB)
SDQ,TAV
FT10-01L</v>
      </c>
      <c r="E10" s="90" t="str">
        <f>IFERROR(__xludf.DUMMYFUNCTION("""COMPUTED_VALUE"""),"CSE251-09A (LAB)
SDQ,TAV
FT10-01L")</f>
        <v>CSE251-09A (LAB)
SDQ,TAV
FT10-01L</v>
      </c>
      <c r="F10" s="90" t="str">
        <f>IFERROR(__xludf.DUMMYFUNCTION("""COMPUTED_VALUE"""),"CSE350-10A (LAB)
SDQ,TSE
12B-20L")</f>
        <v>CSE350-10A (LAB)
SDQ,TSE
12B-20L</v>
      </c>
      <c r="G10" s="90" t="str">
        <f>IFERROR(__xludf.DUMMYFUNCTION("""COMPUTED_VALUE"""),"CSE350-10A (LAB)
SDQ,TSE
12B-20L")</f>
        <v>CSE350-10A (LAB)
SDQ,TSE
12B-20L</v>
      </c>
      <c r="H10" s="90" t="str">
        <f>IFERROR(__xludf.DUMMYFUNCTION("""COMPUTED_VALUE"""),"Consultation")</f>
        <v>Consultation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IFERROR(__xludf.DUMMYFUNCTION("""COMPUTED_VALUE"""),"CSE250-11A (LAB)
SDQ,HMH
12B-20L")</f>
        <v>CSE250-11A (LAB)
SDQ,HMH
12B-20L</v>
      </c>
      <c r="E11" s="90" t="str">
        <f>IFERROR(__xludf.DUMMYFUNCTION("""COMPUTED_VALUE"""),"CSE250-11A (LAB)
SDQ,HMH
12B-20L")</f>
        <v>CSE250-11A (LAB)
SDQ,HMH
12B-20L</v>
      </c>
      <c r="F11" s="90" t="str">
        <f>IFERROR(__xludf.DUMMYFUNCTION("""COMPUTED_VALUE"""),"Consultation")</f>
        <v>Consultation</v>
      </c>
      <c r="G11" s="90" t="str">
        <f>IFERROR(__xludf.DUMMYFUNCTION("""COMPUTED_VALUE"""),"CSE428-03
10B-16C")</f>
        <v>CSE428-03
10B-16C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IFERROR(__xludf.DUMMYFUNCTION("""COMPUTED_VALUE"""),"CSE251-08B (LAB)
SDQ,NFS
12B-20L")</f>
        <v>CSE251-08B (LAB)
SDQ,NFS
12B-20L</v>
      </c>
      <c r="E12" s="90" t="str">
        <f>IFERROR(__xludf.DUMMYFUNCTION("""COMPUTED_VALUE"""),"CSE251-08B (LAB)
SDQ,NFS
12B-20L")</f>
        <v>CSE251-08B (LAB)
SDQ,NFS
12B-20L</v>
      </c>
      <c r="F12" s="90" t="str">
        <f>IFERROR(__xludf.DUMMYFUNCTION("""COMPUTED_VALUE"""),"CSE428-03 (LAB)
SDQ,MOM
09B-10L")</f>
        <v>CSE428-03 (LAB)
SDQ,MOM
09B-10L</v>
      </c>
      <c r="G12" s="90" t="str">
        <f>IFERROR(__xludf.DUMMYFUNCTION("""COMPUTED_VALUE"""),"CSE428-03 (LAB)
SDQ,MOM
09B-10L")</f>
        <v>CSE428-03 (LAB)
SDQ,MOM
09B-10L</v>
      </c>
      <c r="H12" s="90" t="str">
        <f>IFERROR(__xludf.DUMMYFUNCTION("""COMPUTED_VALUE"""),"Consultation")</f>
        <v>Consultation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IFERROR(__xludf.DUMMYFUNCTION("""COMPUTED_VALUE"""),"CSE250-04B (LAB)
SDQ,SEF
12B-20L")</f>
        <v>CSE250-04B (LAB)
SDQ,SEF
12B-20L</v>
      </c>
      <c r="E13" s="90" t="str">
        <f>IFERROR(__xludf.DUMMYFUNCTION("""COMPUTED_VALUE"""),"CSE250-04B (LAB)
SDQ,SEF
12B-20L")</f>
        <v>CSE250-04B (LAB)
SDQ,SEF
12B-20L</v>
      </c>
      <c r="F13" s="90" t="str">
        <f>IFERROR(__xludf.DUMMYFUNCTION("""COMPUTED_VALUE"""),"Consultation")</f>
        <v>Consultation</v>
      </c>
      <c r="G13" s="90" t="str">
        <f>IFERROR(__xludf.DUMMYFUNCTION("""COMPUTED_VALUE"""),"CSE428-03
10B-16C")</f>
        <v>CSE428-03
10B-16C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IFERROR(__xludf.DUMMYFUNCTION("""COMPUTED_VALUE"""),"CSE251-05B (LAB)
SDQ,SZZ
12B-20L")</f>
        <v>CSE251-05B (LAB)
SDQ,SZZ
12B-20L</v>
      </c>
      <c r="E14" s="90" t="str">
        <f>IFERROR(__xludf.DUMMYFUNCTION("""COMPUTED_VALUE"""),"CSE251-05B (LAB)
SDQ,SZZ
12B-20L")</f>
        <v>CSE251-05B (LAB)
SDQ,SZZ
12B-20L</v>
      </c>
      <c r="F14" s="90" t="str">
        <f>IFERROR(__xludf.DUMMYFUNCTION("""COMPUTED_VALUE"""),"CSE250-02B (LAB)
SDQ,AKDB
12B-20L")</f>
        <v>CSE250-02B (LAB)
SDQ,AKDB
12B-20L</v>
      </c>
      <c r="G14" s="90" t="str">
        <f>IFERROR(__xludf.DUMMYFUNCTION("""COMPUTED_VALUE"""),"CSE250-02B (LAB)
SDQ,AKDB
12B-20L")</f>
        <v>CSE250-02B (LAB)
SDQ,AKDB
12B-20L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Shadman Shahriar</v>
      </c>
      <c r="E4" s="57"/>
      <c r="F4" s="58" t="s">
        <v>1</v>
      </c>
      <c r="G4" s="59" t="s">
        <v>136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shadman.shahriar@bracu.ac.bd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IFERROR(__xludf.DUMMYFUNCTION("""COMPUTED_VALUE"""),"CSE481-01
10A-04C")</f>
        <v>CSE481-01
10A-04C</v>
      </c>
      <c r="C11" s="90" t="str">
        <f>IFERROR(__xludf.DUMMYFUNCTION("""COMPUTED_VALUE"""),"")</f>
        <v/>
      </c>
      <c r="D11" s="90" t="str">
        <f>IFERROR(__xludf.DUMMYFUNCTION("""COMPUTED_VALUE"""),"CSE250-06A
10B-17C,CSE250-06B
10B-17C")</f>
        <v>CSE250-06A
10B-17C,CSE250-06B
10B-17C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IFERROR(__xludf.DUMMYFUNCTION("""COMPUTED_VALUE"""),"CSE481-01
10A-04C")</f>
        <v>CSE481-01
10A-04C</v>
      </c>
      <c r="C13" s="90" t="str">
        <f>IFERROR(__xludf.DUMMYFUNCTION("""COMPUTED_VALUE"""),"")</f>
        <v/>
      </c>
      <c r="D13" s="90" t="str">
        <f>IFERROR(__xludf.DUMMYFUNCTION("""COMPUTED_VALUE"""),"CSE250-06A
10B-17C,CSE250-06B
10B-17C")</f>
        <v>CSE250-06A
10B-17C,CSE250-06B
10B-17C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IFERROR(__xludf.DUMMYFUNCTION("""COMPUTED_VALUE"""),"CSE481-01 (LAB)
SDS,NFS
09B-10L")</f>
        <v>CSE481-01 (LAB)
SDS,NFS
09B-10L</v>
      </c>
      <c r="C14" s="90" t="str">
        <f>IFERROR(__xludf.DUMMYFUNCTION("""COMPUTED_VALUE"""),"CSE481-01 (LAB)
SDS,NFS
09B-10L")</f>
        <v>CSE481-01 (LAB)
SDS,NFS
09B-10L</v>
      </c>
      <c r="D14" s="90" t="str">
        <f>IFERROR(__xludf.DUMMYFUNCTION("""COMPUTED_VALUE"""),"CSE251-05A (LAB)
SDS,PDS
12B-20L")</f>
        <v>CSE251-05A (LAB)
SDS,PDS
12B-20L</v>
      </c>
      <c r="E14" s="90" t="str">
        <f>IFERROR(__xludf.DUMMYFUNCTION("""COMPUTED_VALUE"""),"CSE251-05A (LAB)
SDS,PDS
12B-20L")</f>
        <v>CSE251-05A (LAB)
SDS,PDS
12B-20L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Shomen Kundu</v>
      </c>
      <c r="E4" s="57"/>
      <c r="F4" s="58" t="s">
        <v>1</v>
      </c>
      <c r="G4" s="59" t="s">
        <v>137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shomen.kundu@bracu.ac.bd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IFERROR(__xludf.DUMMYFUNCTION("""COMPUTED_VALUE"""),"CSE350-01A
07H-26C,CSE350-01B
07H-26C")</f>
        <v>CSE350-01A
07H-26C,CSE350-01B
07H-26C</v>
      </c>
      <c r="C10" s="90" t="str">
        <f>IFERROR(__xludf.DUMMYFUNCTION("""COMPUTED_VALUE"""),"Consultation")</f>
        <v>Consultation</v>
      </c>
      <c r="D10" s="90" t="str">
        <f>IFERROR(__xludf.DUMMYFUNCTION("""COMPUTED_VALUE"""),"CSE460-03
10B-17C")</f>
        <v>CSE460-03
10B-17C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IFERROR(__xludf.DUMMYFUNCTION("""COMPUTED_VALUE"""),"CSE460-04 (LAB)
SDU,UPM
09E-21L")</f>
        <v>CSE460-04 (LAB)
SDU,UPM
09E-21L</v>
      </c>
      <c r="E11" s="90" t="str">
        <f>IFERROR(__xludf.DUMMYFUNCTION("""COMPUTED_VALUE"""),"CSE460-04 (LAB)
SDU,UPM
09E-21L")</f>
        <v>CSE460-04 (LAB)
SDU,UPM
09E-21L</v>
      </c>
      <c r="F11" s="90" t="str">
        <f>IFERROR(__xludf.DUMMYFUNCTION("""COMPUTED_VALUE"""),"CSE350-09A (LAB)
SDU,SZZ
12B-20L")</f>
        <v>CSE350-09A (LAB)
SDU,SZZ
12B-20L</v>
      </c>
      <c r="G11" s="90" t="str">
        <f>IFERROR(__xludf.DUMMYFUNCTION("""COMPUTED_VALUE"""),"CSE350-09A (LAB)
SDU,SZZ
12B-20L")</f>
        <v>CSE350-09A (LAB)
SDU,SZZ
12B-20L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IFERROR(__xludf.DUMMYFUNCTION("""COMPUTED_VALUE"""),"CSE350-01A
07H-26C,CSE350-01B
07H-26C")</f>
        <v>CSE350-01A
07H-26C,CSE350-01B
07H-26C</v>
      </c>
      <c r="C12" s="90" t="str">
        <f>IFERROR(__xludf.DUMMYFUNCTION("""COMPUTED_VALUE"""),"Consultation")</f>
        <v>Consultation</v>
      </c>
      <c r="D12" s="90" t="str">
        <f>IFERROR(__xludf.DUMMYFUNCTION("""COMPUTED_VALUE"""),"CSE460-03
10B-17C")</f>
        <v>CSE460-03
10B-17C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IFERROR(__xludf.DUMMYFUNCTION("""COMPUTED_VALUE"""),"CSE460-10 (LAB)
SDU,RAS
09E-22L")</f>
        <v>CSE460-10 (LAB)
SDU,RAS
09E-22L</v>
      </c>
      <c r="C13" s="90" t="str">
        <f>IFERROR(__xludf.DUMMYFUNCTION("""COMPUTED_VALUE"""),"CSE460-10 (LAB)
SDU,RAS
09E-22L")</f>
        <v>CSE460-10 (LAB)
SDU,RAS
09E-22L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IFERROR(__xludf.DUMMYFUNCTION("""COMPUTED_VALUE"""),"CSE350-02A (LAB)
SDU,ZAZ
FT10-01L")</f>
        <v>CSE350-02A (LAB)
SDU,ZAZ
FT10-01L</v>
      </c>
      <c r="G13" s="90" t="str">
        <f>IFERROR(__xludf.DUMMYFUNCTION("""COMPUTED_VALUE"""),"CSE350-02A (LAB)
SDU,ZAZ
FT10-01L")</f>
        <v>CSE350-02A (LAB)
SDU,ZAZ
FT10-01L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IFERROR(__xludf.DUMMYFUNCTION("""COMPUTED_VALUE"""),"CSE350-05A (LAB)
SDU,NUR
FT10-01L")</f>
        <v>CSE350-05A (LAB)
SDU,NUR
FT10-01L</v>
      </c>
      <c r="E14" s="90" t="str">
        <f>IFERROR(__xludf.DUMMYFUNCTION("""COMPUTED_VALUE"""),"CSE350-05A (LAB)
SDU,NUR
FT10-01L")</f>
        <v>CSE350-05A (LAB)
SDU,NUR
FT10-01L</v>
      </c>
      <c r="F14" s="90" t="str">
        <f>IFERROR(__xludf.DUMMYFUNCTION("""COMPUTED_VALUE"""),"CSE460-03 (LAB)
SDU,ARPD
09E-21L")</f>
        <v>CSE460-03 (LAB)
SDU,ARPD
09E-21L</v>
      </c>
      <c r="G14" s="90" t="str">
        <f>IFERROR(__xludf.DUMMYFUNCTION("""COMPUTED_VALUE"""),"CSE460-03 (LAB)
SDU,ARPD
09E-21L")</f>
        <v>CSE460-03 (LAB)
SDU,ARPD
09E-21L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Sheikh Iftekhar Ahmed</v>
      </c>
      <c r="E4" s="57"/>
      <c r="F4" s="58" t="s">
        <v>1</v>
      </c>
      <c r="G4" s="59" t="s">
        <v>241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ext.sheikh.ahmed@bracu.ac.bd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IFERROR(__xludf.DUMMYFUNCTION("""COMPUTED_VALUE"""),"CSE251-09A
09A-01C,CSE251-09B
09A-01C")</f>
        <v>CSE251-09A
09A-01C,CSE251-09B
09A-01C</v>
      </c>
      <c r="D9" s="86" t="str">
        <f>IFERROR(__xludf.DUMMYFUNCTION("""COMPUTED_VALUE"""),"CSE251-01A (LAB)
SEF,SZZ
12B-20L")</f>
        <v>CSE251-01A (LAB)
SEF,SZZ
12B-20L</v>
      </c>
      <c r="E9" s="86" t="str">
        <f>IFERROR(__xludf.DUMMYFUNCTION("""COMPUTED_VALUE"""),"CSE251-01A (LAB)
SEF,SZZ
12B-20L")</f>
        <v>CSE251-01A (LAB)
SEF,SZZ
12B-20L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IFERROR(__xludf.DUMMYFUNCTION("""COMPUTED_VALUE"""),"CSE350-08A (LAB)
AKJ,SEF
FT10-01L")</f>
        <v>CSE350-08A (LAB)
AKJ,SEF
FT10-01L</v>
      </c>
      <c r="C10" s="90" t="str">
        <f>IFERROR(__xludf.DUMMYFUNCTION("""COMPUTED_VALUE"""),"CSE350-08A (LAB)
AKJ,SEF
FT10-01L")</f>
        <v>CSE350-08A (LAB)
AKJ,SEF
FT10-01L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IFERROR(__xludf.DUMMYFUNCTION("""COMPUTED_VALUE"""),"CSE251-04A (LAB)
SZZ,SEF
12B-20L")</f>
        <v>CSE251-04A (LAB)
SZZ,SEF
12B-20L</v>
      </c>
      <c r="C13" s="90" t="str">
        <f>IFERROR(__xludf.DUMMYFUNCTION("""COMPUTED_VALUE"""),"CSE251-04A (LAB)
SZZ,SEF
12B-20L")</f>
        <v>CSE251-04A (LAB)
SZZ,SEF
12B-20L</v>
      </c>
      <c r="D13" s="90" t="str">
        <f>IFERROR(__xludf.DUMMYFUNCTION("""COMPUTED_VALUE"""),"CSE250-04B (LAB)
SDQ,SEF
12B-20L")</f>
        <v>CSE250-04B (LAB)
SDQ,SEF
12B-20L</v>
      </c>
      <c r="E13" s="90" t="str">
        <f>IFERROR(__xludf.DUMMYFUNCTION("""COMPUTED_VALUE"""),"CSE250-04B (LAB)
SDQ,SEF
12B-20L")</f>
        <v>CSE250-04B (LAB)
SDQ,SEF
12B-20L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IFERROR(__xludf.DUMMYFUNCTION("""COMPUTED_VALUE"""),"CSE251-09A
09A-01C,CSE251-09B
09A-01C")</f>
        <v>CSE251-09A
09A-01C,CSE251-09B
09A-01C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IFERROR(__xludf.DUMMYFUNCTION("""COMPUTED_VALUE"""),"CSE250-02A (LAB)
PDS,SEF
12B-20L")</f>
        <v>CSE250-02A (LAB)
PDS,SEF
12B-20L</v>
      </c>
      <c r="G14" s="90" t="str">
        <f>IFERROR(__xludf.DUMMYFUNCTION("""COMPUTED_VALUE"""),"CSE250-02A (LAB)
PDS,SEF
12B-20L")</f>
        <v>CSE250-02A (LAB)
PDS,SEF
12B-20L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Asif Shahriar</v>
      </c>
      <c r="E4" s="57"/>
      <c r="F4" s="58" t="s">
        <v>1</v>
      </c>
      <c r="G4" s="59" t="s">
        <v>138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asif.shahriar@bracu.ac.bd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 by appointment only")</f>
        <v>Consultation by appointment only</v>
      </c>
      <c r="E10" s="90" t="str">
        <f>IFERROR(__xludf.DUMMYFUNCTION("""COMPUTED_VALUE"""),"CSE320-13
09A-06C")</f>
        <v>CSE320-13
09A-06C</v>
      </c>
      <c r="F10" s="90" t="str">
        <f>IFERROR(__xludf.DUMMYFUNCTION("""COMPUTED_VALUE"""),"CSE422-20 (LAB)
SHAH,YND
09F-26L")</f>
        <v>CSE422-20 (LAB)
SHAH,YND
09F-26L</v>
      </c>
      <c r="G10" s="90" t="str">
        <f>IFERROR(__xludf.DUMMYFUNCTION("""COMPUTED_VALUE"""),"CSE422-20 (LAB)
SHAH,YND
09F-26L")</f>
        <v>CSE422-20 (LAB)
SHAH,YND
09F-26L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IFERROR(__xludf.DUMMYFUNCTION("""COMPUTED_VALUE"""),"Consultation by appointment only")</f>
        <v>Consultation by appointment only</v>
      </c>
      <c r="G11" s="90" t="str">
        <f>IFERROR(__xludf.DUMMYFUNCTION("""COMPUTED_VALUE"""),"CSE422-16
09E-20T,CSE422-17
09E-20T,CSE422-18
09E-20T")</f>
        <v>CSE422-16
09E-20T,CSE422-17
09E-20T,CSE422-18
09E-20T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 by appointment only")</f>
        <v>Consultation by appointment only</v>
      </c>
      <c r="E12" s="90" t="str">
        <f>IFERROR(__xludf.DUMMYFUNCTION("""COMPUTED_VALUE"""),"CSE320-13
09A-06C")</f>
        <v>CSE320-13
09A-06C</v>
      </c>
      <c r="F12" s="90" t="str">
        <f>IFERROR(__xludf.DUMMYFUNCTION("""COMPUTED_VALUE"""),"CSE422-21 (LAB)
AYO,SHAH
09F-26L")</f>
        <v>CSE422-21 (LAB)
AYO,SHAH
09F-26L</v>
      </c>
      <c r="G12" s="90" t="str">
        <f>IFERROR(__xludf.DUMMYFUNCTION("""COMPUTED_VALUE"""),"CSE422-21 (LAB)
AYO,SHAH
09F-26L")</f>
        <v>CSE422-21 (LAB)
AYO,SHAH
09F-26L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IFERROR(__xludf.DUMMYFUNCTION("""COMPUTED_VALUE"""),"Consultation by appointment only")</f>
        <v>Consultation by appointment only</v>
      </c>
      <c r="G13" s="90" t="str">
        <f>IFERROR(__xludf.DUMMYFUNCTION("""COMPUTED_VALUE"""),"CSE422-16
09E-20T,CSE422-17
09E-20T,CSE422-18
09E-20T")</f>
        <v>CSE422-16
09E-20T,CSE422-17
09E-20T,CSE422-18
09E-20T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Sahib Kowsar</v>
      </c>
      <c r="E4" s="57"/>
      <c r="F4" s="58" t="s">
        <v>1</v>
      </c>
      <c r="G4" s="59" t="s">
        <v>139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sahib.kowsar@bracu.ac.bd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4L91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IFERROR(__xludf.DUMMYFUNCTION("""COMPUTED_VALUE"""),"CSE321-14
09A-02C")</f>
        <v>CSE321-14
09A-02C</v>
      </c>
      <c r="C9" s="86" t="str">
        <f>IFERROR(__xludf.DUMMYFUNCTION("""COMPUTED_VALUE"""),"CSE321-15
09A-02C")</f>
        <v>CSE321-15
09A-02C</v>
      </c>
      <c r="D9" s="86" t="str">
        <f>IFERROR(__xludf.DUMMYFUNCTION("""COMPUTED_VALUE"""),"")</f>
        <v/>
      </c>
      <c r="E9" s="86" t="str">
        <f>IFERROR(__xludf.DUMMYFUNCTION("""COMPUTED_VALUE"""),"CSE321-16
09H-32C")</f>
        <v>CSE321-16
09H-32C</v>
      </c>
      <c r="F9" s="86" t="str">
        <f>IFERROR(__xludf.DUMMYFUNCTION("""COMPUTED_VALUE"""),"CSE330-10 (LAB)
SHBK,KBS
10G-34L")</f>
        <v>CSE330-10 (LAB)
SHBK,KBS
10G-34L</v>
      </c>
      <c r="G9" s="86" t="str">
        <f>IFERROR(__xludf.DUMMYFUNCTION("""COMPUTED_VALUE"""),"CSE330-10 (LAB)
SHBK,KBS
10G-34L")</f>
        <v>CSE330-10 (LAB)
SHBK,KBS
10G-34L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IFERROR(__xludf.DUMMYFUNCTION("""COMPUTED_VALUE"""),"CSE360-08
09H-35C")</f>
        <v>CSE360-08
09H-35C</v>
      </c>
      <c r="C10" s="90" t="str">
        <f>IFERROR(__xludf.DUMMYFUNCTION("""COMPUTED_VALUE"""),"Consultation")</f>
        <v>Consultation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IFERROR(__xludf.DUMMYFUNCTION("""COMPUTED_VALUE"""),"CSE360-08
09H-35C")</f>
        <v>CSE360-08
09H-35C</v>
      </c>
      <c r="C12" s="90" t="str">
        <f>IFERROR(__xludf.DUMMYFUNCTION("""COMPUTED_VALUE"""),"Consultation")</f>
        <v>Consultation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IFERROR(__xludf.DUMMYFUNCTION("""COMPUTED_VALUE"""),"CSE321-14
09A-02C")</f>
        <v>CSE321-14
09A-02C</v>
      </c>
      <c r="C14" s="90" t="str">
        <f>IFERROR(__xludf.DUMMYFUNCTION("""COMPUTED_VALUE"""),"CSE321-15
09A-02C")</f>
        <v>CSE321-15
09A-02C</v>
      </c>
      <c r="D14" s="90" t="str">
        <f>IFERROR(__xludf.DUMMYFUNCTION("""COMPUTED_VALUE"""),"")</f>
        <v/>
      </c>
      <c r="E14" s="90" t="str">
        <f>IFERROR(__xludf.DUMMYFUNCTION("""COMPUTED_VALUE"""),"CSE321-16
09H-32C")</f>
        <v>CSE321-16
09H-32C</v>
      </c>
      <c r="F14" s="90" t="str">
        <f>IFERROR(__xludf.DUMMYFUNCTION("""COMPUTED_VALUE"""),"CSE330-13 (LAB)
AQU,SHBK
12D-27L")</f>
        <v>CSE330-13 (LAB)
AQU,SHBK
12D-27L</v>
      </c>
      <c r="G14" s="90" t="str">
        <f>IFERROR(__xludf.DUMMYFUNCTION("""COMPUTED_VALUE"""),"CSE330-13 (LAB)
AQU,SHBK
12D-27L")</f>
        <v>CSE330-13 (LAB)
AQU,SHBK
12D-27L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IFERROR(__xludf.DUMMYFUNCTION("""COMPUTED_VALUE"""),5.0)</f>
        <v>5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 Shamsuzzoha Bayzid</v>
      </c>
      <c r="E4" s="57"/>
      <c r="F4" s="58" t="s">
        <v>1</v>
      </c>
      <c r="G4" s="59" t="s">
        <v>242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ext.shams.bayzid@bracu.ac.bd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IFERROR(__xludf.DUMMYFUNCTION("""COMPUTED_VALUE"""),"CSE220-04
10A-05C")</f>
        <v>CSE220-04
10A-05C</v>
      </c>
      <c r="C9" s="86" t="str">
        <f>IFERROR(__xludf.DUMMYFUNCTION("""COMPUTED_VALUE"""),"CSE220-05
10A-05C")</f>
        <v>CSE220-05
10A-05C</v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IFERROR(__xludf.DUMMYFUNCTION("""COMPUTED_VALUE"""),"CSE220-04
10A-05C")</f>
        <v>CSE220-04
10A-05C</v>
      </c>
      <c r="C14" s="90" t="str">
        <f>IFERROR(__xludf.DUMMYFUNCTION("""COMPUTED_VALUE"""),"CSE220-05
10A-05C")</f>
        <v>CSE220-05
10A-05C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Shourov Joarder</v>
      </c>
      <c r="E4" s="57"/>
      <c r="F4" s="58" t="s">
        <v>1</v>
      </c>
      <c r="G4" s="59" t="s">
        <v>243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ext.shourov.joarder@bracu.ac.bd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IFERROR(__xludf.DUMMYFUNCTION("""COMPUTED_VALUE"""),"CSE251-01B (LAB)
MOM,SHJR
12B-20L")</f>
        <v>CSE251-01B (LAB)
MOM,SHJR
12B-20L</v>
      </c>
      <c r="E9" s="86" t="str">
        <f>IFERROR(__xludf.DUMMYFUNCTION("""COMPUTED_VALUE"""),"CSE251-01B (LAB)
MOM,SHJR
12B-20L")</f>
        <v>CSE251-01B (LAB)
MOM,SHJR
12B-20L</v>
      </c>
      <c r="F9" s="86" t="str">
        <f>IFERROR(__xludf.DUMMYFUNCTION("""COMPUTED_VALUE"""),"CSE350-11A
07H-26C")</f>
        <v>CSE350-11A
07H-26C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IFERROR(__xludf.DUMMYFUNCTION("""COMPUTED_VALUE"""),"CSE350-07B (LAB)
FFR,SHJR
12B-20L")</f>
        <v>CSE350-07B (LAB)
FFR,SHJR
12B-20L</v>
      </c>
      <c r="C12" s="90" t="str">
        <f>IFERROR(__xludf.DUMMYFUNCTION("""COMPUTED_VALUE"""),"CSE350-07B (LAB)
FFR,SHJR
12B-20L")</f>
        <v>CSE350-07B (LAB)
FFR,SHJR
12B-20L</v>
      </c>
      <c r="D12" s="90" t="str">
        <f>IFERROR(__xludf.DUMMYFUNCTION("""COMPUTED_VALUE"""),"CSE428-01 (LAB)
TAV,SHJR
09F-26L")</f>
        <v>CSE428-01 (LAB)
TAV,SHJR
09F-26L</v>
      </c>
      <c r="E12" s="90" t="str">
        <f>IFERROR(__xludf.DUMMYFUNCTION("""COMPUTED_VALUE"""),"CSE428-01 (LAB)
TAV,SHJR
09F-26L")</f>
        <v>CSE428-01 (LAB)
TAV,SHJR
09F-26L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IFERROR(__xludf.DUMMYFUNCTION("""COMPUTED_VALUE"""),"CSE251-02B (LAB)
UPM,SHJR
FT11-01L")</f>
        <v>CSE251-02B (LAB)
UPM,SHJR
FT11-01L</v>
      </c>
      <c r="C14" s="90" t="str">
        <f>IFERROR(__xludf.DUMMYFUNCTION("""COMPUTED_VALUE"""),"CSE251-02B (LAB)
UPM,SHJR
FT11-01L")</f>
        <v>CSE251-02B (LAB)
UPM,SHJR
FT11-01L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IFERROR(__xludf.DUMMYFUNCTION("""COMPUTED_VALUE"""),"CSE350-11A
07H-26C")</f>
        <v>CSE350-11A
07H-26C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Shahriar Rahman Rana</v>
      </c>
      <c r="E4" s="57"/>
      <c r="F4" s="58" t="s">
        <v>1</v>
      </c>
      <c r="G4" s="59" t="s">
        <v>140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shahriar.rahman@bracu.ac.bd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IFERROR(__xludf.DUMMYFUNCTION("""COMPUTED_VALUE"""),"CSE470-01
10B-16C")</f>
        <v>CSE470-01
10B-16C</v>
      </c>
      <c r="D10" s="90" t="str">
        <f>IFERROR(__xludf.DUMMYFUNCTION("""COMPUTED_VALUE"""),"CSE470-02
10B-16C")</f>
        <v>CSE470-02
10B-16C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IFERROR(__xludf.DUMMYFUNCTION("""COMPUTED_VALUE"""),"CSE320-05
09H-34C")</f>
        <v>CSE320-05
09H-34C</v>
      </c>
      <c r="D11" s="90" t="str">
        <f>IFERROR(__xludf.DUMMYFUNCTION("""COMPUTED_VALUE"""),"CSE320-06
09H-34C")</f>
        <v>CSE320-06
09H-34C</v>
      </c>
      <c r="E11" s="90" t="str">
        <f>IFERROR(__xludf.DUMMYFUNCTION("""COMPUTED_VALUE"""),"Consultation")</f>
        <v>Consultation</v>
      </c>
      <c r="F11" s="90" t="str">
        <f>IFERROR(__xludf.DUMMYFUNCTION("""COMPUTED_VALUE"""),"CSE370-06 (LAB)
SHRR,MAU
12F-32L")</f>
        <v>CSE370-06 (LAB)
SHRR,MAU
12F-32L</v>
      </c>
      <c r="G11" s="90" t="str">
        <f>IFERROR(__xludf.DUMMYFUNCTION("""COMPUTED_VALUE"""),"CSE370-06 (LAB)
SHRR,MAU
12F-32L")</f>
        <v>CSE370-06 (LAB)
SHRR,MAU
12F-32L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IFERROR(__xludf.DUMMYFUNCTION("""COMPUTED_VALUE"""),"CSE470-01
10B-16C")</f>
        <v>CSE470-01
10B-16C</v>
      </c>
      <c r="D12" s="90" t="str">
        <f>IFERROR(__xludf.DUMMYFUNCTION("""COMPUTED_VALUE"""),"CSE470-02
10B-16C")</f>
        <v>CSE470-02
10B-16C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IFERROR(__xludf.DUMMYFUNCTION("""COMPUTED_VALUE"""),"CSE320-05
09H-34C")</f>
        <v>CSE320-05
09H-34C</v>
      </c>
      <c r="D13" s="90" t="str">
        <f>IFERROR(__xludf.DUMMYFUNCTION("""COMPUTED_VALUE"""),"CSE320-06
09H-34C")</f>
        <v>CSE320-06
09H-34C</v>
      </c>
      <c r="E13" s="90" t="str">
        <f>IFERROR(__xludf.DUMMYFUNCTION("""COMPUTED_VALUE"""),"Consultation")</f>
        <v>Consultation</v>
      </c>
      <c r="F13" s="90" t="str">
        <f>IFERROR(__xludf.DUMMYFUNCTION("""COMPUTED_VALUE"""),"CSE370-14 (LAB)
SHRR,MAU
12F-30L")</f>
        <v>CSE370-14 (LAB)
SHRR,MAU
12F-30L</v>
      </c>
      <c r="G13" s="90" t="str">
        <f>IFERROR(__xludf.DUMMYFUNCTION("""COMPUTED_VALUE"""),"CSE370-14 (LAB)
SHRR,MAU
12F-30L")</f>
        <v>CSE370-14 (LAB)
SHRR,MAU
12F-30L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Sajid Imam Mahir</v>
      </c>
      <c r="E4" s="57"/>
      <c r="F4" s="58" t="s">
        <v>1</v>
      </c>
      <c r="G4" s="59" t="s">
        <v>244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ext.sajid.mahir@bracu.ac.bd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IFERROR(__xludf.DUMMYFUNCTION("""COMPUTED_VALUE"""),"CSE447-01 (LAB)
AKHD,SJM
09F-24L")</f>
        <v>CSE447-01 (LAB)
AKHD,SJM
09F-24L</v>
      </c>
      <c r="C9" s="86" t="str">
        <f>IFERROR(__xludf.DUMMYFUNCTION("""COMPUTED_VALUE"""),"CSE447-01 (LAB)
AKHD,SJM
09F-24L")</f>
        <v>CSE447-01 (LAB)
AKHD,SJM
09F-24L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IFERROR(__xludf.DUMMYFUNCTION("""COMPUTED_VALUE"""),"CSE221-11 (LAB)
FDZ,SJM
09B-09L")</f>
        <v>CSE221-11 (LAB)
FDZ,SJM
09B-09L</v>
      </c>
      <c r="G9" s="86" t="str">
        <f>IFERROR(__xludf.DUMMYFUNCTION("""COMPUTED_VALUE"""),"CSE221-11 (LAB)
FDZ,SJM
09B-09L")</f>
        <v>CSE221-11 (LAB)
FDZ,SJM
09B-09L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IFERROR(__xludf.DUMMYFUNCTION("""COMPUTED_VALUE"""),"CSE221-23 (LAB)
FBAW,SJM
09F-24L")</f>
        <v>CSE221-23 (LAB)
FBAW,SJM
09F-24L</v>
      </c>
      <c r="C10" s="90" t="str">
        <f>IFERROR(__xludf.DUMMYFUNCTION("""COMPUTED_VALUE"""),"CSE221-23 (LAB)
FBAW,SJM
09F-24L")</f>
        <v>CSE221-23 (LAB)
FBAW,SJM
09F-24L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IFERROR(__xludf.DUMMYFUNCTION("""COMPUTED_VALUE"""),"CSE490B-01 (LAB)
ZMD,SJM
10G-34L")</f>
        <v>CSE490B-01 (LAB)
ZMD,SJM
10G-34L</v>
      </c>
      <c r="G10" s="90" t="str">
        <f>IFERROR(__xludf.DUMMYFUNCTION("""COMPUTED_VALUE"""),"CSE490B-01 (LAB)
ZMD,SJM
10G-34L")</f>
        <v>CSE490B-01 (LAB)
ZMD,SJM
10G-34L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IFERROR(__xludf.DUMMYFUNCTION("""COMPUTED_VALUE"""),"CSE446-01 (LAB)
MLH,SJM
10E-27L")</f>
        <v>CSE446-01 (LAB)
MLH,SJM
10E-27L</v>
      </c>
      <c r="E12" s="90" t="str">
        <f>IFERROR(__xludf.DUMMYFUNCTION("""COMPUTED_VALUE"""),"CSE446-01 (LAB)
MLH,SJM
10E-27L")</f>
        <v>CSE446-01 (LAB)
MLH,SJM
10E-27L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IFERROR(__xludf.DUMMYFUNCTION("""COMPUTED_VALUE"""),"CSE321-24 (LAB)
SJM,NMP
12D-26L")</f>
        <v>CSE321-24 (LAB)
SJM,NMP
12D-26L</v>
      </c>
      <c r="E14" s="90" t="str">
        <f>IFERROR(__xludf.DUMMYFUNCTION("""COMPUTED_VALUE"""),"CSE321-24 (LAB)
SJM,NMP
12D-26L")</f>
        <v>CSE321-24 (LAB)
SJM,NMP
12D-26L</v>
      </c>
      <c r="F14" s="90" t="str">
        <f>IFERROR(__xludf.DUMMYFUNCTION("""COMPUTED_VALUE"""),"CSE321-22 (LAB)
CRHB,SJM
10G-34L")</f>
        <v>CSE321-22 (LAB)
CRHB,SJM
10G-34L</v>
      </c>
      <c r="G14" s="90" t="str">
        <f>IFERROR(__xludf.DUMMYFUNCTION("""COMPUTED_VALUE"""),"CSE321-22 (LAB)
CRHB,SJM
10G-34L")</f>
        <v>CSE321-22 (LAB)
CRHB,SJM
10G-34L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IFERROR(__xludf.DUMMYFUNCTION("""COMPUTED_VALUE"""),"KINDLY DM or, MAIL before joining.")</f>
        <v>KINDLY DM or, MAIL before joining.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Nazmus Sakib Ahmed</v>
      </c>
      <c r="E4" s="57"/>
      <c r="F4" s="58" t="s">
        <v>1</v>
      </c>
      <c r="G4" s="59" t="s">
        <v>141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nazmus.sakib@bracu.ac.bd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4P174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IFERROR(__xludf.DUMMYFUNCTION("""COMPUTED_VALUE"""),"CSE423-18
09A-02C")</f>
        <v>CSE423-18
09A-02C</v>
      </c>
      <c r="G9" s="86" t="str">
        <f>IFERROR(__xludf.DUMMYFUNCTION("""COMPUTED_VALUE"""),"CSE470-18
09A-02C")</f>
        <v>CSE470-18
09A-02C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IFERROR(__xludf.DUMMYFUNCTION("""COMPUTED_VALUE"""),"CSE220-02 (LAB)
ASMN,SKIB
09B-09L")</f>
        <v>CSE220-02 (LAB)
ASMN,SKIB
09B-09L</v>
      </c>
      <c r="C10" s="90" t="str">
        <f>IFERROR(__xludf.DUMMYFUNCTION("""COMPUTED_VALUE"""),"CSE220-02 (LAB)
ASMN,SKIB
09B-09L")</f>
        <v>CSE220-02 (LAB)
ASMN,SKIB
09B-09L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IFERROR(__xludf.DUMMYFUNCTION("""COMPUTED_VALUE"""),"CSE220-08 (LAB)
RAK,SKIB
09B-09L")</f>
        <v>CSE220-08 (LAB)
RAK,SKIB
09B-09L</v>
      </c>
      <c r="G10" s="90" t="str">
        <f>IFERROR(__xludf.DUMMYFUNCTION("""COMPUTED_VALUE"""),"CSE220-08 (LAB)
RAK,SKIB
09B-09L")</f>
        <v>CSE220-08 (LAB)
RAK,SKIB
09B-09L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IFERROR(__xludf.DUMMYFUNCTION("""COMPUTED_VALUE"""),"CSE423-08 (LAB)
SMUR,SKIB
09E-22L,CSE423-09 (LAB)
SMUR,SKIB
09E-22L")</f>
        <v>CSE423-08 (LAB)
SMUR,SKIB
09E-22L,CSE423-09 (LAB)
SMUR,SKIB
09E-22L</v>
      </c>
      <c r="C11" s="90" t="str">
        <f>IFERROR(__xludf.DUMMYFUNCTION("""COMPUTED_VALUE"""),"CSE423-08 (LAB)
SMUR,SKIB
09E-22L,CSE423-09 (LAB)
SMUR,SKIB
09E-22L")</f>
        <v>CSE423-08 (LAB)
SMUR,SKIB
09E-22L,CSE423-09 (LAB)
SMUR,SKIB
09E-22L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IFERROR(__xludf.DUMMYFUNCTION("""COMPUTED_VALUE"""),"CSE220-20 (LAB)
SKIB,CSSA
09B-10L")</f>
        <v>CSE220-20 (LAB)
SKIB,CSSA
09B-10L</v>
      </c>
      <c r="G11" s="90" t="str">
        <f>IFERROR(__xludf.DUMMYFUNCTION("""COMPUTED_VALUE"""),"CSE220-20 (LAB)
SKIB,CSSA
09B-10L")</f>
        <v>CSE220-20 (LAB)
SKIB,CSSA
09B-10L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IFERROR(__xludf.DUMMYFUNCTION("""COMPUTED_VALUE"""),"CSE423-18
09A-02C")</f>
        <v>CSE423-18
09A-02C</v>
      </c>
      <c r="G14" s="90" t="str">
        <f>IFERROR(__xludf.DUMMYFUNCTION("""COMPUTED_VALUE"""),"CSE470-18
09A-02C")</f>
        <v>CSE470-18
09A-02C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Sadia Hamid Kazi</v>
      </c>
      <c r="E4" s="57"/>
      <c r="F4" s="58" t="s">
        <v>1</v>
      </c>
      <c r="G4" s="59" t="s">
        <v>142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skazi@bracu.ac.bd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4G32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IFERROR(__xludf.DUMMYFUNCTION("""COMPUTED_VALUE"""),"CSE421-04
10A-05C")</f>
        <v>CSE421-04
10A-05C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IFERROR(__xludf.DUMMYFUNCTION("""COMPUTED_VALUE"""),"CSE421-04
10A-05C")</f>
        <v>CSE421-04
10A-05C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Sadiul Arefin Rafi</v>
      </c>
      <c r="E4" s="57"/>
      <c r="F4" s="58" t="s">
        <v>1</v>
      </c>
      <c r="G4" s="59" t="s">
        <v>245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ext.sadiul.rafi@bracu.ac.bd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IFERROR(__xludf.DUMMYFUNCTION("""COMPUTED_VALUE"""),"CSE101-06 (LAB)
SLAR,CQAE
FT11-03L")</f>
        <v>CSE101-06 (LAB)
SLAR,CQAE
FT11-03L</v>
      </c>
      <c r="C9" s="86" t="str">
        <f>IFERROR(__xludf.DUMMYFUNCTION("""COMPUTED_VALUE"""),"CSE101-06 (LAB)
SLAR,CQAE
FT11-03L")</f>
        <v>CSE101-06 (LAB)
SLAR,CQAE
FT11-03L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IFERROR(__xludf.DUMMYFUNCTION("""COMPUTED_VALUE"""),"CSE103-01 (LAB)
FDM,SLAR
11B-20L")</f>
        <v>CSE103-01 (LAB)
FDM,SLAR
11B-20L</v>
      </c>
      <c r="G9" s="86" t="str">
        <f>IFERROR(__xludf.DUMMYFUNCTION("""COMPUTED_VALUE"""),"CSE103-01 (LAB)
FDM,SLAR
11B-20L")</f>
        <v>CSE103-01 (LAB)
FDM,SLAR
11B-20L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IFERROR(__xludf.DUMMYFUNCTION("""COMPUTED_VALUE"""),"CSE230-16
09C-13C")</f>
        <v>CSE230-16
09C-13C</v>
      </c>
      <c r="C10" s="90" t="str">
        <f>IFERROR(__xludf.DUMMYFUNCTION("""COMPUTED_VALUE"""),"")</f>
        <v/>
      </c>
      <c r="D10" s="90" t="str">
        <f>IFERROR(__xludf.DUMMYFUNCTION("""COMPUTED_VALUE"""),"CSE220-15 (LAB)
SLAR,MZG
09B-11L")</f>
        <v>CSE220-15 (LAB)
SLAR,MZG
09B-11L</v>
      </c>
      <c r="E10" s="90" t="str">
        <f>IFERROR(__xludf.DUMMYFUNCTION("""COMPUTED_VALUE"""),"CSE220-15 (LAB)
SLAR,MZG
09B-11L")</f>
        <v>CSE220-15 (LAB)
SLAR,MZG
09B-11L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IFERROR(__xludf.DUMMYFUNCTION("""COMPUTED_VALUE"""),"CSE230-16
09C-13C")</f>
        <v>CSE230-16
09C-13C</v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IFERROR(__xludf.DUMMYFUNCTION("""COMPUTED_VALUE"""),"CSE101-05 (LAB)
SBHN,SLAR
FT11-04L")</f>
        <v>CSE101-05 (LAB)
SBHN,SLAR
FT11-04L</v>
      </c>
      <c r="E13" s="90" t="str">
        <f>IFERROR(__xludf.DUMMYFUNCTION("""COMPUTED_VALUE"""),"CSE101-05 (LAB)
SBHN,SLAR
FT11-04L")</f>
        <v>CSE101-05 (LAB)
SBHN,SLAR
FT11-04L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IFERROR(__xludf.DUMMYFUNCTION("""COMPUTED_VALUE"""),"CSE110-16 (LAB)
ANNH,SLAR
09B-11L")</f>
        <v>CSE110-16 (LAB)
ANNH,SLAR
09B-11L</v>
      </c>
      <c r="E14" s="90" t="str">
        <f>IFERROR(__xludf.DUMMYFUNCTION("""COMPUTED_VALUE"""),"CSE110-16 (LAB)
ANNH,SLAR
09B-11L")</f>
        <v>CSE110-16 (LAB)
ANNH,SLAR
09B-11L</v>
      </c>
      <c r="F14" s="90" t="str">
        <f>IFERROR(__xludf.DUMMYFUNCTION("""COMPUTED_VALUE"""),"CSE101-03 (LAB)
SLAR,CQAE
FT11-04L")</f>
        <v>CSE101-03 (LAB)
SLAR,CQAE
FT11-04L</v>
      </c>
      <c r="G14" s="90" t="str">
        <f>IFERROR(__xludf.DUMMYFUNCTION("""COMPUTED_VALUE"""),"CSE101-03 (LAB)
SLAR,CQAE
FT11-04L")</f>
        <v>CSE101-03 (LAB)
SLAR,CQAE
FT11-04L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Soumitra Das</v>
      </c>
      <c r="E4" s="57"/>
      <c r="F4" s="58" t="s">
        <v>1</v>
      </c>
      <c r="G4" s="59" t="s">
        <v>246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ext.soumitra.das@bracu.ac.bd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IFERROR(__xludf.DUMMYFUNCTION("""COMPUTED_VALUE"""),"CSE330-03 (LAB)
SMDS,KBS
10G-34L")</f>
        <v>CSE330-03 (LAB)
SMDS,KBS
10G-34L</v>
      </c>
      <c r="C9" s="86" t="str">
        <f>IFERROR(__xludf.DUMMYFUNCTION("""COMPUTED_VALUE"""),"CSE330-03 (LAB)
SMDS,KBS
10G-34L")</f>
        <v>CSE330-03 (LAB)
SMDS,KBS
10G-34L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IFERROR(__xludf.DUMMYFUNCTION("""COMPUTED_VALUE"""),"CSE260-25A (LAB)
SMDS,THR
FT10-04L")</f>
        <v>CSE260-25A (LAB)
SMDS,THR
FT10-04L</v>
      </c>
      <c r="C10" s="90" t="str">
        <f>IFERROR(__xludf.DUMMYFUNCTION("""COMPUTED_VALUE"""),"CSE260-25A (LAB)
SMDS,THR
FT10-04L")</f>
        <v>CSE260-25A (LAB)
SMDS,THR
FT10-04L</v>
      </c>
      <c r="D10" s="90" t="str">
        <f>IFERROR(__xludf.DUMMYFUNCTION("""COMPUTED_VALUE"""),"CSE260-26B (LAB)
MDF,SMDS
FT10-03L")</f>
        <v>CSE260-26B (LAB)
MDF,SMDS
FT10-03L</v>
      </c>
      <c r="E10" s="90" t="str">
        <f>IFERROR(__xludf.DUMMYFUNCTION("""COMPUTED_VALUE"""),"CSE260-26B (LAB)
MDF,SMDS
FT10-03L")</f>
        <v>CSE260-26B (LAB)
MDF,SMDS
FT10-03L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IFERROR(__xludf.DUMMYFUNCTION("""COMPUTED_VALUE"""),"CSE260-18B (LAB)
SMDS,AROY
FT10-03L")</f>
        <v>CSE260-18B (LAB)
SMDS,AROY
FT10-03L</v>
      </c>
      <c r="C11" s="90" t="str">
        <f>IFERROR(__xludf.DUMMYFUNCTION("""COMPUTED_VALUE"""),"CSE260-18B (LAB)
SMDS,AROY
FT10-03L")</f>
        <v>CSE260-18B (LAB)
SMDS,AROY
FT10-03L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IFERROR(__xludf.DUMMYFUNCTION("""COMPUTED_VALUE"""),"CSE260-11B (LAB)
CMHQ,SMDS
FT10-04L")</f>
        <v>CSE260-11B (LAB)
CMHQ,SMDS
FT10-04L</v>
      </c>
      <c r="G11" s="90" t="str">
        <f>IFERROR(__xludf.DUMMYFUNCTION("""COMPUTED_VALUE"""),"CSE260-11B (LAB)
CMHQ,SMDS
FT10-04L")</f>
        <v>CSE260-11B (LAB)
CMHQ,SMDS
FT10-04L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IFERROR(__xludf.DUMMYFUNCTION("""COMPUTED_VALUE"""),"CSE260-12A (LAB)
SMDS,MCW
FT10-04L")</f>
        <v>CSE260-12A (LAB)
SMDS,MCW
FT10-04L</v>
      </c>
      <c r="E12" s="90" t="str">
        <f>IFERROR(__xludf.DUMMYFUNCTION("""COMPUTED_VALUE"""),"CSE260-12A (LAB)
SMDS,MCW
FT10-04L")</f>
        <v>CSE260-12A (LAB)
SMDS,MCW
FT10-04L</v>
      </c>
      <c r="F12" s="90" t="str">
        <f>IFERROR(__xludf.DUMMYFUNCTION("""COMPUTED_VALUE"""),"CSE260-12B (LAB)
MCW,SMDS
FT10-04L")</f>
        <v>CSE260-12B (LAB)
MCW,SMDS
FT10-04L</v>
      </c>
      <c r="G12" s="90" t="str">
        <f>IFERROR(__xludf.DUMMYFUNCTION("""COMPUTED_VALUE"""),"CSE260-12B (LAB)
MCW,SMDS
FT10-04L")</f>
        <v>CSE260-12B (LAB)
MCW,SMDS
FT10-04L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Sheikh Samiul Kadir</v>
      </c>
      <c r="E4" s="57"/>
      <c r="F4" s="58" t="s">
        <v>1</v>
      </c>
      <c r="G4" s="59" t="s">
        <v>247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ext.samiul.kadir@bracu.ac.bd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IFERROR(__xludf.DUMMYFUNCTION("""COMPUTED_VALUE"""),"Consultation")</f>
        <v>Consultation</v>
      </c>
      <c r="C9" s="86" t="str">
        <f>IFERROR(__xludf.DUMMYFUNCTION("""COMPUTED_VALUE"""),"Consultation")</f>
        <v>Consultation</v>
      </c>
      <c r="D9" s="86" t="str">
        <f>IFERROR(__xludf.DUMMYFUNCTION("""COMPUTED_VALUE"""),"CSE321-06 (LAB)
ZYH,SMKD
12D-27L")</f>
        <v>CSE321-06 (LAB)
ZYH,SMKD
12D-27L</v>
      </c>
      <c r="E9" s="86" t="str">
        <f>IFERROR(__xludf.DUMMYFUNCTION("""COMPUTED_VALUE"""),"CSE321-06 (LAB)
ZYH,SMKD
12D-27L")</f>
        <v>CSE321-06 (LAB)
ZYH,SMKD
12D-27L</v>
      </c>
      <c r="F9" s="86" t="str">
        <f>IFERROR(__xludf.DUMMYFUNCTION("""COMPUTED_VALUE"""),"CSE360-07
09H-32C")</f>
        <v>CSE360-07
09H-32C</v>
      </c>
      <c r="G9" s="86"/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IFERROR(__xludf.DUMMYFUNCTION("""COMPUTED_VALUE"""),"MSc Class")</f>
        <v>MSc Class</v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IFERROR(__xludf.DUMMYFUNCTION("""COMPUTED_VALUE"""),"CSE330-17 (LAB)
WLV,SMKD
10G-34L")</f>
        <v>CSE330-17 (LAB)
WLV,SMKD
10G-34L</v>
      </c>
      <c r="C13" s="90" t="str">
        <f>IFERROR(__xludf.DUMMYFUNCTION("""COMPUTED_VALUE"""),"CSE330-17 (LAB)
WLV,SMKD
10G-34L")</f>
        <v>CSE330-17 (LAB)
WLV,SMKD
10G-34L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IFERROR(__xludf.DUMMYFUNCTION("""COMPUTED_VALUE"""),"CSE321-12 (LAB)
SMKD,MAO
12D-26L")</f>
        <v>CSE321-12 (LAB)
SMKD,MAO
12D-26L</v>
      </c>
      <c r="G13" s="90" t="str">
        <f>IFERROR(__xludf.DUMMYFUNCTION("""COMPUTED_VALUE"""),"CSE321-12 (LAB)
SMKD,MAO
12D-26L")</f>
        <v>CSE321-12 (LAB)
SMKD,MAO
12D-26L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IFERROR(__xludf.DUMMYFUNCTION("""COMPUTED_VALUE"""),"CSE321-20 (LAB)
SMKD,KBS
10G-34L")</f>
        <v>CSE321-20 (LAB)
SMKD,KBS
10G-34L</v>
      </c>
      <c r="C14" s="90" t="str">
        <f>IFERROR(__xludf.DUMMYFUNCTION("""COMPUTED_VALUE"""),"CSE321-20 (LAB)
SMKD,KBS
10G-34L")</f>
        <v>CSE321-20 (LAB)
SMKD,KBS
10G-34L</v>
      </c>
      <c r="D14" s="90" t="str">
        <f>IFERROR(__xludf.DUMMYFUNCTION("""COMPUTED_VALUE"""),"CSE321-21 (LAB)
SMKD,KBS
10G-34L")</f>
        <v>CSE321-21 (LAB)
SMKD,KBS
10G-34L</v>
      </c>
      <c r="E14" s="90" t="str">
        <f>IFERROR(__xludf.DUMMYFUNCTION("""COMPUTED_VALUE"""),"CSE321-21 (LAB)
SMKD,KBS
10G-34L")</f>
        <v>CSE321-21 (LAB)
SMKD,KBS
10G-34L</v>
      </c>
      <c r="F14" s="90" t="str">
        <f>IFERROR(__xludf.DUMMYFUNCTION("""COMPUTED_VALUE"""),"CSE360-07
09H-32C")</f>
        <v>CSE360-07
09H-32C</v>
      </c>
      <c r="G14" s="90" t="str">
        <f>IFERROR(__xludf.DUMMYFUNCTION("""COMPUTED_VALUE"""),"Consultation by
Appointment")</f>
        <v>Consultation by
Appointment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IFERROR(__xludf.DUMMYFUNCTION("""COMPUTED_VALUE"""),5.0)</f>
        <v>5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Samiur Rahman</v>
      </c>
      <c r="E4" s="57"/>
      <c r="F4" s="58" t="s">
        <v>1</v>
      </c>
      <c r="G4" s="59" t="s">
        <v>143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rahman.samiur@bracu.ac.bd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IFERROR(__xludf.DUMMYFUNCTION("""COMPUTED_VALUE"""),"CSE423-23
07H-27C")</f>
        <v>CSE423-23
07H-27C</v>
      </c>
      <c r="C10" s="90" t="str">
        <f>IFERROR(__xludf.DUMMYFUNCTION("""COMPUTED_VALUE"""),"CSE423-24
07H-27C")</f>
        <v>CSE423-24
07H-27C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IFERROR(__xludf.DUMMYFUNCTION("""COMPUTED_VALUE"""),"CSE423-08 (LAB)
SMUR,SKIB
09E-22L,CSE423-09 (LAB)
SMUR,SKIB
09E-22L")</f>
        <v>CSE423-08 (LAB)
SMUR,SKIB
09E-22L,CSE423-09 (LAB)
SMUR,SKIB
09E-22L</v>
      </c>
      <c r="C11" s="90" t="str">
        <f>IFERROR(__xludf.DUMMYFUNCTION("""COMPUTED_VALUE"""),"CSE423-08 (LAB)
SMUR,SKIB
09E-22L,CSE423-09 (LAB)
SMUR,SKIB
09E-22L")</f>
        <v>CSE423-08 (LAB)
SMUR,SKIB
09E-22L,CSE423-09 (LAB)
SMUR,SKIB
09E-22L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IFERROR(__xludf.DUMMYFUNCTION("""COMPUTED_VALUE"""),"CSE321-26
07H-27C")</f>
        <v>CSE321-26
07H-27C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IFERROR(__xludf.DUMMYFUNCTION("""COMPUTED_VALUE"""),"CSE423-23
07H-27C")</f>
        <v>CSE423-23
07H-27C</v>
      </c>
      <c r="C12" s="90" t="str">
        <f>IFERROR(__xludf.DUMMYFUNCTION("""COMPUTED_VALUE"""),"CSE423-24
07H-27C")</f>
        <v>CSE423-24
07H-27C</v>
      </c>
      <c r="D12" s="90" t="str">
        <f>IFERROR(__xludf.DUMMYFUNCTION("""COMPUTED_VALUE"""),"CSE423-03 (LAB)
SRU,SMUR
09E-22L,CSE423-04 (LAB)
SRU,SMUR
09E-22L")</f>
        <v>CSE423-03 (LAB)
SRU,SMUR
09E-22L,CSE423-04 (LAB)
SRU,SMUR
09E-22L</v>
      </c>
      <c r="E12" s="90" t="str">
        <f>IFERROR(__xludf.DUMMYFUNCTION("""COMPUTED_VALUE"""),"CSE423-03 (LAB)
SRU,SMUR
09E-22L,CSE423-04 (LAB)
SRU,SMUR
09E-22L")</f>
        <v>CSE423-03 (LAB)
SRU,SMUR
09E-22L,CSE423-04 (LAB)
SRU,SMUR
09E-22L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IFERROR(__xludf.DUMMYFUNCTION("""COMPUTED_VALUE"""),"CSE110-02 (LAB)
MSI,SMUR
09B-08L")</f>
        <v>CSE110-02 (LAB)
MSI,SMUR
09B-08L</v>
      </c>
      <c r="C13" s="90" t="str">
        <f>IFERROR(__xludf.DUMMYFUNCTION("""COMPUTED_VALUE"""),"CSE110-02 (LAB)
MSI,SMUR
09B-08L")</f>
        <v>CSE110-02 (LAB)
MSI,SMUR
09B-08L</v>
      </c>
      <c r="D13" s="90" t="str">
        <f>IFERROR(__xludf.DUMMYFUNCTION("""COMPUTED_VALUE"""),"CSE110-03 (LAB)
SMUR,RKBM
09B-08L")</f>
        <v>CSE110-03 (LAB)
SMUR,RKBM
09B-08L</v>
      </c>
      <c r="E13" s="90" t="str">
        <f>IFERROR(__xludf.DUMMYFUNCTION("""COMPUTED_VALUE"""),"CSE110-03 (LAB)
SMUR,RKBM
09B-08L")</f>
        <v>CSE110-03 (LAB)
SMUR,RKBM
09B-08L</v>
      </c>
      <c r="F13" s="90" t="str">
        <f>IFERROR(__xludf.DUMMYFUNCTION("""COMPUTED_VALUE"""),"CSE321-26
07H-27C")</f>
        <v>CSE321-26
07H-27C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IFERROR(__xludf.DUMMYFUNCTION("""COMPUTED_VALUE"""),5.0)</f>
        <v>5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Sumaiya</v>
      </c>
      <c r="E4" s="57"/>
      <c r="F4" s="58" t="s">
        <v>1</v>
      </c>
      <c r="G4" s="59" t="s">
        <v>144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sumaiya@bracu.ac.bd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IFERROR(__xludf.DUMMYFUNCTION("""COMPUTED_VALUE"""),"CSE340-26
10B-15C")</f>
        <v>CSE340-26
10B-15C</v>
      </c>
      <c r="E9" s="86" t="str">
        <f>IFERROR(__xludf.DUMMYFUNCTION("""COMPUTED_VALUE"""),"CSE341-08
10B-15C")</f>
        <v>CSE341-08
10B-15C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IFERROR(__xludf.DUMMYFUNCTION("""COMPUTED_VALUE"""),"Consultation")</f>
        <v>Consultation</v>
      </c>
      <c r="C12" s="90" t="str">
        <f>IFERROR(__xludf.DUMMYFUNCTION("""COMPUTED_VALUE"""),"Consultation")</f>
        <v>Consultation</v>
      </c>
      <c r="D12" s="90" t="str">
        <f>IFERROR(__xludf.DUMMYFUNCTION("""COMPUTED_VALUE"""),"CSE461-03 (LAB)
RDW,SMYA
10G-33L")</f>
        <v>CSE461-03 (LAB)
RDW,SMYA
10G-33L</v>
      </c>
      <c r="E12" s="90" t="str">
        <f>IFERROR(__xludf.DUMMYFUNCTION("""COMPUTED_VALUE"""),"CSE461-03 (LAB)
RDW,SMYA
10G-33L")</f>
        <v>CSE461-03 (LAB)
RDW,SMYA
10G-33L</v>
      </c>
      <c r="F12" s="90" t="str">
        <f>IFERROR(__xludf.DUMMYFUNCTION("""COMPUTED_VALUE"""),"CSE360-04 (LAB)
PRC,SMYA
10G-32L,CSE360-06 (LAB)
PRC,SMYA
10G-32L")</f>
        <v>CSE360-04 (LAB)
PRC,SMYA
10G-32L,CSE360-06 (LAB)
PRC,SMYA
10G-32L</v>
      </c>
      <c r="G12" s="90" t="str">
        <f>IFERROR(__xludf.DUMMYFUNCTION("""COMPUTED_VALUE"""),"CSE360-04 (LAB)
PRC,SMYA
10G-32L,CSE360-06 (LAB)
PRC,SMYA
10G-32L")</f>
        <v>CSE360-04 (LAB)
PRC,SMYA
10G-32L,CSE360-06 (LAB)
PRC,SMYA
10G-32L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IFERROR(__xludf.DUMMYFUNCTION("""COMPUTED_VALUE"""),"Consultation")</f>
        <v>Consultation</v>
      </c>
      <c r="C13" s="90" t="str">
        <f>IFERROR(__xludf.DUMMYFUNCTION("""COMPUTED_VALUE"""),"Consultation")</f>
        <v>Consultation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IFERROR(__xludf.DUMMYFUNCTION("""COMPUTED_VALUE"""),"CSE360-01 (LAB)
SMYA,UJT
10G-33L,CSE360-02 (LAB)
SMYA,UJT
10G-33L")</f>
        <v>CSE360-01 (LAB)
SMYA,UJT
10G-33L,CSE360-02 (LAB)
SMYA,UJT
10G-33L</v>
      </c>
      <c r="G13" s="90" t="str">
        <f>IFERROR(__xludf.DUMMYFUNCTION("""COMPUTED_VALUE"""),"CSE360-01 (LAB)
SMYA,UJT
10G-33L,CSE360-02 (LAB)
SMYA,UJT
10G-33L")</f>
        <v>CSE360-01 (LAB)
SMYA,UJT
10G-33L,CSE360-02 (LAB)
SMYA,UJT
10G-33L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IFERROR(__xludf.DUMMYFUNCTION("""COMPUTED_VALUE"""),"CSE340-26
10B-15C")</f>
        <v>CSE340-26
10B-15C</v>
      </c>
      <c r="E14" s="90" t="str">
        <f>IFERROR(__xludf.DUMMYFUNCTION("""COMPUTED_VALUE"""),"CSE341-08
10B-15C")</f>
        <v>CSE341-08
10B-15C</v>
      </c>
      <c r="F14" s="90" t="str">
        <f>IFERROR(__xludf.DUMMYFUNCTION("""COMPUTED_VALUE"""),"CSE461-02 (LAB)
RFF,SMYA
10G-32L")</f>
        <v>CSE461-02 (LAB)
RFF,SMYA
10G-32L</v>
      </c>
      <c r="G14" s="90" t="str">
        <f>IFERROR(__xludf.DUMMYFUNCTION("""COMPUTED_VALUE"""),"CSE461-02 (LAB)
RFF,SMYA
10G-32L")</f>
        <v>CSE461-02 (LAB)
RFF,SMYA
10G-32L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Soumya Swagata Biswas</v>
      </c>
      <c r="E4" s="57"/>
      <c r="F4" s="58" t="s">
        <v>1</v>
      </c>
      <c r="G4" s="59" t="s">
        <v>145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soumya.swagata@bracu.ac.bd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4P198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IFERROR(__xludf.DUMMYFUNCTION("""COMPUTED_VALUE"""),"CSE423-13
09A-03C")</f>
        <v>CSE423-13
09A-03C</v>
      </c>
      <c r="G10" s="90" t="str">
        <f>IFERROR(__xludf.DUMMYFUNCTION("""COMPUTED_VALUE"""),"CSE423-14
09A-03C")</f>
        <v>CSE423-14
09A-03C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IFERROR(__xludf.DUMMYFUNCTION("""COMPUTED_VALUE"""),"CSE470-13
07D-19C")</f>
        <v>CSE470-13
07D-19C</v>
      </c>
      <c r="C11" s="90" t="str">
        <f>IFERROR(__xludf.DUMMYFUNCTION("""COMPUTED_VALUE"""),"CSE470-14
07D-19C")</f>
        <v>CSE470-14
07D-19C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IFERROR(__xludf.DUMMYFUNCTION("""COMPUTED_VALUE"""),"CSE423-13 (LAB)
SRU,SOSB
09E-22L,CSE423-14 (LAB)
SRU,SOSB
09E-22L")</f>
        <v>CSE423-13 (LAB)
SRU,SOSB
09E-22L,CSE423-14 (LAB)
SRU,SOSB
09E-22L</v>
      </c>
      <c r="G11" s="90" t="str">
        <f>IFERROR(__xludf.DUMMYFUNCTION("""COMPUTED_VALUE"""),"CSE423-13 (LAB)
SRU,SOSB
09E-22L,CSE423-14 (LAB)
SRU,SOSB
09E-22L")</f>
        <v>CSE423-13 (LAB)
SRU,SOSB
09E-22L,CSE423-14 (LAB)
SRU,SOSB
09E-22L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IFERROR(__xludf.DUMMYFUNCTION("""COMPUTED_VALUE"""),"CSE423-13
09A-03C")</f>
        <v>CSE423-13
09A-03C</v>
      </c>
      <c r="G12" s="90" t="str">
        <f>IFERROR(__xludf.DUMMYFUNCTION("""COMPUTED_VALUE"""),"CSE423-14
09A-03C")</f>
        <v>CSE423-14
09A-03C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IFERROR(__xludf.DUMMYFUNCTION("""COMPUTED_VALUE"""),"CSE470-13
07D-19C")</f>
        <v>CSE470-13
07D-19C</v>
      </c>
      <c r="C13" s="90" t="str">
        <f>IFERROR(__xludf.DUMMYFUNCTION("""COMPUTED_VALUE"""),"CSE470-14
07D-19C")</f>
        <v>CSE470-14
07D-19C</v>
      </c>
      <c r="D13" s="90" t="str">
        <f>IFERROR(__xludf.DUMMYFUNCTION("""COMPUTED_VALUE"""),"CSE423-19 (LAB)
SOSB,MZFZ
09F-24L,CSE423-21 (LAB)
SOSB,MZFZ
09F-24L")</f>
        <v>CSE423-19 (LAB)
SOSB,MZFZ
09F-24L,CSE423-21 (LAB)
SOSB,MZFZ
09F-24L</v>
      </c>
      <c r="E13" s="90" t="str">
        <f>IFERROR(__xludf.DUMMYFUNCTION("""COMPUTED_VALUE"""),"CSE423-19 (LAB)
SOSB,MZFZ
09F-24L,CSE423-21 (LAB)
SOSB,MZFZ
09F-24L")</f>
        <v>CSE423-19 (LAB)
SOSB,MZFZ
09F-24L,CSE423-21 (LAB)
SOSB,MZFZ
09F-24L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118" t="str">
        <f>IFERROR(__xludf.DUMMYFUNCTION("""COMPUTED_VALUE"""),"**Please Book a slot before coming to consultation so that no conflict arises with other students. Link: http://tinyurl.com/sosbmeet")</f>
        <v>**Please Book a slot before coming to consultation so that no conflict arises with other students. Link: http://tinyurl.com/sosbmeet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hyperlinks>
    <hyperlink r:id="rId1" ref="A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Mehnaz Seraj</v>
      </c>
      <c r="E4" s="57"/>
      <c r="F4" s="58" t="s">
        <v>1</v>
      </c>
      <c r="G4" s="59" t="s">
        <v>146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seraj.mehnaz@bracu.ac.bd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IFERROR(__xludf.DUMMYFUNCTION("""COMPUTED_VALUE"""),"CSE421-08
10A-04C")</f>
        <v>CSE421-08
10A-04C</v>
      </c>
      <c r="D9" s="86" t="str">
        <f>IFERROR(__xludf.DUMMYFUNCTION("""COMPUTED_VALUE"""),"CSE320-09
07D-19C")</f>
        <v>CSE320-09
07D-19C</v>
      </c>
      <c r="E9" s="86" t="str">
        <f>IFERROR(__xludf.DUMMYFUNCTION("""COMPUTED_VALUE"""),"")</f>
        <v/>
      </c>
      <c r="F9" s="86" t="str">
        <f>IFERROR(__xludf.DUMMYFUNCTION("""COMPUTED_VALUE"""),"CSE421-10
10A-04C")</f>
        <v>CSE421-10
10A-04C</v>
      </c>
      <c r="G9" s="86" t="str">
        <f>IFERROR(__xludf.DUMMYFUNCTION("""COMPUTED_VALUE"""),"CSE320-01
10A-04C")</f>
        <v>CSE320-01
10A-04C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IFERROR(__xludf.DUMMYFUNCTION("""COMPUTED_VALUE"""),"CSE421-21 (LAB)
SRJ,MSMA
10E-27L,CSE421-22 (LAB)
SRJ,MSMA
10E-27L")</f>
        <v>CSE421-21 (LAB)
SRJ,MSMA
10E-27L,CSE421-22 (LAB)
SRJ,MSMA
10E-27L</v>
      </c>
      <c r="G10" s="90" t="str">
        <f>IFERROR(__xludf.DUMMYFUNCTION("""COMPUTED_VALUE"""),"CSE421-21 (LAB)
SRJ,MSMA
10E-27L,CSE421-22 (LAB)
SRJ,MSMA
10E-27L")</f>
        <v>CSE421-21 (LAB)
SRJ,MSMA
10E-27L,CSE421-22 (LAB)
SRJ,MSMA
10E-27L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IFERROR(__xludf.DUMMYFUNCTION("""COMPUTED_VALUE"""),"CSE421-15 (LAB)
SRJ,NDT
09F-24L,CSE421-16 (LAB)
SRJ,NDT
09F-24L")</f>
        <v>CSE421-15 (LAB)
SRJ,NDT
09F-24L,CSE421-16 (LAB)
SRJ,NDT
09F-24L</v>
      </c>
      <c r="E12" s="90" t="str">
        <f>IFERROR(__xludf.DUMMYFUNCTION("""COMPUTED_VALUE"""),"CSE421-15 (LAB)
SRJ,NDT
09F-24L,CSE421-16 (LAB)
SRJ,NDT
09F-24L")</f>
        <v>CSE421-15 (LAB)
SRJ,NDT
09F-24L,CSE421-16 (LAB)
SRJ,NDT
09F-24L</v>
      </c>
      <c r="F12" s="90" t="str">
        <f>IFERROR(__xludf.DUMMYFUNCTION("""COMPUTED_VALUE"""),"CSE421-13 (LAB)
SRJ,MSMA
09F-25L,CSE421-14 (LAB)
SRJ,MSMA
09F-25L")</f>
        <v>CSE421-13 (LAB)
SRJ,MSMA
09F-25L,CSE421-14 (LAB)
SRJ,MSMA
09F-25L</v>
      </c>
      <c r="G12" s="90" t="str">
        <f>IFERROR(__xludf.DUMMYFUNCTION("""COMPUTED_VALUE"""),"CSE421-13 (LAB)
SRJ,MSMA
09F-25L,CSE421-14 (LAB)
SRJ,MSMA
09F-25L")</f>
        <v>CSE421-13 (LAB)
SRJ,MSMA
09F-25L,CSE421-14 (LAB)
SRJ,MSMA
09F-25L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IFERROR(__xludf.DUMMYFUNCTION("""COMPUTED_VALUE"""),"CSE421-08
10A-04C")</f>
        <v>CSE421-08
10A-04C</v>
      </c>
      <c r="D14" s="90" t="str">
        <f>IFERROR(__xludf.DUMMYFUNCTION("""COMPUTED_VALUE"""),"CSE320-09
07D-19C")</f>
        <v>CSE320-09
07D-19C</v>
      </c>
      <c r="E14" s="90" t="str">
        <f>IFERROR(__xludf.DUMMYFUNCTION("""COMPUTED_VALUE"""),"")</f>
        <v/>
      </c>
      <c r="F14" s="90" t="str">
        <f>IFERROR(__xludf.DUMMYFUNCTION("""COMPUTED_VALUE"""),"CSE421-10
10A-04C")</f>
        <v>CSE421-10
10A-04C</v>
      </c>
      <c r="G14" s="90" t="str">
        <f>IFERROR(__xludf.DUMMYFUNCTION("""COMPUTED_VALUE"""),"CSE320-01
10A-04C")</f>
        <v>CSE320-01
10A-04C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Shakir Rouf</v>
      </c>
      <c r="E4" s="57"/>
      <c r="F4" s="58" t="s">
        <v>1</v>
      </c>
      <c r="G4" s="59" t="s">
        <v>147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shakir.rouf@bracu.ac.bd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IFERROR(__xludf.DUMMYFUNCTION("""COMPUTED_VALUE"""),"CSE423-08
10A-04C")</f>
        <v>CSE423-08
10A-04C</v>
      </c>
      <c r="G10" s="90" t="str">
        <f>IFERROR(__xludf.DUMMYFUNCTION("""COMPUTED_VALUE"""),"CSE423-09
10A-04C")</f>
        <v>CSE423-09
10A-04C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IFERROR(__xludf.DUMMYFUNCTION("""COMPUTED_VALUE"""),"CSE423-10
09C-13C")</f>
        <v>CSE423-10
09C-13C</v>
      </c>
      <c r="E11" s="90" t="str">
        <f>IFERROR(__xludf.DUMMYFUNCTION("""COMPUTED_VALUE"""),"CSE360-04
09C-13C")</f>
        <v>CSE360-04
09C-13C</v>
      </c>
      <c r="F11" s="90" t="str">
        <f>IFERROR(__xludf.DUMMYFUNCTION("""COMPUTED_VALUE"""),"CSE423-13 (LAB)
SRU,SOSB
09E-22L,CSE423-14 (LAB)
SRU,SOSB
09E-22L")</f>
        <v>CSE423-13 (LAB)
SRU,SOSB
09E-22L,CSE423-14 (LAB)
SRU,SOSB
09E-22L</v>
      </c>
      <c r="G11" s="90" t="str">
        <f>IFERROR(__xludf.DUMMYFUNCTION("""COMPUTED_VALUE"""),"CSE423-13 (LAB)
SRU,SOSB
09E-22L,CSE423-14 (LAB)
SRU,SOSB
09E-22L")</f>
        <v>CSE423-13 (LAB)
SRU,SOSB
09E-22L,CSE423-14 (LAB)
SRU,SOSB
09E-22L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IFERROR(__xludf.DUMMYFUNCTION("""COMPUTED_VALUE"""),"CSE423-03 (LAB)
SRU,SMUR
09E-22L,CSE423-04 (LAB)
SRU,SMUR
09E-22L")</f>
        <v>CSE423-03 (LAB)
SRU,SMUR
09E-22L,CSE423-04 (LAB)
SRU,SMUR
09E-22L</v>
      </c>
      <c r="E12" s="90" t="str">
        <f>IFERROR(__xludf.DUMMYFUNCTION("""COMPUTED_VALUE"""),"CSE423-03 (LAB)
SRU,SMUR
09E-22L,CSE423-04 (LAB)
SRU,SMUR
09E-22L")</f>
        <v>CSE423-03 (LAB)
SRU,SMUR
09E-22L,CSE423-04 (LAB)
SRU,SMUR
09E-22L</v>
      </c>
      <c r="F12" s="90" t="str">
        <f>IFERROR(__xludf.DUMMYFUNCTION("""COMPUTED_VALUE"""),"CSE423-08
10A-04C")</f>
        <v>CSE423-08
10A-04C</v>
      </c>
      <c r="G12" s="90" t="str">
        <f>IFERROR(__xludf.DUMMYFUNCTION("""COMPUTED_VALUE"""),"CSE423-09
10A-04C")</f>
        <v>CSE423-09
10A-04C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IFERROR(__xludf.DUMMYFUNCTION("""COMPUTED_VALUE"""),"CSE423-10
09C-13C")</f>
        <v>CSE423-10
09C-13C</v>
      </c>
      <c r="E13" s="90" t="str">
        <f>IFERROR(__xludf.DUMMYFUNCTION("""COMPUTED_VALUE"""),"CSE360-04
09C-13C")</f>
        <v>CSE360-04
09C-13C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248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Sanjida Tasnim</v>
      </c>
      <c r="E4" s="57"/>
      <c r="F4" s="58" t="s">
        <v>1</v>
      </c>
      <c r="G4" s="59" t="s">
        <v>148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sanjida.tasnim@bracu.ac.bd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IFERROR(__xludf.DUMMYFUNCTION("""COMPUTED_VALUE"""),"Consultation by Appointment")</f>
        <v>Consultation by Appointment</v>
      </c>
      <c r="F9" s="86" t="str">
        <f>IFERROR(__xludf.DUMMYFUNCTION("""COMPUTED_VALUE"""),"CSE420-07
09A-05C")</f>
        <v>CSE420-07
09A-05C</v>
      </c>
      <c r="G9" s="86" t="str">
        <f>IFERROR(__xludf.DUMMYFUNCTION("""COMPUTED_VALUE"""),"CSE420-08
09A-05C")</f>
        <v>CSE420-08
09A-05C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IFERROR(__xludf.DUMMYFUNCTION("""COMPUTED_VALUE"""),"MSc Class")</f>
        <v>MSc Class</v>
      </c>
      <c r="G10" s="90" t="str">
        <f>IFERROR(__xludf.DUMMYFUNCTION("""COMPUTED_VALUE"""),"MSc Class")</f>
        <v>MSc Class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IFERROR(__xludf.DUMMYFUNCTION("""COMPUTED_VALUE"""),"CSE370-16 (LAB)
FZN,STNM
12F-31L")</f>
        <v>CSE370-16 (LAB)
FZN,STNM
12F-31L</v>
      </c>
      <c r="C12" s="90" t="str">
        <f>IFERROR(__xludf.DUMMYFUNCTION("""COMPUTED_VALUE"""),"CSE370-16 (LAB)
FZN,STNM
12F-31L")</f>
        <v>CSE370-16 (LAB)
FZN,STNM
12F-31L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IFERROR(__xludf.DUMMYFUNCTION("""COMPUTED_VALUE"""),"CSE463-01 (LAB)
STNM,CSAB
12F-32L")</f>
        <v>CSE463-01 (LAB)
STNM,CSAB
12F-32L</v>
      </c>
      <c r="G12" s="90" t="str">
        <f>IFERROR(__xludf.DUMMYFUNCTION("""COMPUTED_VALUE"""),"CSE463-01 (LAB)
STNM,CSAB
12F-32L")</f>
        <v>CSE463-01 (LAB)
STNM,CSAB
12F-32L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IFERROR(__xludf.DUMMYFUNCTION("""COMPUTED_VALUE"""),"CSE370-15 (LAB)
NZU,STNM
12F-31L")</f>
        <v>CSE370-15 (LAB)
NZU,STNM
12F-31L</v>
      </c>
      <c r="C13" s="90" t="str">
        <f>IFERROR(__xludf.DUMMYFUNCTION("""COMPUTED_VALUE"""),"CSE370-15 (LAB)
NZU,STNM
12F-31L")</f>
        <v>CSE370-15 (LAB)
NZU,STNM
12F-31L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 by Appointment")</f>
        <v>Consultation by Appointment</v>
      </c>
      <c r="D14" s="90" t="str">
        <f>IFERROR(__xludf.DUMMYFUNCTION("""COMPUTED_VALUE"""),"CSE370-13 (LAB)
MAHS,STNM
12F-31L")</f>
        <v>CSE370-13 (LAB)
MAHS,STNM
12F-31L</v>
      </c>
      <c r="E14" s="90" t="str">
        <f>IFERROR(__xludf.DUMMYFUNCTION("""COMPUTED_VALUE"""),"CSE370-13 (LAB)
MAHS,STNM
12F-31L")</f>
        <v>CSE370-13 (LAB)
MAHS,STNM
12F-31L</v>
      </c>
      <c r="F14" s="90" t="str">
        <f>IFERROR(__xludf.DUMMYFUNCTION("""COMPUTED_VALUE"""),"CSE420-07
09A-05C")</f>
        <v>CSE420-07
09A-05C</v>
      </c>
      <c r="G14" s="90" t="str">
        <f>IFERROR(__xludf.DUMMYFUNCTION("""COMPUTED_VALUE"""),"CSE420-08
09A-05C")</f>
        <v>CSE420-08
09A-05C</v>
      </c>
      <c r="H14" s="90" t="str">
        <f>IFERROR(__xludf.DUMMYFUNCTION("""COMPUTED_VALUE"""),"Consultation by Appointment")</f>
        <v>Consultation by Appointment</v>
      </c>
      <c r="I14" s="90" t="str">
        <f>IFERROR(__xludf.DUMMYFUNCTION("""COMPUTED_VALUE"""),"MSc Class")</f>
        <v>MSc Class</v>
      </c>
      <c r="J14" s="91" t="str">
        <f>IFERROR(__xludf.DUMMYFUNCTION("""COMPUTED_VALUE"""),"MSc Class")</f>
        <v>MSc Class</v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IFERROR(__xludf.DUMMYFUNCTION("""COMPUTED_VALUE"""),"*** FOR CONSULTATION BY APPOINTMENT KINDLY EMAIL ME A DAY BEFORE.")</f>
        <v>*** FOR CONSULTATION BY APPOINTMENT KINDLY EMAIL ME A DAY BEFORE.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Sukarna Sarker</v>
      </c>
      <c r="E4" s="57"/>
      <c r="F4" s="58" t="s">
        <v>1</v>
      </c>
      <c r="G4" s="59" t="s">
        <v>149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sukarna.sarkar@bracu.ac.bd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IFERROR(__xludf.DUMMYFUNCTION("""COMPUTED_VALUE"""),"CSE420-12
07D-20C")</f>
        <v>CSE420-12
07D-20C</v>
      </c>
      <c r="C9" s="86" t="str">
        <f>IFERROR(__xludf.DUMMYFUNCTION("""COMPUTED_VALUE"""),"CSE420-13
07D-20C")</f>
        <v>CSE420-13
07D-20C</v>
      </c>
      <c r="D9" s="86" t="str">
        <f>IFERROR(__xludf.DUMMYFUNCTION("""COMPUTED_VALUE"""),"CSE420-03 (LAB)
SUE,RKBR
10E-27L,CSE420-04 (LAB)
SUE,RKBR
10E-27L")</f>
        <v>CSE420-03 (LAB)
SUE,RKBR
10E-27L,CSE420-04 (LAB)
SUE,RKBR
10E-27L</v>
      </c>
      <c r="E9" s="86" t="str">
        <f>IFERROR(__xludf.DUMMYFUNCTION("""COMPUTED_VALUE"""),"CSE420-03 (LAB)
SUE,RKBR
10E-27L,CSE420-04 (LAB)
SUE,RKBR
10E-27L")</f>
        <v>CSE420-03 (LAB)
SUE,RKBR
10E-27L,CSE420-04 (LAB)
SUE,RKBR
10E-27L</v>
      </c>
      <c r="F9" s="86" t="str">
        <f>IFERROR(__xludf.DUMMYFUNCTION("""COMPUTED_VALUE"""),"Consultation By
Appointment")</f>
        <v>Consultation By
Appointment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IFERROR(__xludf.DUMMYFUNCTION("""COMPUTED_VALUE"""),"CSE420-02 (LAB)
NLAM,SUE
10G-34L,CSE420-07 (LAB)
NLAM,SUE
10G-34L")</f>
        <v>CSE420-02 (LAB)
NLAM,SUE
10G-34L,CSE420-07 (LAB)
NLAM,SUE
10G-34L</v>
      </c>
      <c r="C10" s="90" t="str">
        <f>IFERROR(__xludf.DUMMYFUNCTION("""COMPUTED_VALUE"""),"CSE420-02 (LAB)
NLAM,SUE
10G-34L,CSE420-07 (LAB)
NLAM,SUE
10G-34L")</f>
        <v>CSE420-02 (LAB)
NLAM,SUE
10G-34L,CSE420-07 (LAB)
NLAM,SUE
10G-34L</v>
      </c>
      <c r="D10" s="90" t="str">
        <f>IFERROR(__xludf.DUMMYFUNCTION("""COMPUTED_VALUE"""),"Consultation By
Appointment")</f>
        <v>Consultation By
Appointment</v>
      </c>
      <c r="E10" s="90" t="str">
        <f>IFERROR(__xludf.DUMMYFUNCTION("""COMPUTED_VALUE"""),"CSE260-19A
07F-22C,CSE260-19B
07F-22C")</f>
        <v>CSE260-19A
07F-22C,CSE260-19B
07F-22C</v>
      </c>
      <c r="F10" s="90" t="str">
        <f>IFERROR(__xludf.DUMMYFUNCTION("""COMPUTED_VALUE"""),"CSE260-20A
07F-22C,CSE260-20B
07F-22C")</f>
        <v>CSE260-20A
07F-22C,CSE260-20B
07F-22C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IFERROR(__xludf.DUMMYFUNCTION("""COMPUTED_VALUE"""),"CSE260-11A (LAB)
SUE,CAPN
FT10-04L")</f>
        <v>CSE260-11A (LAB)
SUE,CAPN
FT10-04L</v>
      </c>
      <c r="C12" s="90" t="str">
        <f>IFERROR(__xludf.DUMMYFUNCTION("""COMPUTED_VALUE"""),"CSE260-11A (LAB)
SUE,CAPN
FT10-04L")</f>
        <v>CSE260-11A (LAB)
SUE,CAPN
FT10-04L</v>
      </c>
      <c r="D12" s="90" t="str">
        <f>IFERROR(__xludf.DUMMYFUNCTION("""COMPUTED_VALUE"""),"Consultation By
Appointment")</f>
        <v>Consultation By
Appointment</v>
      </c>
      <c r="E12" s="90" t="str">
        <f>IFERROR(__xludf.DUMMYFUNCTION("""COMPUTED_VALUE"""),"CSE260-19A
07F-22C,CSE260-19B
07F-22C")</f>
        <v>CSE260-19A
07F-22C,CSE260-19B
07F-22C</v>
      </c>
      <c r="F12" s="90" t="str">
        <f>IFERROR(__xludf.DUMMYFUNCTION("""COMPUTED_VALUE"""),"CSE260-20A
07F-22C,CSE260-20B
07F-22C")</f>
        <v>CSE260-20A
07F-22C,CSE260-20B
07F-22C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IFERROR(__xludf.DUMMYFUNCTION("""COMPUTED_VALUE"""),"CSE420-12
07D-20C")</f>
        <v>CSE420-12
07D-20C</v>
      </c>
      <c r="C14" s="90" t="str">
        <f>IFERROR(__xludf.DUMMYFUNCTION("""COMPUTED_VALUE"""),"CSE420-13
07D-20C")</f>
        <v>CSE420-13
07D-20C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 By
Appointment")</f>
        <v>Consultation By
Appointment</v>
      </c>
      <c r="F14" s="90" t="str">
        <f>IFERROR(__xludf.DUMMYFUNCTION("""COMPUTED_VALUE"""),"Consultation By
Appointment")</f>
        <v>Consultation By
Appointment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Sultanul Arifin</v>
      </c>
      <c r="E4" s="57"/>
      <c r="F4" s="58" t="s">
        <v>1</v>
      </c>
      <c r="G4" s="59" t="s">
        <v>150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sultanul.arifin@bracu.ac.bd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IFERROR(__xludf.DUMMYFUNCTION("""COMPUTED_VALUE"""),"CSE421-18 (LAB)
SULT,WBH
10E-27L,CSE421-27 (LAB)
SULT,WBH
10E-27L")</f>
        <v>CSE421-18 (LAB)
SULT,WBH
10E-27L,CSE421-27 (LAB)
SULT,WBH
10E-27L</v>
      </c>
      <c r="C10" s="90" t="str">
        <f>IFERROR(__xludf.DUMMYFUNCTION("""COMPUTED_VALUE"""),"CSE421-18 (LAB)
SULT,WBH
10E-27L,CSE421-27 (LAB)
SULT,WBH
10E-27L")</f>
        <v>CSE421-18 (LAB)
SULT,WBH
10E-27L,CSE421-27 (LAB)
SULT,WBH
10E-27L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IFERROR(__xludf.DUMMYFUNCTION("""COMPUTED_VALUE"""),"CSE330-07 (LAB)
SULT,SADF
09F-27L")</f>
        <v>CSE330-07 (LAB)
SULT,SADF
09F-27L</v>
      </c>
      <c r="G10" s="90" t="str">
        <f>IFERROR(__xludf.DUMMYFUNCTION("""COMPUTED_VALUE"""),"CSE330-07 (LAB)
SULT,SADF
09F-27L")</f>
        <v>CSE330-07 (LAB)
SULT,SADF
09F-27L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IFERROR(__xludf.DUMMYFUNCTION("""COMPUTED_VALUE"""),"CSE330-14 (LAB)
ARD,SULT
10G-34L")</f>
        <v>CSE330-14 (LAB)
ARD,SULT
10G-34L</v>
      </c>
      <c r="E11" s="90" t="str">
        <f>IFERROR(__xludf.DUMMYFUNCTION("""COMPUTED_VALUE"""),"CSE330-14 (LAB)
ARD,SULT
10G-34L")</f>
        <v>CSE330-14 (LAB)
ARD,SULT
10G-34L</v>
      </c>
      <c r="F11" s="90" t="str">
        <f>IFERROR(__xludf.DUMMYFUNCTION("""COMPUTED_VALUE"""),"CSE330-15 (LAB)
SULT,MNP
10G-34L")</f>
        <v>CSE330-15 (LAB)
SULT,MNP
10G-34L</v>
      </c>
      <c r="G11" s="90" t="str">
        <f>IFERROR(__xludf.DUMMYFUNCTION("""COMPUTED_VALUE"""),"CSE330-15 (LAB)
SULT,MNP
10G-34L")</f>
        <v>CSE330-15 (LAB)
SULT,MNP
10G-34L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IFERROR(__xludf.DUMMYFUNCTION("""COMPUTED_VALUE"""),"CSE321-18 (LAB)
SULT,ASMN
12D-26L")</f>
        <v>CSE321-18 (LAB)
SULT,ASMN
12D-26L</v>
      </c>
      <c r="C12" s="90" t="str">
        <f>IFERROR(__xludf.DUMMYFUNCTION("""COMPUTED_VALUE"""),"CSE321-18 (LAB)
SULT,ASMN
12D-26L")</f>
        <v>CSE321-18 (LAB)
SULT,ASMN
12D-26L</v>
      </c>
      <c r="D12" s="90" t="str">
        <f>IFERROR(__xludf.DUMMYFUNCTION("""COMPUTED_VALUE"""),"CSE321-19 (LAB)
SULT,SWV
12D-26L")</f>
        <v>CSE321-19 (LAB)
SULT,SWV
12D-26L</v>
      </c>
      <c r="E12" s="90" t="str">
        <f>IFERROR(__xludf.DUMMYFUNCTION("""COMPUTED_VALUE"""),"CSE321-19 (LAB)
SULT,SWV
12D-26L")</f>
        <v>CSE321-19 (LAB)
SULT,SWV
12D-26L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IFERROR(__xludf.DUMMYFUNCTION("""COMPUTED_VALUE"""),"CSE321-10 (LAB)
SULT,MLH
12D-26L")</f>
        <v>CSE321-10 (LAB)
SULT,MLH
12D-26L</v>
      </c>
      <c r="C13" s="90" t="str">
        <f>IFERROR(__xludf.DUMMYFUNCTION("""COMPUTED_VALUE"""),"CSE321-10 (LAB)
SULT,MLH
12D-26L")</f>
        <v>CSE321-10 (LAB)
SULT,MLH
12D-26L</v>
      </c>
      <c r="D13" s="90" t="str">
        <f>IFERROR(__xludf.DUMMYFUNCTION("""COMPUTED_VALUE"""),"CSE321-13 (LAB)
SULT,MAO
12D-27L")</f>
        <v>CSE321-13 (LAB)
SULT,MAO
12D-27L</v>
      </c>
      <c r="E13" s="90" t="str">
        <f>IFERROR(__xludf.DUMMYFUNCTION("""COMPUTED_VALUE"""),"CSE321-13 (LAB)
SULT,MAO
12D-27L")</f>
        <v>CSE321-13 (LAB)
SULT,MAO
12D-27L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Souvik Ghosh</v>
      </c>
      <c r="E4" s="57"/>
      <c r="F4" s="58" t="s">
        <v>1</v>
      </c>
      <c r="G4" s="59" t="s">
        <v>151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souvik.ghosh@bracu.ac.bd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4M131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IFERROR(__xludf.DUMMYFUNCTION("""COMPUTED_VALUE"""),"CSE340-15
09A-02C")</f>
        <v>CSE340-15
09A-02C</v>
      </c>
      <c r="G10" s="90" t="str">
        <f>IFERROR(__xludf.DUMMYFUNCTION("""COMPUTED_VALUE"""),"CSE340-16
09A-02C")</f>
        <v>CSE340-16
09A-02C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IFERROR(__xludf.DUMMYFUNCTION("""COMPUTED_VALUE"""),"CSE321-21
09A-07C")</f>
        <v>CSE321-21
09A-07C</v>
      </c>
      <c r="C11" s="90" t="str">
        <f>IFERROR(__xludf.DUMMYFUNCTION("""COMPUTED_VALUE"""),"CSE321-22
09A-07C")</f>
        <v>CSE321-22
09A-07C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IFERROR(__xludf.DUMMYFUNCTION("""COMPUTED_VALUE"""),"CSE340-15
09A-02C")</f>
        <v>CSE340-15
09A-02C</v>
      </c>
      <c r="G12" s="90" t="str">
        <f>IFERROR(__xludf.DUMMYFUNCTION("""COMPUTED_VALUE"""),"CSE340-16
09A-02C")</f>
        <v>CSE340-16
09A-02C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IFERROR(__xludf.DUMMYFUNCTION("""COMPUTED_VALUE"""),"CSE321-21
09A-07C")</f>
        <v>CSE321-21
09A-07C</v>
      </c>
      <c r="C13" s="90" t="str">
        <f>IFERROR(__xludf.DUMMYFUNCTION("""COMPUTED_VALUE"""),"CSE321-22
09A-07C")</f>
        <v>CSE321-22
09A-07C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Swattic Ghose</v>
      </c>
      <c r="E4" s="57"/>
      <c r="F4" s="58" t="s">
        <v>1</v>
      </c>
      <c r="G4" s="59" t="s">
        <v>152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swattic.ghose@bracu.ac.bd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IFERROR(__xludf.DUMMYFUNCTION("""COMPUTED_VALUE"""),"CSE422-13
09D-17C")</f>
        <v>CSE422-13
09D-17C</v>
      </c>
      <c r="E10" s="90" t="str">
        <f>IFERROR(__xludf.DUMMYFUNCTION("""COMPUTED_VALUE"""),"CSE422-14
09D-17C")</f>
        <v>CSE422-14
09D-17C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IFERROR(__xludf.DUMMYFUNCTION("""COMPUTED_VALUE"""),"CSE220-14
09H-32C")</f>
        <v>CSE220-14
09H-32C</v>
      </c>
      <c r="D11" s="90" t="str">
        <f>IFERROR(__xludf.DUMMYFUNCTION("""COMPUTED_VALUE"""),"CSE220-04 (LAB)
MZG,SWG
09B-11L")</f>
        <v>CSE220-04 (LAB)
MZG,SWG
09B-11L</v>
      </c>
      <c r="E11" s="90" t="str">
        <f>IFERROR(__xludf.DUMMYFUNCTION("""COMPUTED_VALUE"""),"CSE220-04 (LAB)
MZG,SWG
09B-11L")</f>
        <v>CSE220-04 (LAB)
MZG,SWG
09B-11L</v>
      </c>
      <c r="F11" s="90" t="str">
        <f>IFERROR(__xludf.DUMMYFUNCTION("""COMPUTED_VALUE"""),"CSE220-15
09H-32C")</f>
        <v>CSE220-15
09H-32C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IFERROR(__xludf.DUMMYFUNCTION("""COMPUTED_VALUE"""),"CSE422-13
09D-17C")</f>
        <v>CSE422-13
09D-17C</v>
      </c>
      <c r="E12" s="90" t="str">
        <f>IFERROR(__xludf.DUMMYFUNCTION("""COMPUTED_VALUE"""),"CSE422-14
09D-17C")</f>
        <v>CSE422-14
09D-17C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IFERROR(__xludf.DUMMYFUNCTION("""COMPUTED_VALUE"""),"CSE220-14
09H-32C")</f>
        <v>CSE220-14
09H-32C</v>
      </c>
      <c r="D13" s="90" t="str">
        <f>IFERROR(__xludf.DUMMYFUNCTION("""COMPUTED_VALUE"""),"CSE422-04 (LAB)
DPU,SWG
09F-26L")</f>
        <v>CSE422-04 (LAB)
DPU,SWG
09F-26L</v>
      </c>
      <c r="E13" s="90" t="str">
        <f>IFERROR(__xludf.DUMMYFUNCTION("""COMPUTED_VALUE"""),"CSE422-04 (LAB)
DPU,SWG
09F-26L")</f>
        <v>CSE422-04 (LAB)
DPU,SWG
09F-26L</v>
      </c>
      <c r="F13" s="90" t="str">
        <f>IFERROR(__xludf.DUMMYFUNCTION("""COMPUTED_VALUE"""),"CSE220-15
09H-32C")</f>
        <v>CSE220-15
09H-32C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Swakkhar Shatabda</v>
      </c>
      <c r="E4" s="57"/>
      <c r="F4" s="58" t="s">
        <v>1</v>
      </c>
      <c r="G4" s="59" t="s">
        <v>153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swakkhar.shatabda@bracu.ac.bd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IFERROR(__xludf.DUMMYFUNCTION("""COMPUTED_VALUE"""),"CSE443-01
10B-15C")</f>
        <v>CSE443-01
10B-15C</v>
      </c>
      <c r="C11" s="90" t="str">
        <f>IFERROR(__xludf.DUMMYFUNCTION("""COMPUTED_VALUE"""),"Consultation")</f>
        <v>Consultation</v>
      </c>
      <c r="D11" s="90" t="str">
        <f>IFERROR(__xludf.DUMMYFUNCTION("""COMPUTED_VALUE"""),"Consultation")</f>
        <v>Consultation</v>
      </c>
      <c r="E11" s="90" t="str">
        <f>IFERROR(__xludf.DUMMYFUNCTION("""COMPUTED_VALUE"""),"Research")</f>
        <v>Research</v>
      </c>
      <c r="F11" s="90" t="str">
        <f>IFERROR(__xludf.DUMMYFUNCTION("""COMPUTED_VALUE"""),"Research")</f>
        <v>Research</v>
      </c>
      <c r="G11" s="90" t="str">
        <f>IFERROR(__xludf.DUMMYFUNCTION("""COMPUTED_VALUE"""),"Research")</f>
        <v>Research</v>
      </c>
      <c r="H11" s="90" t="str">
        <f>IFERROR(__xludf.DUMMYFUNCTION("""COMPUTED_VALUE"""),"Research")</f>
        <v>Research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IFERROR(__xludf.DUMMYFUNCTION("""COMPUTED_VALUE"""),"Thesis (UG)")</f>
        <v>Thesis (UG)</v>
      </c>
      <c r="D12" s="90" t="str">
        <f>IFERROR(__xludf.DUMMYFUNCTION("""COMPUTED_VALUE"""),"Thesis (UG)")</f>
        <v>Thesis (UG)</v>
      </c>
      <c r="E12" s="90" t="str">
        <f>IFERROR(__xludf.DUMMYFUNCTION("""COMPUTED_VALUE"""),"Thesis (UG)")</f>
        <v>Thesis (UG)</v>
      </c>
      <c r="F12" s="90" t="str">
        <f>IFERROR(__xludf.DUMMYFUNCTION("""COMPUTED_VALUE"""),"Thesis (UG)")</f>
        <v>Thesis (UG)</v>
      </c>
      <c r="G12" s="90" t="str">
        <f>IFERROR(__xludf.DUMMYFUNCTION("""COMPUTED_VALUE"""),"Consultation")</f>
        <v>Consultation</v>
      </c>
      <c r="H12" s="90" t="str">
        <f>IFERROR(__xludf.DUMMYFUNCTION("""COMPUTED_VALUE"""),"Consultation")</f>
        <v>Consultation</v>
      </c>
      <c r="I12" s="90" t="str">
        <f>IFERROR(__xludf.DUMMYFUNCTION("""COMPUTED_VALUE"""),"CSE763-01
08H-26C")</f>
        <v>CSE763-01
08H-26C</v>
      </c>
      <c r="J12" s="91" t="str">
        <f>IFERROR(__xludf.DUMMYFUNCTION("""COMPUTED_VALUE"""),"CSE763-01
08H-26C")</f>
        <v>CSE763-01
08H-26C</v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IFERROR(__xludf.DUMMYFUNCTION("""COMPUTED_VALUE"""),"CSE443-01
10B-15C")</f>
        <v>CSE443-01
10B-15C</v>
      </c>
      <c r="C13" s="90" t="str">
        <f>IFERROR(__xludf.DUMMYFUNCTION("""COMPUTED_VALUE"""),"Consultation")</f>
        <v>Consultation</v>
      </c>
      <c r="D13" s="90" t="str">
        <f>IFERROR(__xludf.DUMMYFUNCTION("""COMPUTED_VALUE"""),"Consultation")</f>
        <v>Consultation</v>
      </c>
      <c r="E13" s="90" t="str">
        <f>IFERROR(__xludf.DUMMYFUNCTION("""COMPUTED_VALUE"""),"Research")</f>
        <v>Research</v>
      </c>
      <c r="F13" s="90" t="str">
        <f>IFERROR(__xludf.DUMMYFUNCTION("""COMPUTED_VALUE"""),"Research")</f>
        <v>Research</v>
      </c>
      <c r="G13" s="90" t="str">
        <f>IFERROR(__xludf.DUMMYFUNCTION("""COMPUTED_VALUE"""),"Research")</f>
        <v>Research</v>
      </c>
      <c r="H13" s="90" t="str">
        <f>IFERROR(__xludf.DUMMYFUNCTION("""COMPUTED_VALUE"""),"Research")</f>
        <v>Research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IFERROR(__xludf.DUMMYFUNCTION("""COMPUTED_VALUE"""),"Research")</f>
        <v>Research</v>
      </c>
      <c r="C14" s="90" t="str">
        <f>IFERROR(__xludf.DUMMYFUNCTION("""COMPUTED_VALUE"""),"Research")</f>
        <v>Research</v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IFERROR(__xludf.DUMMYFUNCTION("""COMPUTED_VALUE"""),"Research")</f>
        <v>Research</v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Showvik Biswas</v>
      </c>
      <c r="E4" s="57"/>
      <c r="F4" s="58" t="s">
        <v>1</v>
      </c>
      <c r="G4" s="59" t="s">
        <v>154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showvik.biswas@bracu.ac.bd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IFERROR(__xludf.DUMMYFUNCTION("""COMPUTED_VALUE"""),"CSE321-12
09D-17C")</f>
        <v>CSE321-12
09D-17C</v>
      </c>
      <c r="G10" s="90" t="str">
        <f>IFERROR(__xludf.DUMMYFUNCTION("""COMPUTED_VALUE"""),"CSE321-13
09D-17C")</f>
        <v>CSE321-13
09D-17C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IFERROR(__xludf.DUMMYFUNCTION("""COMPUTED_VALUE"""),"CSE340-09
09B-12C")</f>
        <v>CSE340-09
09B-12C</v>
      </c>
      <c r="E11" s="90" t="str">
        <f>IFERROR(__xludf.DUMMYFUNCTION("""COMPUTED_VALUE"""),"CSE340-10
09B-12C")</f>
        <v>CSE340-10
09B-12C</v>
      </c>
      <c r="F11" s="90" t="str">
        <f>IFERROR(__xludf.DUMMYFUNCTION("""COMPUTED_VALUE"""),"CSE321-16 (LAB)
SWV,KBS
12D-27L")</f>
        <v>CSE321-16 (LAB)
SWV,KBS
12D-27L</v>
      </c>
      <c r="G11" s="90" t="str">
        <f>IFERROR(__xludf.DUMMYFUNCTION("""COMPUTED_VALUE"""),"CSE321-16 (LAB)
SWV,KBS
12D-27L")</f>
        <v>CSE321-16 (LAB)
SWV,KBS
12D-27L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IFERROR(__xludf.DUMMYFUNCTION("""COMPUTED_VALUE"""),"CSE321-19 (LAB)
SULT,SWV
12D-26L")</f>
        <v>CSE321-19 (LAB)
SULT,SWV
12D-26L</v>
      </c>
      <c r="E12" s="90" t="str">
        <f>IFERROR(__xludf.DUMMYFUNCTION("""COMPUTED_VALUE"""),"CSE321-19 (LAB)
SULT,SWV
12D-26L")</f>
        <v>CSE321-19 (LAB)
SULT,SWV
12D-26L</v>
      </c>
      <c r="F12" s="90" t="str">
        <f>IFERROR(__xludf.DUMMYFUNCTION("""COMPUTED_VALUE"""),"CSE321-12
09D-17C")</f>
        <v>CSE321-12
09D-17C</v>
      </c>
      <c r="G12" s="90" t="str">
        <f>IFERROR(__xludf.DUMMYFUNCTION("""COMPUTED_VALUE"""),"CSE321-13
09D-17C")</f>
        <v>CSE321-13
09D-17C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IFERROR(__xludf.DUMMYFUNCTION("""COMPUTED_VALUE"""),"CSE340-09
09B-12C")</f>
        <v>CSE340-09
09B-12C</v>
      </c>
      <c r="E13" s="90" t="str">
        <f>IFERROR(__xludf.DUMMYFUNCTION("""COMPUTED_VALUE"""),"CSE340-10
09B-12C")</f>
        <v>CSE340-10
09B-12C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Shazid Bin Mahbub</v>
      </c>
      <c r="E4" s="57"/>
      <c r="F4" s="58" t="s">
        <v>1</v>
      </c>
      <c r="G4" s="59" t="s">
        <v>155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shazid.mahbub@bracu.ac.bd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IFERROR(__xludf.DUMMYFUNCTION("""COMPUTED_VALUE"""),"CSE420-04
08H-22C")</f>
        <v>CSE420-04
08H-22C</v>
      </c>
      <c r="D10" s="90" t="str">
        <f>IFERROR(__xludf.DUMMYFUNCTION("""COMPUTED_VALUE"""),"CSE420-08 (LAB)
SZD,RKBR
10E-27L,CSE420-09 (LAB)
SZD,RKBR
10E-27L")</f>
        <v>CSE420-08 (LAB)
SZD,RKBR
10E-27L,CSE420-09 (LAB)
SZD,RKBR
10E-27L</v>
      </c>
      <c r="E10" s="90" t="str">
        <f>IFERROR(__xludf.DUMMYFUNCTION("""COMPUTED_VALUE"""),"CSE420-08 (LAB)
SZD,RKBR
10E-27L,CSE420-09 (LAB)
SZD,RKBR
10E-27L")</f>
        <v>CSE420-08 (LAB)
SZD,RKBR
10E-27L,CSE420-09 (LAB)
SZD,RKBR
10E-27L</v>
      </c>
      <c r="F10" s="90" t="str">
        <f>IFERROR(__xludf.DUMMYFUNCTION("""COMPUTED_VALUE"""),"CSE420-03
09A-06C")</f>
        <v>CSE420-03
09A-06C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IFERROR(__xludf.DUMMYFUNCTION("""COMPUTED_VALUE"""),"CSE420-10 (LAB)
SZD,LRK
10E-27L,CSE420-11 (LAB)
SZD,LRK
10E-27L")</f>
        <v>CSE420-10 (LAB)
SZD,LRK
10E-27L,CSE420-11 (LAB)
SZD,LRK
10E-27L</v>
      </c>
      <c r="E11" s="90" t="str">
        <f>IFERROR(__xludf.DUMMYFUNCTION("""COMPUTED_VALUE"""),"CSE420-10 (LAB)
SZD,LRK
10E-27L,CSE420-11 (LAB)
SZD,LRK
10E-27L")</f>
        <v>CSE420-10 (LAB)
SZD,LRK
10E-27L,CSE420-11 (LAB)
SZD,LRK
10E-27L</v>
      </c>
      <c r="F11" s="90" t="str">
        <f>IFERROR(__xludf.DUMMYFUNCTION("""COMPUTED_VALUE"""),"CSE321-17
09A-05C")</f>
        <v>CSE321-17
09A-05C</v>
      </c>
      <c r="G11" s="90" t="str">
        <f>IFERROR(__xludf.DUMMYFUNCTION("""COMPUTED_VALUE"""),"CSE420-19
09A-05C")</f>
        <v>CSE420-19
09A-05C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IFERROR(__xludf.DUMMYFUNCTION("""COMPUTED_VALUE"""),"CSE420-04
08H-22C")</f>
        <v>CSE420-04
08H-22C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IFERROR(__xludf.DUMMYFUNCTION("""COMPUTED_VALUE"""),"CSE420-03
09A-06C")</f>
        <v>CSE420-03
09A-06C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/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IFERROR(__xludf.DUMMYFUNCTION("""COMPUTED_VALUE"""),"CSE321-17
09A-05C")</f>
        <v>CSE321-17
09A-05C</v>
      </c>
      <c r="G13" s="90" t="str">
        <f>IFERROR(__xludf.DUMMYFUNCTION("""COMPUTED_VALUE"""),"CSE420-19
09A-05C")</f>
        <v>CSE420-19
09A-05C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IFERROR(__xludf.DUMMYFUNCTION("""COMPUTED_VALUE"""),"Please mail atleast 3 hours before coming to consultation ")</f>
        <v>Please mail atleast 3 hours before coming to consultation 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Sazzadul Islam</v>
      </c>
      <c r="E4" s="57"/>
      <c r="F4" s="58" t="s">
        <v>1</v>
      </c>
      <c r="G4" s="59" t="s">
        <v>156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sazzadul.islam@bracu.ac.bd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IFERROR(__xludf.DUMMYFUNCTION("""COMPUTED_VALUE"""),"CSE350-09A
07H-26C,CSE350-09B
07H-26C")</f>
        <v>CSE350-09A
07H-26C,CSE350-09B
07H-26C</v>
      </c>
      <c r="D9" s="86" t="str">
        <f>IFERROR(__xludf.DUMMYFUNCTION("""COMPUTED_VALUE"""),"CSE251-01A (LAB)
SEF,SZZ
12B-20L")</f>
        <v>CSE251-01A (LAB)
SEF,SZZ
12B-20L</v>
      </c>
      <c r="E9" s="86" t="str">
        <f>IFERROR(__xludf.DUMMYFUNCTION("""COMPUTED_VALUE"""),"CSE251-01A (LAB)
SEF,SZZ
12B-20L")</f>
        <v>CSE251-01A (LAB)
SEF,SZZ
12B-20L</v>
      </c>
      <c r="F9" s="86" t="str">
        <f>IFERROR(__xludf.DUMMYFUNCTION("""COMPUTED_VALUE"""),"CSE251-06A (LAB)
SZZ,FFR
FT10-01L")</f>
        <v>CSE251-06A (LAB)
SZZ,FFR
FT10-01L</v>
      </c>
      <c r="G9" s="86" t="str">
        <f>IFERROR(__xludf.DUMMYFUNCTION("""COMPUTED_VALUE"""),"CSE251-06A (LAB)
SZZ,FFR
FT10-01L")</f>
        <v>CSE251-06A (LAB)
SZZ,FFR
FT10-01L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IFERROR(__xludf.DUMMYFUNCTION("""COMPUTED_VALUE"""),"Consultation")</f>
        <v>Consultation</v>
      </c>
      <c r="F11" s="90" t="str">
        <f>IFERROR(__xludf.DUMMYFUNCTION("""COMPUTED_VALUE"""),"CSE350-09A (LAB)
SDU,SZZ
12B-20L")</f>
        <v>CSE350-09A (LAB)
SDU,SZZ
12B-20L</v>
      </c>
      <c r="G11" s="90" t="str">
        <f>IFERROR(__xludf.DUMMYFUNCTION("""COMPUTED_VALUE"""),"CSE350-09A (LAB)
SDU,SZZ
12B-20L")</f>
        <v>CSE350-09A (LAB)
SDU,SZZ
12B-20L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IFERROR(__xludf.DUMMYFUNCTION("""COMPUTED_VALUE"""),"CSE251-04A (LAB)
SZZ,SEF
12B-20L")</f>
        <v>CSE251-04A (LAB)
SZZ,SEF
12B-20L</v>
      </c>
      <c r="C13" s="90" t="str">
        <f>IFERROR(__xludf.DUMMYFUNCTION("""COMPUTED_VALUE"""),"CSE251-04A (LAB)
SZZ,SEF
12B-20L")</f>
        <v>CSE251-04A (LAB)
SZZ,SEF
12B-20L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IFERROR(__xludf.DUMMYFUNCTION("""COMPUTED_VALUE"""),"CSE350-02B (LAB)
SZZ,UPM
FT11-01L")</f>
        <v>CSE350-02B (LAB)
SZZ,UPM
FT11-01L</v>
      </c>
      <c r="G13" s="90" t="str">
        <f>IFERROR(__xludf.DUMMYFUNCTION("""COMPUTED_VALUE"""),"CSE350-02B (LAB)
SZZ,UPM
FT11-01L")</f>
        <v>CSE350-02B (LAB)
SZZ,UPM
FT11-01L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IFERROR(__xludf.DUMMYFUNCTION("""COMPUTED_VALUE"""),"CSE350-09A
07H-26C,CSE350-09B
07H-26C")</f>
        <v>CSE350-09A
07H-26C,CSE350-09B
07H-26C</v>
      </c>
      <c r="D14" s="90" t="str">
        <f>IFERROR(__xludf.DUMMYFUNCTION("""COMPUTED_VALUE"""),"CSE251-05B (LAB)
SDQ,SZZ
12B-20L")</f>
        <v>CSE251-05B (LAB)
SDQ,SZZ
12B-20L</v>
      </c>
      <c r="E14" s="90" t="str">
        <f>IFERROR(__xludf.DUMMYFUNCTION("""COMPUTED_VALUE"""),"CSE251-05B (LAB)
SDQ,SZZ
12B-20L")</f>
        <v>CSE251-05B (LAB)
SDQ,SZZ
12B-20L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Tasnim Ahsan Prome</v>
      </c>
      <c r="E4" s="57"/>
      <c r="F4" s="58" t="s">
        <v>1</v>
      </c>
      <c r="G4" s="59" t="s">
        <v>157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tasnim.ahsan@bracu.ac.bd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IFERROR(__xludf.DUMMYFUNCTION("""COMPUTED_VALUE"""),"CSE221-10 (LAB)
TAP,MZW
09B-09L")</f>
        <v>CSE221-10 (LAB)
TAP,MZW
09B-09L</v>
      </c>
      <c r="E9" s="86" t="str">
        <f>IFERROR(__xludf.DUMMYFUNCTION("""COMPUTED_VALUE"""),"CSE221-10 (LAB)
TAP,MZW
09B-09L")</f>
        <v>CSE221-10 (LAB)
TAP,MZW
09B-09L</v>
      </c>
      <c r="F9" s="86" t="str">
        <f>IFERROR(__xludf.DUMMYFUNCTION("""COMPUTED_VALUE"""),"CSE221-14
10A-10C")</f>
        <v>CSE221-14
10A-10C</v>
      </c>
      <c r="G9" s="86" t="str">
        <f>IFERROR(__xludf.DUMMYFUNCTION("""COMPUTED_VALUE"""),"CSE221-15
10A-10C")</f>
        <v>CSE221-15
10A-10C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IFERROR(__xludf.DUMMYFUNCTION("""COMPUTED_VALUE"""),"CSE221-06 (LAB)
ZLNM,TAP
09F-25L")</f>
        <v>CSE221-06 (LAB)
ZLNM,TAP
09F-25L</v>
      </c>
      <c r="C10" s="90" t="str">
        <f>IFERROR(__xludf.DUMMYFUNCTION("""COMPUTED_VALUE"""),"CSE221-06 (LAB)
ZLNM,TAP
09F-25L")</f>
        <v>CSE221-06 (LAB)
ZLNM,TAP
09F-25L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IFERROR(__xludf.DUMMYFUNCTION("""COMPUTED_VALUE"""),"CSE320-11
09D-18C")</f>
        <v>CSE320-11
09D-18C</v>
      </c>
      <c r="G10" s="90" t="str">
        <f>IFERROR(__xludf.DUMMYFUNCTION("""COMPUTED_VALUE"""),"CSE320-12
09D-18C")</f>
        <v>CSE320-12
09D-18C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IFERROR(__xludf.DUMMYFUNCTION("""COMPUTED_VALUE"""),"CSE320-11
09D-18C")</f>
        <v>CSE320-11
09D-18C</v>
      </c>
      <c r="G12" s="90" t="str">
        <f>IFERROR(__xludf.DUMMYFUNCTION("""COMPUTED_VALUE"""),"CSE320-12
09D-18C")</f>
        <v>CSE320-12
09D-18C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IFERROR(__xludf.DUMMYFUNCTION("""COMPUTED_VALUE"""),"CSE221-14
10A-10C")</f>
        <v>CSE221-14
10A-10C</v>
      </c>
      <c r="G14" s="90" t="str">
        <f>IFERROR(__xludf.DUMMYFUNCTION("""COMPUTED_VALUE"""),"CSE221-15
10A-10C")</f>
        <v>CSE221-15
10A-10C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Tarvir Anjum Aditto</v>
      </c>
      <c r="E4" s="57"/>
      <c r="F4" s="58" t="s">
        <v>1</v>
      </c>
      <c r="G4" s="59" t="s">
        <v>158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tarvir.anjum@bracu.ac.bd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IFERROR(__xludf.DUMMYFUNCTION("""COMPUTED_VALUE"""),"CSE251-09A (LAB)
SDQ,TAV
FT10-01L")</f>
        <v>CSE251-09A (LAB)
SDQ,TAV
FT10-01L</v>
      </c>
      <c r="E10" s="90" t="str">
        <f>IFERROR(__xludf.DUMMYFUNCTION("""COMPUTED_VALUE"""),"CSE251-09A (LAB)
SDQ,TAV
FT10-01L")</f>
        <v>CSE251-09A (LAB)
SDQ,TAV
FT10-01L</v>
      </c>
      <c r="F10" s="90" t="str">
        <f>IFERROR(__xludf.DUMMYFUNCTION("""COMPUTED_VALUE"""),"CSE250-05A (LAB)
TAV,FFR
FT10-01L")</f>
        <v>CSE250-05A (LAB)
TAV,FFR
FT10-01L</v>
      </c>
      <c r="G10" s="90" t="str">
        <f>IFERROR(__xludf.DUMMYFUNCTION("""COMPUTED_VALUE"""),"CSE250-05A (LAB)
TAV,FFR
FT10-01L")</f>
        <v>CSE250-05A (LAB)
TAV,FFR
FT10-01L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IFERROR(__xludf.DUMMYFUNCTION("""COMPUTED_VALUE"""),"CSE490D-01
09A-06C")</f>
        <v>CSE490D-01
09A-06C</v>
      </c>
      <c r="C11" s="90" t="str">
        <f>IFERROR(__xludf.DUMMYFUNCTION("""COMPUTED_VALUE"""),"Consultation")</f>
        <v>Consultation</v>
      </c>
      <c r="D11" s="90" t="str">
        <f>IFERROR(__xludf.DUMMYFUNCTION("""COMPUTED_VALUE"""),"CSE251-06A
09A-01C,CSE251-06B
09A-01C")</f>
        <v>CSE251-06A
09A-01C,CSE251-06B
09A-01C</v>
      </c>
      <c r="E11" s="90" t="str">
        <f>IFERROR(__xludf.DUMMYFUNCTION("""COMPUTED_VALUE"""),"Consultation")</f>
        <v>Consultation</v>
      </c>
      <c r="F11" s="90" t="str">
        <f>IFERROR(__xludf.DUMMYFUNCTION("""COMPUTED_VALUE"""),"CSE430-01 (LAB)
EHQ,TAV
12D-26L")</f>
        <v>CSE430-01 (LAB)
EHQ,TAV
12D-26L</v>
      </c>
      <c r="G11" s="90" t="str">
        <f>IFERROR(__xludf.DUMMYFUNCTION("""COMPUTED_VALUE"""),"CSE430-01 (LAB)
EHQ,TAV
12D-26L")</f>
        <v>CSE430-01 (LAB)
EHQ,TAV
12D-26L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IFERROR(__xludf.DUMMYFUNCTION("""COMPUTED_VALUE"""),"CSE428-01 (LAB)
TAV,SHJR
09F-26L")</f>
        <v>CSE428-01 (LAB)
TAV,SHJR
09F-26L</v>
      </c>
      <c r="E12" s="90" t="str">
        <f>IFERROR(__xludf.DUMMYFUNCTION("""COMPUTED_VALUE"""),"CSE428-01 (LAB)
TAV,SHJR
09F-26L")</f>
        <v>CSE428-01 (LAB)
TAV,SHJR
09F-26L</v>
      </c>
      <c r="F12" s="90" t="str">
        <f>IFERROR(__xludf.DUMMYFUNCTION("""COMPUTED_VALUE"""),"CSE251-10A (LAB)
TAV,NUR
FT10-01L")</f>
        <v>CSE251-10A (LAB)
TAV,NUR
FT10-01L</v>
      </c>
      <c r="G12" s="90" t="str">
        <f>IFERROR(__xludf.DUMMYFUNCTION("""COMPUTED_VALUE"""),"CSE251-10A (LAB)
TAV,NUR
FT10-01L")</f>
        <v>CSE251-10A (LAB)
TAV,NUR
FT10-01L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IFERROR(__xludf.DUMMYFUNCTION("""COMPUTED_VALUE"""),"CSE490D-01
09A-06C")</f>
        <v>CSE490D-01
09A-06C</v>
      </c>
      <c r="C13" s="90" t="str">
        <f>IFERROR(__xludf.DUMMYFUNCTION("""COMPUTED_VALUE"""),"Consultation")</f>
        <v>Consultation</v>
      </c>
      <c r="D13" s="90" t="str">
        <f>IFERROR(__xludf.DUMMYFUNCTION("""COMPUTED_VALUE"""),"CSE251-06A
09A-01C,CSE251-06B
09A-01C")</f>
        <v>CSE251-06A
09A-01C,CSE251-06B
09A-01C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DM me on Discord or email before coming to consultation hours as I may occasionally be away from my desk. If the scheduled times don't work for you, feel free to contact me and we'll fix another time.")</f>
        <v>**Please DM me on Discord or email before coming to consultation hours as I may occasionally be away from my desk. If the scheduled times don't work for you, feel free to contact me and we'll fix another time.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Tawhid Anwar</v>
      </c>
      <c r="E4" s="57"/>
      <c r="F4" s="58" t="s">
        <v>1</v>
      </c>
      <c r="G4" s="59" t="s">
        <v>159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tawhid.anwar@bracu.ac.bd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IFERROR(__xludf.DUMMYFUNCTION("""COMPUTED_VALUE"""),"CSE111-02
10A-05C")</f>
        <v>CSE111-02
10A-05C</v>
      </c>
      <c r="E10" s="90" t="str">
        <f>IFERROR(__xludf.DUMMYFUNCTION("""COMPUTED_VALUE"""),"CSE111-03
10A-05C")</f>
        <v>CSE111-03
10A-05C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IFERROR(__xludf.DUMMYFUNCTION("""COMPUTED_VALUE"""),"CSE110-05
10A-05C")</f>
        <v>CSE110-05
10A-05C</v>
      </c>
      <c r="E11" s="90" t="str">
        <f>IFERROR(__xludf.DUMMYFUNCTION("""COMPUTED_VALUE"""),"CSE111-04
10A-05C")</f>
        <v>CSE111-04
10A-05C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IFERROR(__xludf.DUMMYFUNCTION("""COMPUTED_VALUE"""),"CSE111-02
10A-05C")</f>
        <v>CSE111-02
10A-05C</v>
      </c>
      <c r="E12" s="90" t="str">
        <f>IFERROR(__xludf.DUMMYFUNCTION("""COMPUTED_VALUE"""),"CSE111-03
10A-05C")</f>
        <v>CSE111-03
10A-05C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IFERROR(__xludf.DUMMYFUNCTION("""COMPUTED_VALUE"""),"CSE110-05
10A-05C")</f>
        <v>CSE110-05
10A-05C</v>
      </c>
      <c r="E13" s="90" t="str">
        <f>IFERROR(__xludf.DUMMYFUNCTION("""COMPUTED_VALUE"""),"CSE111-04
10A-05C")</f>
        <v>CSE111-04
10A-05C</v>
      </c>
      <c r="F13" s="90" t="str">
        <f>IFERROR(__xludf.DUMMYFUNCTION("""COMPUTED_VALUE"""),"CSE111-02 (LAB)
TAW,AOH
12F-32L")</f>
        <v>CSE111-02 (LAB)
TAW,AOH
12F-32L</v>
      </c>
      <c r="G13" s="90" t="str">
        <f>IFERROR(__xludf.DUMMYFUNCTION("""COMPUTED_VALUE"""),"CSE111-02 (LAB)
TAW,AOH
12F-32L")</f>
        <v>CSE111-02 (LAB)
TAW,AOH
12F-32L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IFERROR(__xludf.DUMMYFUNCTION("""COMPUTED_VALUE"""),"CSE111-04 (LAB)
TAW,RKBM
12F-32L")</f>
        <v>CSE111-04 (LAB)
TAW,RKBM
12F-32L</v>
      </c>
      <c r="E14" s="90" t="str">
        <f>IFERROR(__xludf.DUMMYFUNCTION("""COMPUTED_VALUE"""),"CSE111-04 (LAB)
TAW,RKBM
12F-32L")</f>
        <v>CSE111-04 (LAB)
TAW,RKBM
12F-32L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Mohammad Tahsin Alam</v>
      </c>
      <c r="E4" s="57"/>
      <c r="F4" s="58" t="s">
        <v>1</v>
      </c>
      <c r="G4" s="59" t="s">
        <v>160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tahsin.alam@bracu.ac.bd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IFERROR(__xludf.DUMMYFUNCTION("""COMPUTED_VALUE"""),"CSE250-09A (LAB)
PDS,THL
12B-20L")</f>
        <v>CSE250-09A (LAB)
PDS,THL
12B-20L</v>
      </c>
      <c r="E10" s="90" t="str">
        <f>IFERROR(__xludf.DUMMYFUNCTION("""COMPUTED_VALUE"""),"CSE250-09A (LAB)
PDS,THL
12B-20L")</f>
        <v>CSE250-09A (LAB)
PDS,THL
12B-20L</v>
      </c>
      <c r="F10" s="90" t="str">
        <f>IFERROR(__xludf.DUMMYFUNCTION("""COMPUTED_VALUE"""),"CSE460-05 (LAB)
THL,MTOT
10G-32L")</f>
        <v>CSE460-05 (LAB)
THL,MTOT
10G-32L</v>
      </c>
      <c r="G10" s="90" t="str">
        <f>IFERROR(__xludf.DUMMYFUNCTION("""COMPUTED_VALUE"""),"CSE460-05 (LAB)
THL,MTOT
10G-32L")</f>
        <v>CSE460-05 (LAB)
THL,MTOT
10G-32L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IFERROR(__xludf.DUMMYFUNCTION("""COMPUTED_VALUE"""),"CSE460-05
09A-01C")</f>
        <v>CSE460-05
09A-01C</v>
      </c>
      <c r="C11" s="90" t="str">
        <f>IFERROR(__xludf.DUMMYFUNCTION("""COMPUTED_VALUE"""),"CSE460-06
10B-17C")</f>
        <v>CSE460-06
10B-17C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IFERROR(__xludf.DUMMYFUNCTION("""COMPUTED_VALUE"""),"CSE350-07A (LAB)
THL,TSE
12B-20L")</f>
        <v>CSE350-07A (LAB)
THL,TSE
12B-20L</v>
      </c>
      <c r="C12" s="90" t="str">
        <f>IFERROR(__xludf.DUMMYFUNCTION("""COMPUTED_VALUE"""),"CSE350-07A (LAB)
THL,TSE
12B-20L")</f>
        <v>CSE350-07A (LAB)
THL,TSE
12B-20L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IFERROR(__xludf.DUMMYFUNCTION("""COMPUTED_VALUE"""),"CSE460-11 (LAB)
THL,RAS
09E-21L")</f>
        <v>CSE460-11 (LAB)
THL,RAS
09E-21L</v>
      </c>
      <c r="G12" s="90" t="str">
        <f>IFERROR(__xludf.DUMMYFUNCTION("""COMPUTED_VALUE"""),"CSE460-11 (LAB)
THL,RAS
09E-21L")</f>
        <v>CSE460-11 (LAB)
THL,RAS
09E-21L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IFERROR(__xludf.DUMMYFUNCTION("""COMPUTED_VALUE"""),"CSE460-05
09A-01C")</f>
        <v>CSE460-05
09A-01C</v>
      </c>
      <c r="C13" s="90" t="str">
        <f>IFERROR(__xludf.DUMMYFUNCTION("""COMPUTED_VALUE"""),"CSE460-06
10B-17C")</f>
        <v>CSE460-06
10B-17C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Tahsin Tanim Ramisha</v>
      </c>
      <c r="E4" s="57"/>
      <c r="F4" s="58" t="s">
        <v>1</v>
      </c>
      <c r="G4" s="59" t="s">
        <v>249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ext.tahsin.ramisha@bracu.ac.bd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IFERROR(__xludf.DUMMYFUNCTION("""COMPUTED_VALUE"""),"CSE260-06B (LAB)
THR,AAF
FT10-03L")</f>
        <v>CSE260-06B (LAB)
THR,AAF
FT10-03L</v>
      </c>
      <c r="C9" s="86" t="str">
        <f>IFERROR(__xludf.DUMMYFUNCTION("""COMPUTED_VALUE"""),"CSE260-06B (LAB)
THR,AAF
FT10-03L")</f>
        <v>CSE260-06B (LAB)
THR,AAF
FT10-03L</v>
      </c>
      <c r="D9" s="86" t="str">
        <f>IFERROR(__xludf.DUMMYFUNCTION("""COMPUTED_VALUE"""),"CSE260-24A (LAB)
PBK,THR
FT10-02L")</f>
        <v>CSE260-24A (LAB)
PBK,THR
FT10-02L</v>
      </c>
      <c r="E9" s="86" t="str">
        <f>IFERROR(__xludf.DUMMYFUNCTION("""COMPUTED_VALUE"""),"CSE260-24A (LAB)
PBK,THR
FT10-02L")</f>
        <v>CSE260-24A (LAB)
PBK,THR
FT10-02L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IFERROR(__xludf.DUMMYFUNCTION("""COMPUTED_VALUE"""),"CSE260-25A (LAB)
SMDS,THR
FT10-04L")</f>
        <v>CSE260-25A (LAB)
SMDS,THR
FT10-04L</v>
      </c>
      <c r="C10" s="90" t="str">
        <f>IFERROR(__xludf.DUMMYFUNCTION("""COMPUTED_VALUE"""),"CSE260-25A (LAB)
SMDS,THR
FT10-04L")</f>
        <v>CSE260-25A (LAB)
SMDS,THR
FT10-04L</v>
      </c>
      <c r="D10" s="90" t="str">
        <f>IFERROR(__xludf.DUMMYFUNCTION("""COMPUTED_VALUE"""),"CSE260-26A (LAB)
PBK,THR
FT10-02L")</f>
        <v>CSE260-26A (LAB)
PBK,THR
FT10-02L</v>
      </c>
      <c r="E10" s="90" t="str">
        <f>IFERROR(__xludf.DUMMYFUNCTION("""COMPUTED_VALUE"""),"CSE260-26A (LAB)
PBK,THR
FT10-02L")</f>
        <v>CSE260-26A (LAB)
PBK,THR
FT10-02L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IFERROR(__xludf.DUMMYFUNCTION("""COMPUTED_VALUE"""),"Consultation")</f>
        <v>Consultation</v>
      </c>
      <c r="F13" s="90" t="str">
        <f>IFERROR(__xludf.DUMMYFUNCTION("""COMPUTED_VALUE"""),"CSE421-08 (LAB)
RKBR,THR
09F-25L,CSE421-09 (LAB)
RKBR,THR
09F-25L")</f>
        <v>CSE421-08 (LAB)
RKBR,THR
09F-25L,CSE421-09 (LAB)
RKBR,THR
09F-25L</v>
      </c>
      <c r="G13" s="90" t="str">
        <f>IFERROR(__xludf.DUMMYFUNCTION("""COMPUTED_VALUE"""),"CSE421-08 (LAB)
RKBR,THR
09F-25L,CSE421-09 (LAB)
RKBR,THR
09F-25L")</f>
        <v>CSE421-08 (LAB)
RKBR,THR
09F-25L,CSE421-09 (LAB)
RKBR,THR
09F-25L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IFERROR(__xludf.DUMMYFUNCTION("""COMPUTED_VALUE"""),"CSE421-01 (LAB)
WBH,THR
09F-25L,CSE421-02 (LAB)
WBH,THR
09F-25L")</f>
        <v>CSE421-01 (LAB)
WBH,THR
09F-25L,CSE421-02 (LAB)
WBH,THR
09F-25L</v>
      </c>
      <c r="C14" s="90" t="str">
        <f>IFERROR(__xludf.DUMMYFUNCTION("""COMPUTED_VALUE"""),"CSE421-01 (LAB)
WBH,THR
09F-25L,CSE421-02 (LAB)
WBH,THR
09F-25L")</f>
        <v>CSE421-01 (LAB)
WBH,THR
09F-25L,CSE421-02 (LAB)
WBH,THR
09F-25L</v>
      </c>
      <c r="D14" s="90" t="str">
        <f>IFERROR(__xludf.DUMMYFUNCTION("""COMPUTED_VALUE"""),"Consultation")</f>
        <v>Consultation</v>
      </c>
      <c r="E14" s="90" t="str">
        <f>IFERROR(__xludf.DUMMYFUNCTION("""COMPUTED_VALUE"""),"")</f>
        <v/>
      </c>
      <c r="F14" s="90" t="str">
        <f>IFERROR(__xludf.DUMMYFUNCTION("""COMPUTED_VALUE"""),"CSE421-11 (LAB)
CPTH,THR
09F-25L,CSE421-12 (LAB)
CPTH,THR
09F-25L")</f>
        <v>CSE421-11 (LAB)
CPTH,THR
09F-25L,CSE421-12 (LAB)
CPTH,THR
09F-25L</v>
      </c>
      <c r="G14" s="90" t="str">
        <f>IFERROR(__xludf.DUMMYFUNCTION("""COMPUTED_VALUE"""),"CSE421-11 (LAB)
CPTH,THR
09F-25L,CSE421-12 (LAB)
CPTH,THR
09F-25L")</f>
        <v>CSE421-11 (LAB)
CPTH,THR
09F-25L,CSE421-12 (LAB)
CPTH,THR
09F-25L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Taiabul Haque</v>
      </c>
      <c r="E4" s="57"/>
      <c r="F4" s="58" t="s">
        <v>1</v>
      </c>
      <c r="G4" s="59" t="s">
        <v>161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taiabul.haque@bracu.ac.bd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IFERROR(__xludf.DUMMYFUNCTION("""COMPUTED_VALUE"""),"CSE490B-01
10A-05C")</f>
        <v>CSE490B-01
10A-05C</v>
      </c>
      <c r="H11" s="90" t="str">
        <f>IFERROR(__xludf.DUMMYFUNCTION("""COMPUTED_VALUE"""),"Consultation")</f>
        <v>Consultation</v>
      </c>
      <c r="I11" s="90" t="str">
        <f>IFERROR(__xludf.DUMMYFUNCTION("""COMPUTED_VALUE"""),"CSE726-01
09A-02C")</f>
        <v>CSE726-01
09A-02C</v>
      </c>
      <c r="J11" s="91" t="str">
        <f>IFERROR(__xludf.DUMMYFUNCTION("""COMPUTED_VALUE"""),"CSE726-01
09A-02C")</f>
        <v>CSE726-01
09A-02C</v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IFERROR(__xludf.DUMMYFUNCTION("""COMPUTED_VALUE"""),"CSE490B-01
10A-05C")</f>
        <v>CSE490B-01
10A-05C</v>
      </c>
      <c r="H13" s="90" t="str">
        <f>IFERROR(__xludf.DUMMYFUNCTION("""COMPUTED_VALUE"""),"Consultation")</f>
        <v>Consultation</v>
      </c>
      <c r="I13" s="90" t="str">
        <f>IFERROR(__xludf.DUMMYFUNCTION("""COMPUTED_VALUE"""),"CSE773-01
09A-04C")</f>
        <v>CSE773-01
09A-04C</v>
      </c>
      <c r="J13" s="91" t="str">
        <f>IFERROR(__xludf.DUMMYFUNCTION("""COMPUTED_VALUE"""),"CSE773-01
09A-04C")</f>
        <v>CSE773-01
09A-04C</v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Tamkin Mahmud Tan</v>
      </c>
      <c r="E4" s="57"/>
      <c r="F4" s="58" t="s">
        <v>1</v>
      </c>
      <c r="G4" s="59" t="s">
        <v>162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tamkin.mahmud@bracu.ac.bd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IFERROR(__xludf.DUMMYFUNCTION("""COMPUTED_VALUE"""),"CSE423-01
09A-07C")</f>
        <v>CSE423-01
09A-07C</v>
      </c>
      <c r="E10" s="90" t="str">
        <f>IFERROR(__xludf.DUMMYFUNCTION("""COMPUTED_VALUE"""),"CSE423-02
09A-07C")</f>
        <v>CSE423-02
09A-07C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IFERROR(__xludf.DUMMYFUNCTION("""COMPUTED_VALUE"""),"CSE370-17 (LAB)
TMD,NZU
12F-32L")</f>
        <v>CSE370-17 (LAB)
TMD,NZU
12F-32L</v>
      </c>
      <c r="E11" s="90" t="str">
        <f>IFERROR(__xludf.DUMMYFUNCTION("""COMPUTED_VALUE"""),"CSE370-17 (LAB)
TMD,NZU
12F-32L")</f>
        <v>CSE370-17 (LAB)
TMD,NZU
12F-32L</v>
      </c>
      <c r="F11" s="90" t="str">
        <f>IFERROR(__xludf.DUMMYFUNCTION("""COMPUTED_VALUE"""),"CSE423-03
09A-02C")</f>
        <v>CSE423-03
09A-02C</v>
      </c>
      <c r="G11" s="90" t="str">
        <f>IFERROR(__xludf.DUMMYFUNCTION("""COMPUTED_VALUE"""),"CSE423-04
09A-02C")</f>
        <v>CSE423-04
09A-02C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IFERROR(__xludf.DUMMYFUNCTION("""COMPUTED_VALUE"""),"CSE423-01
09A-07C")</f>
        <v>CSE423-01
09A-07C</v>
      </c>
      <c r="E12" s="90" t="str">
        <f>IFERROR(__xludf.DUMMYFUNCTION("""COMPUTED_VALUE"""),"CSE423-02
09A-07C")</f>
        <v>CSE423-02
09A-07C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IFERROR(__xludf.DUMMYFUNCTION("""COMPUTED_VALUE"""),"CSE111-08 (LAB)
TMD,ADU
09B-11L")</f>
        <v>CSE111-08 (LAB)
TMD,ADU
09B-11L</v>
      </c>
      <c r="E13" s="90" t="str">
        <f>IFERROR(__xludf.DUMMYFUNCTION("""COMPUTED_VALUE"""),"CSE111-08 (LAB)
TMD,ADU
09B-11L")</f>
        <v>CSE111-08 (LAB)
TMD,ADU
09B-11L</v>
      </c>
      <c r="F13" s="90" t="str">
        <f>IFERROR(__xludf.DUMMYFUNCTION("""COMPUTED_VALUE"""),"CSE423-03
09A-02C")</f>
        <v>CSE423-03
09A-02C</v>
      </c>
      <c r="G13" s="90" t="str">
        <f>IFERROR(__xludf.DUMMYFUNCTION("""COMPUTED_VALUE"""),"CSE423-04
09A-02C")</f>
        <v>CSE423-04
09A-02C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IFERROR(__xludf.DUMMYFUNCTION("""COMPUTED_VALUE"""),"**DM me before coming to the consultation")</f>
        <v>**DM me before coming to the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Tanhiat Fatema Afnan</v>
      </c>
      <c r="E4" s="57"/>
      <c r="F4" s="58" t="s">
        <v>1</v>
      </c>
      <c r="G4" s="59" t="s">
        <v>163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tanhiat.fatema@bracu.ac.bd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IFERROR(__xludf.DUMMYFUNCTION("""COMPUTED_VALUE"""),"CSE321-18
09H-32C")</f>
        <v>CSE321-18
09H-32C</v>
      </c>
      <c r="D9" s="86" t="str">
        <f>IFERROR(__xludf.DUMMYFUNCTION("""COMPUTED_VALUE"""),"CSE321-19
09H-32C")</f>
        <v>CSE321-19
09H-32C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IFERROR(__xludf.DUMMYFUNCTION("""COMPUTED_VALUE"""),"CSE321-20
09A-07C")</f>
        <v>CSE321-20
09A-07C</v>
      </c>
      <c r="E11" s="90" t="str">
        <f>IFERROR(__xludf.DUMMYFUNCTION("""COMPUTED_VALUE"""),"CSE331-18
09A-07C")</f>
        <v>CSE331-18
09A-07C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IFERROR(__xludf.DUMMYFUNCTION("""COMPUTED_VALUE"""),"CSE321-20
09A-07C")</f>
        <v>CSE321-20
09A-07C</v>
      </c>
      <c r="E13" s="90" t="str">
        <f>IFERROR(__xludf.DUMMYFUNCTION("""COMPUTED_VALUE"""),"CSE331-18
09A-07C")</f>
        <v>CSE331-18
09A-07C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IFERROR(__xludf.DUMMYFUNCTION("""COMPUTED_VALUE"""),"CSE321-18
09H-32C")</f>
        <v>CSE321-18
09H-32C</v>
      </c>
      <c r="D14" s="90" t="str">
        <f>IFERROR(__xludf.DUMMYFUNCTION("""COMPUTED_VALUE"""),"CSE321-19
09H-32C")</f>
        <v>CSE321-19
09H-32C</v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IFERROR(__xludf.DUMMYFUNCTION("""COMPUTED_VALUE"""),"**For consultation, Send an email for confirming availability")</f>
        <v>**For consultation, Send an email for confirming availability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Tasnim Ferdous</v>
      </c>
      <c r="E4" s="57"/>
      <c r="F4" s="58" t="s">
        <v>1</v>
      </c>
      <c r="G4" s="59" t="s">
        <v>164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tasnim.ferdous@bracu.ac.bd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IFERROR(__xludf.DUMMYFUNCTION("""COMPUTED_VALUE"""),"CSE340-29
07D-20C")</f>
        <v>CSE340-29
07D-20C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IFERROR(__xludf.DUMMYFUNCTION("""COMPUTED_VALUE"""),"CSE340-27
08H-22C")</f>
        <v>CSE340-27
08H-22C</v>
      </c>
      <c r="C11" s="90" t="str">
        <f>IFERROR(__xludf.DUMMYFUNCTION("""COMPUTED_VALUE"""),"CSE340-30
08H-22C")</f>
        <v>CSE340-30
08H-22C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IFERROR(__xludf.DUMMYFUNCTION("""COMPUTED_VALUE"""),"CSE340-29
07D-20C")</f>
        <v>CSE340-29
07D-20C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IFERROR(__xludf.DUMMYFUNCTION("""COMPUTED_VALUE"""),"CSE340-27
08H-22C")</f>
        <v>CSE340-27
08H-22C</v>
      </c>
      <c r="C13" s="90" t="str">
        <f>IFERROR(__xludf.DUMMYFUNCTION("""COMPUTED_VALUE"""),"CSE340-30
08H-22C")</f>
        <v>CSE340-30
08H-22C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IFERROR(__xludf.DUMMYFUNCTION("""COMPUTED_VALUE"""),"Research")</f>
        <v>Research</v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IFERROR(__xludf.DUMMYFUNCTION("""COMPUTED_VALUE"""),"Email or inform me through slack for Consultation")</f>
        <v>Email or inform me through slack for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250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IFERROR(__xludf.DUMMYFUNCTION("""COMPUTED_VALUE"""),"CSE341-06 (LAB)
TRZA,CKMH
12F-30L")</f>
        <v>CSE341-06 (LAB)
TRZA,CKMH
12F-30L</v>
      </c>
      <c r="E9" s="86" t="str">
        <f>IFERROR(__xludf.DUMMYFUNCTION("""COMPUTED_VALUE"""),"CSE341-06 (LAB)
TRZA,CKMH
12F-30L")</f>
        <v>CSE341-06 (LAB)
TRZA,CKMH
12F-30L</v>
      </c>
      <c r="F9" s="86" t="str">
        <f>IFERROR(__xludf.DUMMYFUNCTION("""COMPUTED_VALUE"""),"CSE341-07 (LAB)
TRZA,NWT
12F-30L")</f>
        <v>CSE341-07 (LAB)
TRZA,NWT
12F-30L</v>
      </c>
      <c r="G9" s="86" t="str">
        <f>IFERROR(__xludf.DUMMYFUNCTION("""COMPUTED_VALUE"""),"CSE341-07 (LAB)
TRZA,NWT
12F-30L")</f>
        <v>CSE341-07 (LAB)
TRZA,NWT
12F-30L</v>
      </c>
      <c r="H9" s="86" t="str">
        <f>IFERROR(__xludf.DUMMYFUNCTION("""COMPUTED_VALUE"""),"Consultation")</f>
        <v>Consultation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IFERROR(__xludf.DUMMYFUNCTION("""COMPUTED_VALUE"""),"CSE341-08 (LAB)
NWT,TRZA
12F-31L")</f>
        <v>CSE341-08 (LAB)
NWT,TRZA
12F-31L</v>
      </c>
      <c r="C10" s="90" t="str">
        <f>IFERROR(__xludf.DUMMYFUNCTION("""COMPUTED_VALUE"""),"CSE341-08 (LAB)
NWT,TRZA
12F-31L")</f>
        <v>CSE341-08 (LAB)
NWT,TRZA
12F-31L</v>
      </c>
      <c r="D10" s="90" t="str">
        <f>IFERROR(__xludf.DUMMYFUNCTION("""COMPUTED_VALUE"""),"CSE341-09 (LAB)
RAHA,TRZA
12F-31L")</f>
        <v>CSE341-09 (LAB)
RAHA,TRZA
12F-31L</v>
      </c>
      <c r="E10" s="90" t="str">
        <f>IFERROR(__xludf.DUMMYFUNCTION("""COMPUTED_VALUE"""),"CSE341-09 (LAB)
RAHA,TRZA
12F-31L")</f>
        <v>CSE341-09 (LAB)
RAHA,TRZA
12F-31L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IFERROR(__xludf.DUMMYFUNCTION("""COMPUTED_VALUE"""),"CSE341-11 (LAB)
CKMH,TRZA
12F-31L")</f>
        <v>CSE341-11 (LAB)
CKMH,TRZA
12F-31L</v>
      </c>
      <c r="E11" s="90" t="str">
        <f>IFERROR(__xludf.DUMMYFUNCTION("""COMPUTED_VALUE"""),"CSE341-11 (LAB)
CKMH,TRZA
12F-31L")</f>
        <v>CSE341-11 (LAB)
CKMH,TRZA
12F-31L</v>
      </c>
      <c r="F11" s="90" t="str">
        <f>IFERROR(__xludf.DUMMYFUNCTION("""COMPUTED_VALUE"""),"CSE101-04 (LAB)
RBR,TRZA
FT11-04L")</f>
        <v>CSE101-04 (LAB)
RBR,TRZA
FT11-04L</v>
      </c>
      <c r="G11" s="90" t="str">
        <f>IFERROR(__xludf.DUMMYFUNCTION("""COMPUTED_VALUE"""),"CSE101-04 (LAB)
RBR,TRZA
FT11-04L")</f>
        <v>CSE101-04 (LAB)
RBR,TRZA
FT11-04L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IFERROR(__xludf.DUMMYFUNCTION("""COMPUTED_VALUE"""),"CSE370-01 (LAB)
FDM,TRZA
12F-31L")</f>
        <v>CSE370-01 (LAB)
FDM,TRZA
12F-31L</v>
      </c>
      <c r="C14" s="90" t="str">
        <f>IFERROR(__xludf.DUMMYFUNCTION("""COMPUTED_VALUE"""),"CSE370-01 (LAB)
FDM,TRZA
12F-31L")</f>
        <v>CSE370-01 (LAB)
FDM,TRZA
12F-31L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/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Tanzim Reza</v>
      </c>
      <c r="E4" s="57"/>
      <c r="F4" s="58" t="s">
        <v>1</v>
      </c>
      <c r="G4" s="59" t="s">
        <v>165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tanzim.reza@bracu.ac.bd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IFERROR(__xludf.DUMMYFUNCTION("""COMPUTED_VALUE"""),"Consultation")</f>
        <v>Consultation</v>
      </c>
      <c r="F9" s="86" t="str">
        <f>IFERROR(__xludf.DUMMYFUNCTION("""COMPUTED_VALUE"""),"CSE422-01
10A-05C")</f>
        <v>CSE422-01
10A-05C</v>
      </c>
      <c r="G9" s="86" t="str">
        <f>IFERROR(__xludf.DUMMYFUNCTION("""COMPUTED_VALUE"""),"CSE422-02
10A-05C")</f>
        <v>CSE422-02
10A-05C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IFERROR(__xludf.DUMMYFUNCTION("""COMPUTED_VALUE"""),"CSE422-03
10A-05C")</f>
        <v>CSE422-03
10A-05C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IFERROR(__xludf.DUMMYFUNCTION("""COMPUTED_VALUE"""),"CSE422-03
10A-05C")</f>
        <v>CSE422-03
10A-05C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IFERROR(__xludf.DUMMYFUNCTION("""COMPUTED_VALUE"""),"CSE422-01
10A-05C")</f>
        <v>CSE422-01
10A-05C</v>
      </c>
      <c r="G14" s="90" t="str">
        <f>IFERROR(__xludf.DUMMYFUNCTION("""COMPUTED_VALUE"""),"CSE422-02
10A-05C")</f>
        <v>CSE422-02
10A-05C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Tasneem Mazhar</v>
      </c>
      <c r="E4" s="57"/>
      <c r="F4" s="58" t="s">
        <v>1</v>
      </c>
      <c r="G4" s="59" t="s">
        <v>166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tasneem.mazhar@bracu.ac.bd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IFERROR(__xludf.DUMMYFUNCTION("""COMPUTED_VALUE"""),"CSE251-09B (LAB)
TSE,FFR
FT11-01L")</f>
        <v>CSE251-09B (LAB)
TSE,FFR
FT11-01L</v>
      </c>
      <c r="E10" s="90" t="str">
        <f>IFERROR(__xludf.DUMMYFUNCTION("""COMPUTED_VALUE"""),"CSE251-09B (LAB)
TSE,FFR
FT11-01L")</f>
        <v>CSE251-09B (LAB)
TSE,FFR
FT11-01L</v>
      </c>
      <c r="F10" s="90" t="str">
        <f>IFERROR(__xludf.DUMMYFUNCTION("""COMPUTED_VALUE"""),"CSE350-10A (LAB)
SDQ,TSE
12B-20L")</f>
        <v>CSE350-10A (LAB)
SDQ,TSE
12B-20L</v>
      </c>
      <c r="G10" s="90" t="str">
        <f>IFERROR(__xludf.DUMMYFUNCTION("""COMPUTED_VALUE"""),"CSE350-10A (LAB)
SDQ,TSE
12B-20L")</f>
        <v>CSE350-10A (LAB)
SDQ,TSE
12B-20L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IFERROR(__xludf.DUMMYFUNCTION("""COMPUTED_VALUE"""),"CSE350-06A
07H-26C,CSE350-06B
07H-26C")</f>
        <v>CSE350-06A
07H-26C,CSE350-06B
07H-26C</v>
      </c>
      <c r="E11" s="90" t="str">
        <f>IFERROR(__xludf.DUMMYFUNCTION("""COMPUTED_VALUE"""),"Consultation")</f>
        <v>Consultation</v>
      </c>
      <c r="F11" s="90" t="str">
        <f>IFERROR(__xludf.DUMMYFUNCTION("""COMPUTED_VALUE"""),"CSE350-08A
07H-26C")</f>
        <v>CSE350-08A
07H-26C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IFERROR(__xludf.DUMMYFUNCTION("""COMPUTED_VALUE"""),"CSE350-07A (LAB)
THL,TSE
12B-20L")</f>
        <v>CSE350-07A (LAB)
THL,TSE
12B-20L</v>
      </c>
      <c r="C12" s="90" t="str">
        <f>IFERROR(__xludf.DUMMYFUNCTION("""COMPUTED_VALUE"""),"CSE350-07A (LAB)
THL,TSE
12B-20L")</f>
        <v>CSE350-07A (LAB)
THL,TSE
12B-20L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IFERROR(__xludf.DUMMYFUNCTION("""COMPUTED_VALUE"""),"CSE350-06A (LAB)
TSE,MTOT
12B-20L")</f>
        <v>CSE350-06A (LAB)
TSE,MTOT
12B-20L</v>
      </c>
      <c r="G12" s="90" t="str">
        <f>IFERROR(__xludf.DUMMYFUNCTION("""COMPUTED_VALUE"""),"CSE350-06A (LAB)
TSE,MTOT
12B-20L")</f>
        <v>CSE350-06A (LAB)
TSE,MTOT
12B-20L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IFERROR(__xludf.DUMMYFUNCTION("""COMPUTED_VALUE"""),"CSE350-06A
07H-26C,CSE350-06B
07H-26C")</f>
        <v>CSE350-06A
07H-26C,CSE350-06B
07H-26C</v>
      </c>
      <c r="E13" s="90" t="str">
        <f>IFERROR(__xludf.DUMMYFUNCTION("""COMPUTED_VALUE"""),"Consultation")</f>
        <v>Consultation</v>
      </c>
      <c r="F13" s="90" t="str">
        <f>IFERROR(__xludf.DUMMYFUNCTION("""COMPUTED_VALUE"""),"CSE350-08A
07H-26C")</f>
        <v>CSE350-08A
07H-26C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IFERROR(__xludf.DUMMYFUNCTION("""COMPUTED_VALUE"""),"CSE350-05B (LAB)
ZAZ,TSE
FT11-01L")</f>
        <v>CSE350-05B (LAB)
ZAZ,TSE
FT11-01L</v>
      </c>
      <c r="E14" s="90" t="str">
        <f>IFERROR(__xludf.DUMMYFUNCTION("""COMPUTED_VALUE"""),"CSE350-05B (LAB)
ZAZ,TSE
FT11-01L")</f>
        <v>CSE350-05B (LAB)
ZAZ,TSE
FT11-01L</v>
      </c>
      <c r="F14" s="90" t="str">
        <f>IFERROR(__xludf.DUMMYFUNCTION("""COMPUTED_VALUE"""),"CSE350-04A (LAB)
UPM,TSE
FT10-01L")</f>
        <v>CSE350-04A (LAB)
UPM,TSE
FT10-01L</v>
      </c>
      <c r="G14" s="90" t="str">
        <f>IFERROR(__xludf.DUMMYFUNCTION("""COMPUTED_VALUE"""),"CSE350-04A (LAB)
UPM,TSE
FT10-01L")</f>
        <v>CSE350-04A (LAB)
UPM,TSE
FT10-01L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Mirza Md. Tanjim Shorif Mugdho</v>
      </c>
      <c r="E4" s="57"/>
      <c r="F4" s="58" t="s">
        <v>1</v>
      </c>
      <c r="G4" s="59" t="s">
        <v>167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mirza.mugdho@bracu.ac.bd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IFERROR(__xludf.DUMMYFUNCTION("""COMPUTED_VALUE"""),"CSE230-05
10B-13C")</f>
        <v>CSE230-05
10B-13C</v>
      </c>
      <c r="E10" s="90" t="str">
        <f>IFERROR(__xludf.DUMMYFUNCTION("""COMPUTED_VALUE"""),"CSE230-06
10B-13C")</f>
        <v>CSE230-06
10B-13C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IFERROR(__xludf.DUMMYFUNCTION("""COMPUTED_VALUE"""),"CSE230-04
10B-15C")</f>
        <v>CSE230-04
10B-15C</v>
      </c>
      <c r="D11" s="90" t="str">
        <f>IFERROR(__xludf.DUMMYFUNCTION("""COMPUTED_VALUE"""),"")</f>
        <v/>
      </c>
      <c r="E11" s="90" t="str">
        <f>IFERROR(__xludf.DUMMYFUNCTION("""COMPUTED_VALUE"""),"CSE426-01
09A-04C")</f>
        <v>CSE426-01
09A-04C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IFERROR(__xludf.DUMMYFUNCTION("""COMPUTED_VALUE"""),"CSE230-05
10B-13C")</f>
        <v>CSE230-05
10B-13C</v>
      </c>
      <c r="E12" s="90" t="str">
        <f>IFERROR(__xludf.DUMMYFUNCTION("""COMPUTED_VALUE"""),"CSE230-06
10B-13C")</f>
        <v>CSE230-06
10B-13C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IFERROR(__xludf.DUMMYFUNCTION("""COMPUTED_VALUE"""),"CSE230-04
10B-15C")</f>
        <v>CSE230-04
10B-15C</v>
      </c>
      <c r="D13" s="90" t="str">
        <f>IFERROR(__xludf.DUMMYFUNCTION("""COMPUTED_VALUE"""),"")</f>
        <v/>
      </c>
      <c r="E13" s="90" t="str">
        <f>IFERROR(__xludf.DUMMYFUNCTION("""COMPUTED_VALUE"""),"CSE426-01
09A-04C")</f>
        <v>CSE426-01
09A-04C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Tanveer Rahman</v>
      </c>
      <c r="E4" s="57"/>
      <c r="F4" s="58" t="s">
        <v>1</v>
      </c>
      <c r="G4" s="59" t="s">
        <v>168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tanveer.rahman@bracu.ac.bd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IFERROR(__xludf.DUMMYFUNCTION("""COMPUTED_VALUE"""),"CSE421-25
07D-19C")</f>
        <v>CSE421-25
07D-19C</v>
      </c>
      <c r="E10" s="90" t="str">
        <f>IFERROR(__xludf.DUMMYFUNCTION("""COMPUTED_VALUE"""),"CSE421-26
07D-19C")</f>
        <v>CSE421-26
07D-19C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IFERROR(__xludf.DUMMYFUNCTION("""COMPUTED_VALUE"""),"CSE421-27
07D-20C")</f>
        <v>CSE421-27
07D-20C</v>
      </c>
      <c r="C11" s="90" t="str">
        <f>IFERROR(__xludf.DUMMYFUNCTION("""COMPUTED_VALUE"""),"CSE321-23
07D-20C")</f>
        <v>CSE321-23
07D-20C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IFERROR(__xludf.DUMMYFUNCTION("""COMPUTED_VALUE"""),"CSE421-25
07D-19C")</f>
        <v>CSE421-25
07D-19C</v>
      </c>
      <c r="E12" s="90" t="str">
        <f>IFERROR(__xludf.DUMMYFUNCTION("""COMPUTED_VALUE"""),"CSE421-26
07D-19C")</f>
        <v>CSE421-26
07D-19C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IFERROR(__xludf.DUMMYFUNCTION("""COMPUTED_VALUE"""),"CSE421-27
07D-20C")</f>
        <v>CSE421-27
07D-20C</v>
      </c>
      <c r="C13" s="90" t="str">
        <f>IFERROR(__xludf.DUMMYFUNCTION("""COMPUTED_VALUE"""),"CSE321-23
07D-20C")</f>
        <v>CSE321-23
07D-20C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Towshik Anam Taj</v>
      </c>
      <c r="E4" s="57"/>
      <c r="F4" s="58" t="s">
        <v>1</v>
      </c>
      <c r="G4" s="59" t="s">
        <v>169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towshik.taj@bracu.ac.bd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IFERROR(__xludf.DUMMYFUNCTION("""COMPUTED_VALUE"""),"CSE340-19
09A-02C")</f>
        <v>CSE340-19
09A-02C</v>
      </c>
      <c r="E10" s="90" t="str">
        <f>IFERROR(__xludf.DUMMYFUNCTION("""COMPUTED_VALUE"""),"CSE340-28
09A-02C")</f>
        <v>CSE340-28
09A-02C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IFERROR(__xludf.DUMMYFUNCTION("""COMPUTED_VALUE"""),"CSE260-15A
08H-22C,CSE260-15B
08H-22C")</f>
        <v>CSE260-15A
08H-22C,CSE260-15B
08H-22C</v>
      </c>
      <c r="E11" s="90" t="str">
        <f>IFERROR(__xludf.DUMMYFUNCTION("""COMPUTED_VALUE"""),"CSE260-16A
08H-22C,CSE260-16B
08H-22C")</f>
        <v>CSE260-16A
08H-22C,CSE260-16B
08H-22C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IFERROR(__xludf.DUMMYFUNCTION("""COMPUTED_VALUE"""),"CSE340-19
09A-02C")</f>
        <v>CSE340-19
09A-02C</v>
      </c>
      <c r="E12" s="90" t="str">
        <f>IFERROR(__xludf.DUMMYFUNCTION("""COMPUTED_VALUE"""),"CSE340-28
09A-02C")</f>
        <v>CSE340-28
09A-02C</v>
      </c>
      <c r="F12" s="90" t="str">
        <f>IFERROR(__xludf.DUMMYFUNCTION("""COMPUTED_VALUE"""),"CSE427-06 (LAB)
DFD,TWK
09F-27L")</f>
        <v>CSE427-06 (LAB)
DFD,TWK
09F-27L</v>
      </c>
      <c r="G12" s="90" t="str">
        <f>IFERROR(__xludf.DUMMYFUNCTION("""COMPUTED_VALUE"""),"CSE427-06 (LAB)
DFD,TWK
09F-27L")</f>
        <v>CSE427-06 (LAB)
DFD,TWK
09F-27L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IFERROR(__xludf.DUMMYFUNCTION("""COMPUTED_VALUE"""),"CSE260-03A (LAB)
TWK,NQM
FT10-04L")</f>
        <v>CSE260-03A (LAB)
TWK,NQM
FT10-04L</v>
      </c>
      <c r="C13" s="90" t="str">
        <f>IFERROR(__xludf.DUMMYFUNCTION("""COMPUTED_VALUE"""),"CSE260-03A (LAB)
TWK,NQM
FT10-04L")</f>
        <v>CSE260-03A (LAB)
TWK,NQM
FT10-04L</v>
      </c>
      <c r="D13" s="90" t="str">
        <f>IFERROR(__xludf.DUMMYFUNCTION("""COMPUTED_VALUE"""),"CSE260-15A
08H-22C,CSE260-15B
08H-22C")</f>
        <v>CSE260-15A
08H-22C,CSE260-15B
08H-22C</v>
      </c>
      <c r="E13" s="90" t="str">
        <f>IFERROR(__xludf.DUMMYFUNCTION("""COMPUTED_VALUE"""),"CSE260-16A
08H-22C,CSE260-16B
08H-22C")</f>
        <v>CSE260-16A
08H-22C,CSE260-16B
08H-22C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IFERROR(__xludf.DUMMYFUNCTION("""COMPUTED_VALUE"""),"If you don't find me at my desk during my consultation hours then please wait")</f>
        <v>If you don't find me at my desk during my consultation hours then please wait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Umme Jannat Taposhi</v>
      </c>
      <c r="E4" s="57"/>
      <c r="F4" s="58" t="s">
        <v>1</v>
      </c>
      <c r="G4" s="59" t="s">
        <v>170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jannat.taposhi@bracu.ac.bd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IFERROR(__xludf.DUMMYFUNCTION("""COMPUTED_VALUE"""),"CSE341-05
09G-31T,CSE341-06
09G-31T,CSE341-07
09G-31T")</f>
        <v>CSE341-05
09G-31T,CSE341-06
09G-31T,CSE341-07
09G-31T</v>
      </c>
      <c r="E10" s="90" t="str">
        <f>IFERROR(__xludf.DUMMYFUNCTION("""COMPUTED_VALUE"""),"Consultation")</f>
        <v>Consultation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IFERROR(__xludf.DUMMYFUNCTION("""COMPUTED_VALUE"""),"CSE360-06
10B-15C")</f>
        <v>CSE360-06
10B-15C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IFERROR(__xludf.DUMMYFUNCTION("""COMPUTED_VALUE"""),"CSE341-05
09G-31T,CSE341-06
09G-31T,CSE341-07
09G-31T")</f>
        <v>CSE341-05
09G-31T,CSE341-06
09G-31T,CSE341-07
09G-31T</v>
      </c>
      <c r="E12" s="90"/>
      <c r="F12" s="90" t="str">
        <f>IFERROR(__xludf.DUMMYFUNCTION("""COMPUTED_VALUE"""),"CSE472-01 (LAB)
MAU,UJT
12F-30L")</f>
        <v>CSE472-01 (LAB)
MAU,UJT
12F-30L</v>
      </c>
      <c r="G12" s="90" t="str">
        <f>IFERROR(__xludf.DUMMYFUNCTION("""COMPUTED_VALUE"""),"CSE472-01 (LAB)
MAU,UJT
12F-30L")</f>
        <v>CSE472-01 (LAB)
MAU,UJT
12F-30L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IFERROR(__xludf.DUMMYFUNCTION("""COMPUTED_VALUE"""),"CSE360-06
10B-15C")</f>
        <v>CSE360-06
10B-15C</v>
      </c>
      <c r="E13" s="90" t="str">
        <f>IFERROR(__xludf.DUMMYFUNCTION("""COMPUTED_VALUE"""),"Consultation")</f>
        <v>Consultation</v>
      </c>
      <c r="F13" s="90" t="str">
        <f>IFERROR(__xludf.DUMMYFUNCTION("""COMPUTED_VALUE"""),"CSE360-01 (LAB)
SMYA,UJT
10G-33L,CSE360-02 (LAB)
SMYA,UJT
10G-33L")</f>
        <v>CSE360-01 (LAB)
SMYA,UJT
10G-33L,CSE360-02 (LAB)
SMYA,UJT
10G-33L</v>
      </c>
      <c r="G13" s="90" t="str">
        <f>IFERROR(__xludf.DUMMYFUNCTION("""COMPUTED_VALUE"""),"CSE360-01 (LAB)
SMYA,UJT
10G-33L,CSE360-02 (LAB)
SMYA,UJT
10G-33L")</f>
        <v>CSE360-01 (LAB)
SMYA,UJT
10G-33L,CSE360-02 (LAB)
SMYA,UJT
10G-33L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Tasnim Sobhan Upoma</v>
      </c>
      <c r="E4" s="57"/>
      <c r="F4" s="58" t="s">
        <v>1</v>
      </c>
      <c r="G4" s="59" t="s">
        <v>171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tasnim.upoma@bracu.ac.bd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IFERROR(__xludf.DUMMYFUNCTION("""COMPUTED_VALUE"""),"CSE460-01
10B-17C")</f>
        <v>CSE460-01
10B-17C</v>
      </c>
      <c r="C10" s="90" t="str">
        <f>IFERROR(__xludf.DUMMYFUNCTION("""COMPUTED_VALUE"""),"CSE460-02
07H-26C")</f>
        <v>CSE460-02
07H-26C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IFERROR(__xludf.DUMMYFUNCTION("""COMPUTED_VALUE"""),"CSE460-04 (LAB)
SDU,UPM
09E-21L")</f>
        <v>CSE460-04 (LAB)
SDU,UPM
09E-21L</v>
      </c>
      <c r="E11" s="90" t="str">
        <f>IFERROR(__xludf.DUMMYFUNCTION("""COMPUTED_VALUE"""),"CSE460-04 (LAB)
SDU,UPM
09E-21L")</f>
        <v>CSE460-04 (LAB)
SDU,UPM
09E-21L</v>
      </c>
      <c r="F11" s="90" t="str">
        <f>IFERROR(__xludf.DUMMYFUNCTION("""COMPUTED_VALUE"""),"CSE350-09B (LAB)
UPM,MTOT
12B-20L")</f>
        <v>CSE350-09B (LAB)
UPM,MTOT
12B-20L</v>
      </c>
      <c r="G11" s="90" t="str">
        <f>IFERROR(__xludf.DUMMYFUNCTION("""COMPUTED_VALUE"""),"CSE350-09B (LAB)
UPM,MTOT
12B-20L")</f>
        <v>CSE350-09B (LAB)
UPM,MTOT
12B-20L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IFERROR(__xludf.DUMMYFUNCTION("""COMPUTED_VALUE"""),"CSE460-01
10B-17C")</f>
        <v>CSE460-01
10B-17C</v>
      </c>
      <c r="C12" s="90" t="str">
        <f>IFERROR(__xludf.DUMMYFUNCTION("""COMPUTED_VALUE"""),"CSE460-02
07H-26C")</f>
        <v>CSE460-02
07H-26C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IFERROR(__xludf.DUMMYFUNCTION("""COMPUTED_VALUE"""),"CSE460-01 (LAB)
SDL,UPM
09E-22L")</f>
        <v>CSE460-01 (LAB)
SDL,UPM
09E-22L</v>
      </c>
      <c r="E13" s="90" t="str">
        <f>IFERROR(__xludf.DUMMYFUNCTION("""COMPUTED_VALUE"""),"CSE460-01 (LAB)
SDL,UPM
09E-22L")</f>
        <v>CSE460-01 (LAB)
SDL,UPM
09E-22L</v>
      </c>
      <c r="F13" s="90" t="str">
        <f>IFERROR(__xludf.DUMMYFUNCTION("""COMPUTED_VALUE"""),"CSE350-02B (LAB)
SZZ,UPM
FT11-01L")</f>
        <v>CSE350-02B (LAB)
SZZ,UPM
FT11-01L</v>
      </c>
      <c r="G13" s="90" t="str">
        <f>IFERROR(__xludf.DUMMYFUNCTION("""COMPUTED_VALUE"""),"CSE350-02B (LAB)
SZZ,UPM
FT11-01L")</f>
        <v>CSE350-02B (LAB)
SZZ,UPM
FT11-01L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IFERROR(__xludf.DUMMYFUNCTION("""COMPUTED_VALUE"""),"CSE251-02B (LAB)
UPM,SHJR
FT11-01L")</f>
        <v>CSE251-02B (LAB)
UPM,SHJR
FT11-01L</v>
      </c>
      <c r="C14" s="90" t="str">
        <f>IFERROR(__xludf.DUMMYFUNCTION("""COMPUTED_VALUE"""),"CSE251-02B (LAB)
UPM,SHJR
FT11-01L")</f>
        <v>CSE251-02B (LAB)
UPM,SHJR
FT11-01L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IFERROR(__xludf.DUMMYFUNCTION("""COMPUTED_VALUE"""),"CSE350-04A (LAB)
UPM,TSE
FT10-01L")</f>
        <v>CSE350-04A (LAB)
UPM,TSE
FT10-01L</v>
      </c>
      <c r="G14" s="90" t="str">
        <f>IFERROR(__xludf.DUMMYFUNCTION("""COMPUTED_VALUE"""),"CSE350-04A (LAB)
UPM,TSE
FT10-01L")</f>
        <v>CSE350-04A (LAB)
UPM,TSE
FT10-01L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Utsha Kumar Roy</v>
      </c>
      <c r="E4" s="57"/>
      <c r="F4" s="58" t="s">
        <v>1</v>
      </c>
      <c r="G4" s="59" t="s">
        <v>172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utsha.roy@bracu.ac.bd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4P199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IFERROR(__xludf.DUMMYFUNCTION("""COMPUTED_VALUE"""),"CSE461-01
07D-19C")</f>
        <v>CSE461-01
07D-19C</v>
      </c>
      <c r="D9" s="86" t="str">
        <f>IFERROR(__xludf.DUMMYFUNCTION("""COMPUTED_VALUE"""),"CSE461-08 (LAB)
UTKR,PRC
10G-33L")</f>
        <v>CSE461-08 (LAB)
UTKR,PRC
10G-33L</v>
      </c>
      <c r="E9" s="86" t="str">
        <f>IFERROR(__xludf.DUMMYFUNCTION("""COMPUTED_VALUE"""),"CSE461-08 (LAB)
UTKR,PRC
10G-33L")</f>
        <v>CSE461-08 (LAB)
UTKR,PRC
10G-33L</v>
      </c>
      <c r="F9" s="86" t="str">
        <f>IFERROR(__xludf.DUMMYFUNCTION("""COMPUTED_VALUE"""),"Consultation")</f>
        <v>Consultation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IFERROR(__xludf.DUMMYFUNCTION("""COMPUTED_VALUE"""),"CSE461-02
07D-20C")</f>
        <v>CSE461-02
07D-20C</v>
      </c>
      <c r="E11" s="90" t="str">
        <f>IFERROR(__xludf.DUMMYFUNCTION("""COMPUTED_VALUE"""),"CSE461-03
07D-20C")</f>
        <v>CSE461-03
07D-20C</v>
      </c>
      <c r="F11" s="90" t="str">
        <f>IFERROR(__xludf.DUMMYFUNCTION("""COMPUTED_VALUE"""),"")</f>
        <v/>
      </c>
      <c r="G11" s="90" t="str">
        <f>IFERROR(__xludf.DUMMYFUNCTION("""COMPUTED_VALUE"""),"CSE461-04
09A-06C")</f>
        <v>CSE461-04
09A-06C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IFERROR(__xludf.DUMMYFUNCTION("""COMPUTED_VALUE"""),"CSE461-02
07D-20C")</f>
        <v>CSE461-02
07D-20C</v>
      </c>
      <c r="E13" s="90" t="str">
        <f>IFERROR(__xludf.DUMMYFUNCTION("""COMPUTED_VALUE"""),"CSE461-03
07D-20C")</f>
        <v>CSE461-03
07D-20C</v>
      </c>
      <c r="F13" s="90" t="str">
        <f>IFERROR(__xludf.DUMMYFUNCTION("""COMPUTED_VALUE"""),"Consultation")</f>
        <v>Consultation</v>
      </c>
      <c r="G13" s="90" t="str">
        <f>IFERROR(__xludf.DUMMYFUNCTION("""COMPUTED_VALUE"""),"CSE461-04
09A-06C")</f>
        <v>CSE461-04
09A-06C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IFERROR(__xludf.DUMMYFUNCTION("""COMPUTED_VALUE"""),"CSE461-01
07D-19C")</f>
        <v>CSE461-01
07D-19C</v>
      </c>
      <c r="D14" s="90" t="str">
        <f>IFERROR(__xludf.DUMMYFUNCTION("""COMPUTED_VALUE"""),"CSE461-04 (LAB)
UTKR,CSAB
10G-32L")</f>
        <v>CSE461-04 (LAB)
UTKR,CSAB
10G-32L</v>
      </c>
      <c r="E14" s="90" t="str">
        <f>IFERROR(__xludf.DUMMYFUNCTION("""COMPUTED_VALUE"""),"CSE461-04 (LAB)
UTKR,CSAB
10G-32L")</f>
        <v>CSE461-04 (LAB)
UTKR,CSAB
10G-32L</v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Utsab Saha</v>
      </c>
      <c r="E4" s="57"/>
      <c r="F4" s="58" t="s">
        <v>1</v>
      </c>
      <c r="G4" s="59" t="s">
        <v>173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utsab.saha@bracu.ac.bd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4N170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IFERROR(__xludf.DUMMYFUNCTION("""COMPUTED_VALUE"""),"CSE251-01A
09A-01C,CSE251-01B
09A-01C")</f>
        <v>CSE251-01A
09A-01C,CSE251-01B
09A-01C</v>
      </c>
      <c r="D10" s="90" t="str">
        <f>IFERROR(__xludf.DUMMYFUNCTION("""COMPUTED_VALUE"""),"CSE250-09B (LAB)
UTS,SDL
12B-20L")</f>
        <v>CSE250-09B (LAB)
UTS,SDL
12B-20L</v>
      </c>
      <c r="E10" s="90" t="str">
        <f>IFERROR(__xludf.DUMMYFUNCTION("""COMPUTED_VALUE"""),"CSE250-09B (LAB)
UTS,SDL
12B-20L")</f>
        <v>CSE250-09B (LAB)
UTS,SDL
12B-20L</v>
      </c>
      <c r="F10" s="90" t="str">
        <f>IFERROR(__xludf.DUMMYFUNCTION("""COMPUTED_VALUE"""),"Research")</f>
        <v>Research</v>
      </c>
      <c r="G10" s="90" t="str">
        <f>IFERROR(__xludf.DUMMYFUNCTION("""COMPUTED_VALUE"""),"Research")</f>
        <v>Research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IFERROR(__xludf.DUMMYFUNCTION("""COMPUTED_VALUE"""),"Research")</f>
        <v>Research</v>
      </c>
      <c r="D11" s="90" t="str">
        <f>IFERROR(__xludf.DUMMYFUNCTION("""COMPUTED_VALUE"""),"CSE428-02 (LAB)
EHQ,UTS
10G-32L")</f>
        <v>CSE428-02 (LAB)
EHQ,UTS
10G-32L</v>
      </c>
      <c r="E11" s="90" t="str">
        <f>IFERROR(__xludf.DUMMYFUNCTION("""COMPUTED_VALUE"""),"CSE428-02 (LAB)
EHQ,UTS
10G-32L")</f>
        <v>CSE428-02 (LAB)
EHQ,UTS
10G-32L</v>
      </c>
      <c r="F11" s="90" t="str">
        <f>IFERROR(__xludf.DUMMYFUNCTION("""COMPUTED_VALUE"""),"CSE251-11B (LAB)
UTS,RFQ
FT11-01L")</f>
        <v>CSE251-11B (LAB)
UTS,RFQ
FT11-01L</v>
      </c>
      <c r="G11" s="90" t="str">
        <f>IFERROR(__xludf.DUMMYFUNCTION("""COMPUTED_VALUE"""),"CSE251-11B (LAB)
UTS,RFQ
FT11-01L")</f>
        <v>CSE251-11B (LAB)
UTS,RFQ
FT11-01L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IFERROR(__xludf.DUMMYFUNCTION("""COMPUTED_VALUE"""),"CSE251-01A
09A-01C,CSE251-01B
09A-01C")</f>
        <v>CSE251-01A
09A-01C,CSE251-01B
09A-01C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IFERROR(__xludf.DUMMYFUNCTION("""COMPUTED_VALUE"""),"CSE350-06B (LAB)
UTS,AQT
12B-20L")</f>
        <v>CSE350-06B (LAB)
UTS,AQT
12B-20L</v>
      </c>
      <c r="G12" s="90" t="str">
        <f>IFERROR(__xludf.DUMMYFUNCTION("""COMPUTED_VALUE"""),"CSE350-06B (LAB)
UTS,AQT
12B-20L")</f>
        <v>CSE350-06B (LAB)
UTS,AQT
12B-20L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Waleed Bin Habib Khan</v>
      </c>
      <c r="E4" s="57"/>
      <c r="F4" s="58" t="s">
        <v>1</v>
      </c>
      <c r="G4" s="59" t="s">
        <v>251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ext.waleed.bin@bracu.ac.bd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IFERROR(__xludf.DUMMYFUNCTION("""COMPUTED_VALUE"""),"CSE421-07 (LAB)
RDS,WBH
09F-25L,CSE421-19 (LAB)
RDS,WBH
09F-25L")</f>
        <v>CSE421-07 (LAB)
RDS,WBH
09F-25L,CSE421-19 (LAB)
RDS,WBH
09F-25L</v>
      </c>
      <c r="C9" s="86" t="str">
        <f>IFERROR(__xludf.DUMMYFUNCTION("""COMPUTED_VALUE"""),"CSE421-07 (LAB)
RDS,WBH
09F-25L,CSE421-19 (LAB)
RDS,WBH
09F-25L")</f>
        <v>CSE421-07 (LAB)
RDS,WBH
09F-25L,CSE421-19 (LAB)
RDS,WBH
09F-25L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IFERROR(__xludf.DUMMYFUNCTION("""COMPUTED_VALUE"""),"CSE421-03 (LAB)
RDS,WBH
09F-25L,CSE421-04 (LAB)
RDS,WBH
09F-25L")</f>
        <v>CSE421-03 (LAB)
RDS,WBH
09F-25L,CSE421-04 (LAB)
RDS,WBH
09F-25L</v>
      </c>
      <c r="G9" s="86" t="str">
        <f>IFERROR(__xludf.DUMMYFUNCTION("""COMPUTED_VALUE"""),"CSE421-03 (LAB)
RDS,WBH
09F-25L,CSE421-04 (LAB)
RDS,WBH
09F-25L")</f>
        <v>CSE421-03 (LAB)
RDS,WBH
09F-25L,CSE421-04 (LAB)
RDS,WBH
09F-25L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IFERROR(__xludf.DUMMYFUNCTION("""COMPUTED_VALUE"""),"CSE421-18 (LAB)
SULT,WBH
10E-27L,CSE421-27 (LAB)
SULT,WBH
10E-27L")</f>
        <v>CSE421-18 (LAB)
SULT,WBH
10E-27L,CSE421-27 (LAB)
SULT,WBH
10E-27L</v>
      </c>
      <c r="C10" s="90" t="str">
        <f>IFERROR(__xludf.DUMMYFUNCTION("""COMPUTED_VALUE"""),"CSE421-18 (LAB)
SULT,WBH
10E-27L,CSE421-27 (LAB)
SULT,WBH
10E-27L")</f>
        <v>CSE421-18 (LAB)
SULT,WBH
10E-27L,CSE421-27 (LAB)
SULT,WBH
10E-27L</v>
      </c>
      <c r="D10" s="90" t="str">
        <f>IFERROR(__xludf.DUMMYFUNCTION("""COMPUTED_VALUE"""),"CSE220-03 (LAB)
WBH,KKS
09B-09L")</f>
        <v>CSE220-03 (LAB)
WBH,KKS
09B-09L</v>
      </c>
      <c r="E10" s="90" t="str">
        <f>IFERROR(__xludf.DUMMYFUNCTION("""COMPUTED_VALUE"""),"CSE220-03 (LAB)
WBH,KKS
09B-09L")</f>
        <v>CSE220-03 (LAB)
WBH,KKS
09B-09L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IFERROR(__xludf.DUMMYFUNCTION("""COMPUTED_VALUE"""),"CSE421-20 (LAB)
MSMA,WBH
09F-25L,CSE421-23 (LAB)
MSMA,WBH
09F-25L")</f>
        <v>CSE421-20 (LAB)
MSMA,WBH
09F-25L,CSE421-23 (LAB)
MSMA,WBH
09F-25L</v>
      </c>
      <c r="C11" s="90" t="str">
        <f>IFERROR(__xludf.DUMMYFUNCTION("""COMPUTED_VALUE"""),"CSE421-20 (LAB)
MSMA,WBH
09F-25L,CSE421-23 (LAB)
MSMA,WBH
09F-25L")</f>
        <v>CSE421-20 (LAB)
MSMA,WBH
09F-25L,CSE421-23 (LAB)
MSMA,WBH
09F-25L</v>
      </c>
      <c r="D11" s="90" t="str">
        <f>IFERROR(__xludf.DUMMYFUNCTION("""COMPUTED_VALUE"""),"CSE421-24 (LAB)
AKTD,WBH
09F-25L,CSE421-25 (LAB)
AKTD,WBH
09F-25L")</f>
        <v>CSE421-24 (LAB)
AKTD,WBH
09F-25L,CSE421-25 (LAB)
AKTD,WBH
09F-25L</v>
      </c>
      <c r="E11" s="90" t="str">
        <f>IFERROR(__xludf.DUMMYFUNCTION("""COMPUTED_VALUE"""),"CSE421-24 (LAB)
AKTD,WBH
09F-25L,CSE421-25 (LAB)
AKTD,WBH
09F-25L")</f>
        <v>CSE421-24 (LAB)
AKTD,WBH
09F-25L,CSE421-25 (LAB)
AKTD,WBH
09F-25L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IFERROR(__xludf.DUMMYFUNCTION("""COMPUTED_VALUE"""),"CSE421-01 (LAB)
WBH,THR
09F-25L,CSE421-02 (LAB)
WBH,THR
09F-25L")</f>
        <v>CSE421-01 (LAB)
WBH,THR
09F-25L,CSE421-02 (LAB)
WBH,THR
09F-25L</v>
      </c>
      <c r="C14" s="90" t="str">
        <f>IFERROR(__xludf.DUMMYFUNCTION("""COMPUTED_VALUE"""),"CSE421-01 (LAB)
WBH,THR
09F-25L,CSE421-02 (LAB)
WBH,THR
09F-25L")</f>
        <v>CSE421-01 (LAB)
WBH,THR
09F-25L,CSE421-02 (LAB)
WBH,THR
09F-25L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Wahida  Mahjabin</v>
      </c>
      <c r="E4" s="57"/>
      <c r="F4" s="58" t="s">
        <v>1</v>
      </c>
      <c r="G4" s="59" t="s">
        <v>174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wahida.mahjabin@bracu.ac.bd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4P179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IFERROR(__xludf.DUMMYFUNCTION("""COMPUTED_VALUE"""),"CSE221-19
09D-18C")</f>
        <v>CSE221-19
09D-18C</v>
      </c>
      <c r="F9" s="86" t="str">
        <f>IFERROR(__xludf.DUMMYFUNCTION("""COMPUTED_VALUE"""),"Consultation")</f>
        <v>Consultation</v>
      </c>
      <c r="G9" s="86" t="str">
        <f>IFERROR(__xludf.DUMMYFUNCTION("""COMPUTED_VALUE"""),"CSE471-14
09H-34C")</f>
        <v>CSE471-14
09H-34C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IFERROR(__xludf.DUMMYFUNCTION("""COMPUTED_VALUE"""),"CSE422-17 (LAB)
MUNR,WHMJ
09F-26L")</f>
        <v>CSE422-17 (LAB)
MUNR,WHMJ
09F-26L</v>
      </c>
      <c r="C12" s="90" t="str">
        <f>IFERROR(__xludf.DUMMYFUNCTION("""COMPUTED_VALUE"""),"CSE422-17 (LAB)
MUNR,WHMJ
09F-26L")</f>
        <v>CSE422-17 (LAB)
MUNR,WHMJ
09F-26L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IFERROR(__xludf.DUMMYFUNCTION("""COMPUTED_VALUE"""),"CSE471-08 (LAB)
WHMJ,CSYR
12F-32L")</f>
        <v>CSE471-08 (LAB)
WHMJ,CSYR
12F-32L</v>
      </c>
      <c r="C13" s="90" t="str">
        <f>IFERROR(__xludf.DUMMYFUNCTION("""COMPUTED_VALUE"""),"CSE471-08 (LAB)
WHMJ,CSYR
12F-32L")</f>
        <v>CSE471-08 (LAB)
WHMJ,CSYR
12F-32L</v>
      </c>
      <c r="D13" s="90" t="str">
        <f>IFERROR(__xludf.DUMMYFUNCTION("""COMPUTED_VALUE"""),"CSE471-03 (LAB)
WHMJ,CSYR
12F-32L")</f>
        <v>CSE471-03 (LAB)
WHMJ,CSYR
12F-32L</v>
      </c>
      <c r="E13" s="90" t="str">
        <f>IFERROR(__xludf.DUMMYFUNCTION("""COMPUTED_VALUE"""),"CSE471-03 (LAB)
WHMJ,CSYR
12F-32L")</f>
        <v>CSE471-03 (LAB)
WHMJ,CSYR
12F-32L</v>
      </c>
      <c r="F13" s="90" t="str">
        <f>IFERROR(__xludf.DUMMYFUNCTION("""COMPUTED_VALUE"""),"CSE422-05 (LAB)
WHMJ,FFU
09F-26L")</f>
        <v>CSE422-05 (LAB)
WHMJ,FFU
09F-26L</v>
      </c>
      <c r="G13" s="90" t="str">
        <f>IFERROR(__xludf.DUMMYFUNCTION("""COMPUTED_VALUE"""),"CSE422-05 (LAB)
WHMJ,FFU
09F-26L")</f>
        <v>CSE422-05 (LAB)
WHMJ,FFU
09F-26L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IFERROR(__xludf.DUMMYFUNCTION("""COMPUTED_VALUE"""),6.0)</f>
        <v>6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IFERROR(__xludf.DUMMYFUNCTION("""COMPUTED_VALUE"""),"CSE221-19
09D-18C")</f>
        <v>CSE221-19
09D-18C</v>
      </c>
      <c r="F14" s="90" t="str">
        <f>IFERROR(__xludf.DUMMYFUNCTION("""COMPUTED_VALUE"""),"Consultation")</f>
        <v>Consultation</v>
      </c>
      <c r="G14" s="90" t="str">
        <f>IFERROR(__xludf.DUMMYFUNCTION("""COMPUTED_VALUE"""),"CSE471-14
09H-34C")</f>
        <v>CSE471-14
09H-34C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Md.Waseq Alauddin Alvi</v>
      </c>
      <c r="E4" s="57"/>
      <c r="F4" s="58" t="s">
        <v>1</v>
      </c>
      <c r="G4" s="59" t="s">
        <v>252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ext.waseq.alvi@bracu.ac.bd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IFERROR(__xludf.DUMMYFUNCTION("""COMPUTED_VALUE"""),"CSE341-11
07D-19C")</f>
        <v>CSE341-11
07D-19C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IFERROR(__xludf.DUMMYFUNCTION("""COMPUTED_VALUE"""),"CSE330-16 (LAB)
AAF,WLV
12F-30L")</f>
        <v>CSE330-16 (LAB)
AAF,WLV
12F-30L</v>
      </c>
      <c r="C10" s="90" t="str">
        <f>IFERROR(__xludf.DUMMYFUNCTION("""COMPUTED_VALUE"""),"CSE330-16 (LAB)
AAF,WLV
12F-30L")</f>
        <v>CSE330-16 (LAB)
AAF,WLV
12F-30L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IFERROR(__xludf.DUMMYFUNCTION("""COMPUTED_VALUE"""),"CSE330-17 (LAB)
WLV,SMKD
10G-34L")</f>
        <v>CSE330-17 (LAB)
WLV,SMKD
10G-34L</v>
      </c>
      <c r="C13" s="90" t="str">
        <f>IFERROR(__xludf.DUMMYFUNCTION("""COMPUTED_VALUE"""),"CSE330-17 (LAB)
WLV,SMKD
10G-34L")</f>
        <v>CSE330-17 (LAB)
WLV,SMKD
10G-34L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IFERROR(__xludf.DUMMYFUNCTION("""COMPUTED_VALUE"""),"CSE110-14 (LAB)
WLV,MVH
09B-09L")</f>
        <v>CSE110-14 (LAB)
WLV,MVH
09B-09L</v>
      </c>
      <c r="G13" s="90" t="str">
        <f>IFERROR(__xludf.DUMMYFUNCTION("""COMPUTED_VALUE"""),"CSE110-14 (LAB)
WLV,MVH
09B-09L")</f>
        <v>CSE110-14 (LAB)
WLV,MVH
09B-09L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IFERROR(__xludf.DUMMYFUNCTION("""COMPUTED_VALUE"""),"CSE110-10 (LAB)
WLV,ANT
09B-09L")</f>
        <v>CSE110-10 (LAB)
WLV,ANT
09B-09L</v>
      </c>
      <c r="C14" s="90" t="str">
        <f>IFERROR(__xludf.DUMMYFUNCTION("""COMPUTED_VALUE"""),"CSE110-10 (LAB)
WLV,ANT
09B-09L")</f>
        <v>CSE110-10 (LAB)
WLV,ANT
09B-09L</v>
      </c>
      <c r="D14" s="90" t="str">
        <f>IFERROR(__xludf.DUMMYFUNCTION("""COMPUTED_VALUE"""),"Consultation")</f>
        <v>Consultation</v>
      </c>
      <c r="E14" s="90" t="str">
        <f>IFERROR(__xludf.DUMMYFUNCTION("""COMPUTED_VALUE"""),"CSE341-11
07D-19C")</f>
        <v>CSE341-11
07D-19C</v>
      </c>
      <c r="F14" s="90" t="str">
        <f>IFERROR(__xludf.DUMMYFUNCTION("""COMPUTED_VALUE"""),"CSE110-11 (LAB)
WLV,DFD
09B-09L")</f>
        <v>CSE110-11 (LAB)
WLV,DFD
09B-09L</v>
      </c>
      <c r="G14" s="90" t="str">
        <f>IFERROR(__xludf.DUMMYFUNCTION("""COMPUTED_VALUE"""),"CSE110-11 (LAB)
WLV,DFD
09B-09L")</f>
        <v>CSE110-11 (LAB)
WLV,DFD
09B-09L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IFERROR(__xludf.DUMMYFUNCTION("""COMPUTED_VALUE"""),5.0)</f>
        <v>5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Yasmin Nadia</v>
      </c>
      <c r="E4" s="57"/>
      <c r="F4" s="58" t="s">
        <v>1</v>
      </c>
      <c r="G4" s="59" t="s">
        <v>175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yasmin.nadia@bracu.ac.bd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4L89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IFERROR(__xludf.DUMMYFUNCTION("""COMPUTED_VALUE"""),"CSE320-16
07D-20C")</f>
        <v>CSE320-16
07D-20C</v>
      </c>
      <c r="E10" s="90" t="str">
        <f>IFERROR(__xludf.DUMMYFUNCTION("""COMPUTED_VALUE"""),"CSE320-17
07D-20C")</f>
        <v>CSE320-17
07D-20C</v>
      </c>
      <c r="F10" s="90" t="str">
        <f>IFERROR(__xludf.DUMMYFUNCTION("""COMPUTED_VALUE"""),"CSE422-20 (LAB)
SHAH,YND
09F-26L")</f>
        <v>CSE422-20 (LAB)
SHAH,YND
09F-26L</v>
      </c>
      <c r="G10" s="90" t="str">
        <f>IFERROR(__xludf.DUMMYFUNCTION("""COMPUTED_VALUE"""),"CSE422-20 (LAB)
SHAH,YND
09F-26L")</f>
        <v>CSE422-20 (LAB)
SHAH,YND
09F-26L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IFERROR(__xludf.DUMMYFUNCTION("""COMPUTED_VALUE"""),"CSE110-17
09A-05C")</f>
        <v>CSE110-17
09A-05C</v>
      </c>
      <c r="E11" s="90" t="str">
        <f>IFERROR(__xludf.DUMMYFUNCTION("""COMPUTED_VALUE"""),"Consultation")</f>
        <v>Consultation</v>
      </c>
      <c r="F11" s="90" t="str">
        <f>IFERROR(__xludf.DUMMYFUNCTION("""COMPUTED_VALUE"""),"CSE422-07 (LAB)
MHDE,YND
09F-24L")</f>
        <v>CSE422-07 (LAB)
MHDE,YND
09F-24L</v>
      </c>
      <c r="G11" s="90" t="str">
        <f>IFERROR(__xludf.DUMMYFUNCTION("""COMPUTED_VALUE"""),"CSE422-07 (LAB)
MHDE,YND
09F-24L")</f>
        <v>CSE422-07 (LAB)
MHDE,YND
09F-24L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IFERROR(__xludf.DUMMYFUNCTION("""COMPUTED_VALUE"""),"CSE320-16
07D-20C")</f>
        <v>CSE320-16
07D-20C</v>
      </c>
      <c r="E12" s="90" t="str">
        <f>IFERROR(__xludf.DUMMYFUNCTION("""COMPUTED_VALUE"""),"CSE320-17
07D-20C")</f>
        <v>CSE320-17
07D-20C</v>
      </c>
      <c r="F12" s="90" t="str">
        <f>IFERROR(__xludf.DUMMYFUNCTION("""COMPUTED_VALUE"""),"CSE111-17 (LAB)
KNI,YND
09B-08L")</f>
        <v>CSE111-17 (LAB)
KNI,YND
09B-08L</v>
      </c>
      <c r="G12" s="90" t="str">
        <f>IFERROR(__xludf.DUMMYFUNCTION("""COMPUTED_VALUE"""),"CSE111-17 (LAB)
KNI,YND
09B-08L")</f>
        <v>CSE111-17 (LAB)
KNI,YND
09B-08L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IFERROR(__xludf.DUMMYFUNCTION("""COMPUTED_VALUE"""),"CSE110-17
09A-05C")</f>
        <v>CSE110-17
09A-05C</v>
      </c>
      <c r="E13" s="90" t="str">
        <f>IFERROR(__xludf.DUMMYFUNCTION("""COMPUTED_VALUE"""),"Consultation")</f>
        <v>Consultation</v>
      </c>
      <c r="F13" s="90" t="str">
        <f>IFERROR(__xludf.DUMMYFUNCTION("""COMPUTED_VALUE"""),"CSE422-06 (LAB)
YND,RZR
09F-27L")</f>
        <v>CSE422-06 (LAB)
YND,RZR
09F-27L</v>
      </c>
      <c r="G13" s="90" t="str">
        <f>IFERROR(__xludf.DUMMYFUNCTION("""COMPUTED_VALUE"""),"CSE422-06 (LAB)
YND,RZR
09F-27L")</f>
        <v>CSE422-06 (LAB)
YND,RZR
09F-27L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Ihzaz Abrar Sadik</v>
      </c>
      <c r="E4" s="57"/>
      <c r="F4" s="58" t="s">
        <v>1</v>
      </c>
      <c r="G4" s="59" t="s">
        <v>176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ihzaz.sadik@bracu.ac.bd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IFERROR(__xludf.DUMMYFUNCTION("""COMPUTED_VALUE"""),"CSE251-07A (LAB)
ZAZ,RAO
12B-20L")</f>
        <v>CSE251-07A (LAB)
ZAZ,RAO
12B-20L</v>
      </c>
      <c r="C10" s="90" t="str">
        <f>IFERROR(__xludf.DUMMYFUNCTION("""COMPUTED_VALUE"""),"CSE251-07A (LAB)
ZAZ,RAO
12B-20L")</f>
        <v>CSE251-07A (LAB)
ZAZ,RAO
12B-20L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IFERROR(__xludf.DUMMYFUNCTION("""COMPUTED_VALUE"""),"CSE250-05A
10B-17C")</f>
        <v>CSE250-05A
10B-17C</v>
      </c>
      <c r="C11" s="90" t="str">
        <f>IFERROR(__xludf.DUMMYFUNCTION("""COMPUTED_VALUE"""),"CSE350-05A
07H-26C,CSE350-05B
07H-26C")</f>
        <v>CSE350-05A
07H-26C,CSE350-05B
07H-26C</v>
      </c>
      <c r="D11" s="90" t="str">
        <f>IFERROR(__xludf.DUMMYFUNCTION("""COMPUTED_VALUE"""),"CSE350-01B (LAB)
ZAZ,RAO
FT11-01L")</f>
        <v>CSE350-01B (LAB)
ZAZ,RAO
FT11-01L</v>
      </c>
      <c r="E11" s="90" t="str">
        <f>IFERROR(__xludf.DUMMYFUNCTION("""COMPUTED_VALUE"""),"CSE350-01B (LAB)
ZAZ,RAO
FT11-01L")</f>
        <v>CSE350-01B (LAB)
ZAZ,RAO
FT11-01L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IFERROR(__xludf.DUMMYFUNCTION("""COMPUTED_VALUE"""),"CSE250-05A
10B-17C")</f>
        <v>CSE250-05A
10B-17C</v>
      </c>
      <c r="C13" s="90" t="str">
        <f>IFERROR(__xludf.DUMMYFUNCTION("""COMPUTED_VALUE"""),"CSE350-05A
07H-26C,CSE350-05B
07H-26C")</f>
        <v>CSE350-05A
07H-26C,CSE350-05B
07H-26C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IFERROR(__xludf.DUMMYFUNCTION("""COMPUTED_VALUE"""),"CSE350-02A (LAB)
SDU,ZAZ
FT10-01L")</f>
        <v>CSE350-02A (LAB)
SDU,ZAZ
FT10-01L</v>
      </c>
      <c r="G13" s="90" t="str">
        <f>IFERROR(__xludf.DUMMYFUNCTION("""COMPUTED_VALUE"""),"CSE350-02A (LAB)
SDU,ZAZ
FT10-01L")</f>
        <v>CSE350-02A (LAB)
SDU,ZAZ
FT10-01L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IFERROR(__xludf.DUMMYFUNCTION("""COMPUTED_VALUE"""),"CSE350-05B (LAB)
ZAZ,TSE
FT11-01L")</f>
        <v>CSE350-05B (LAB)
ZAZ,TSE
FT11-01L</v>
      </c>
      <c r="E14" s="90" t="str">
        <f>IFERROR(__xludf.DUMMYFUNCTION("""COMPUTED_VALUE"""),"CSE350-05B (LAB)
ZAZ,TSE
FT11-01L")</f>
        <v>CSE350-05B (LAB)
ZAZ,TSE
FT11-01L</v>
      </c>
      <c r="F14" s="90" t="str">
        <f>IFERROR(__xludf.DUMMYFUNCTION("""COMPUTED_VALUE"""),"CSE350-04B (LAB)
ZAZ,RFQ
FT11-01L")</f>
        <v>CSE350-04B (LAB)
ZAZ,RFQ
FT11-01L</v>
      </c>
      <c r="G14" s="90" t="str">
        <f>IFERROR(__xludf.DUMMYFUNCTION("""COMPUTED_VALUE"""),"CSE350-04B (LAB)
ZAZ,RFQ
FT11-01L")</f>
        <v>CSE350-04B (LAB)
ZAZ,RFQ
FT11-01L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Zayed Bin Zahir Arju</v>
      </c>
      <c r="E4" s="57"/>
      <c r="F4" s="58" t="s">
        <v>1</v>
      </c>
      <c r="G4" s="59" t="s">
        <v>253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ext.zayed.zahir@bracu.ac.bd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IFERROR(__xludf.DUMMYFUNCTION("""COMPUTED_VALUE"""),"CSE350-03A (LAB)
ZBH,AKDB
FT10-01L")</f>
        <v>CSE350-03A (LAB)
ZBH,AKDB
FT10-01L</v>
      </c>
      <c r="C9" s="86" t="str">
        <f>IFERROR(__xludf.DUMMYFUNCTION("""COMPUTED_VALUE"""),"CSE350-03A (LAB)
ZBH,AKDB
FT10-01L")</f>
        <v>CSE350-03A (LAB)
ZBH,AKDB
FT10-01L</v>
      </c>
      <c r="D9" s="86" t="str">
        <f>IFERROR(__xludf.DUMMYFUNCTION("""COMPUTED_VALUE"""),"Consultation")</f>
        <v>Consultation</v>
      </c>
      <c r="E9" s="86" t="str">
        <f>IFERROR(__xludf.DUMMYFUNCTION("""COMPUTED_VALUE"""),"CSE350-10A
07H-26C,CSE350-10B
07H-26C")</f>
        <v>CSE350-10A
07H-26C,CSE350-10B
07H-26C</v>
      </c>
      <c r="F9" s="86" t="str">
        <f>IFERROR(__xludf.DUMMYFUNCTION("""COMPUTED_VALUE"""),"CSE250-01B (LAB)
ZBH,ARA
12B-20L")</f>
        <v>CSE250-01B (LAB)
ZBH,ARA
12B-20L</v>
      </c>
      <c r="G9" s="86" t="str">
        <f>IFERROR(__xludf.DUMMYFUNCTION("""COMPUTED_VALUE"""),"CSE250-01B (LAB)
ZBH,ARA
12B-20L")</f>
        <v>CSE250-01B (LAB)
ZBH,ARA
12B-20L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IFERROR(__xludf.DUMMYFUNCTION("""COMPUTED_VALUE"""),"CSE250-03B (LAB)
RAO,ZBH
12B-20L")</f>
        <v>CSE250-03B (LAB)
RAO,ZBH
12B-20L</v>
      </c>
      <c r="C11" s="90" t="str">
        <f>IFERROR(__xludf.DUMMYFUNCTION("""COMPUTED_VALUE"""),"CSE250-03B (LAB)
RAO,ZBH
12B-20L")</f>
        <v>CSE250-03B (LAB)
RAO,ZBH
12B-20L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IFERROR(__xludf.DUMMYFUNCTION("""COMPUTED_VALUE"""),"CSE251-11A (LAB)
ZBH,MHY
FT10-01L")</f>
        <v>CSE251-11A (LAB)
ZBH,MHY
FT10-01L</v>
      </c>
      <c r="G11" s="90" t="str">
        <f>IFERROR(__xludf.DUMMYFUNCTION("""COMPUTED_VALUE"""),"CSE251-11A (LAB)
ZBH,MHY
FT10-01L")</f>
        <v>CSE251-11A (LAB)
ZBH,MHY
FT10-01L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IFERROR(__xludf.DUMMYFUNCTION("""COMPUTED_VALUE"""),"CSE250-07B (LAB)
ZBH,AKDB
12B-20L")</f>
        <v>CSE250-07B (LAB)
ZBH,AKDB
12B-20L</v>
      </c>
      <c r="C14" s="90" t="str">
        <f>IFERROR(__xludf.DUMMYFUNCTION("""COMPUTED_VALUE"""),"CSE250-07B (LAB)
ZBH,AKDB
12B-20L")</f>
        <v>CSE250-07B (LAB)
ZBH,AKDB
12B-20L</v>
      </c>
      <c r="D14" s="90" t="str">
        <f>IFERROR(__xludf.DUMMYFUNCTION("""COMPUTED_VALUE"""),"Consultation")</f>
        <v>Consultation</v>
      </c>
      <c r="E14" s="90" t="str">
        <f>IFERROR(__xludf.DUMMYFUNCTION("""COMPUTED_VALUE"""),"CSE350-10A
07H-26C,CSE350-10B
07H-26C")</f>
        <v>CSE350-10A
07H-26C,CSE350-10B
07H-26C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Syed Zamil Hasan Shoumo</v>
      </c>
      <c r="E4" s="57"/>
      <c r="F4" s="58" t="s">
        <v>1</v>
      </c>
      <c r="G4" s="59" t="s">
        <v>177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shoumo.hasan@bracu.ac.bd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IFERROR(__xludf.DUMMYFUNCTION("""COMPUTED_VALUE"""),"CSE422-09
10B-15C")</f>
        <v>CSE422-09
10B-15C</v>
      </c>
      <c r="C10" s="90" t="str">
        <f>IFERROR(__xludf.DUMMYFUNCTION("""COMPUTED_VALUE"""),"CSE422-10
10B-15C")</f>
        <v>CSE422-10
10B-15C</v>
      </c>
      <c r="D10" s="90" t="str">
        <f>IFERROR(__xludf.DUMMYFUNCTION("""COMPUTED_VALUE"""),"CSE422-19 (LAB)
ZHS,RSS
09F-26L")</f>
        <v>CSE422-19 (LAB)
ZHS,RSS
09F-26L</v>
      </c>
      <c r="E10" s="90" t="str">
        <f>IFERROR(__xludf.DUMMYFUNCTION("""COMPUTED_VALUE"""),"CSE422-19 (LAB)
ZHS,RSS
09F-26L")</f>
        <v>CSE422-19 (LAB)
ZHS,RSS
09F-26L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IFERROR(__xludf.DUMMYFUNCTION("""COMPUTED_VALUE"""),"CSE422-11
10A-10C")</f>
        <v>CSE422-11
10A-10C</v>
      </c>
      <c r="C11" s="90" t="str">
        <f>IFERROR(__xludf.DUMMYFUNCTION("""COMPUTED_VALUE"""),"CSE422-12
10A-10C")</f>
        <v>CSE422-12
10A-10C</v>
      </c>
      <c r="D11" s="90" t="str">
        <f>IFERROR(__xludf.DUMMYFUNCTION("""COMPUTED_VALUE"""),"CSE422-13 (LAB)
ZHS,RSS
09F-24L")</f>
        <v>CSE422-13 (LAB)
ZHS,RSS
09F-24L</v>
      </c>
      <c r="E11" s="90" t="str">
        <f>IFERROR(__xludf.DUMMYFUNCTION("""COMPUTED_VALUE"""),"CSE422-13 (LAB)
ZHS,RSS
09F-24L")</f>
        <v>CSE422-13 (LAB)
ZHS,RSS
09F-24L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IFERROR(__xludf.DUMMYFUNCTION("""COMPUTED_VALUE"""),"CSE422-09
10B-15C")</f>
        <v>CSE422-09
10B-15C</v>
      </c>
      <c r="C12" s="90" t="str">
        <f>IFERROR(__xludf.DUMMYFUNCTION("""COMPUTED_VALUE"""),"CSE422-10
10B-15C")</f>
        <v>CSE422-10
10B-15C</v>
      </c>
      <c r="D12" s="90" t="str">
        <f>IFERROR(__xludf.DUMMYFUNCTION("""COMPUTED_VALUE"""),"CSE422-01 (LAB)
ZHS,FFU
09F-25L")</f>
        <v>CSE422-01 (LAB)
ZHS,FFU
09F-25L</v>
      </c>
      <c r="E12" s="90" t="str">
        <f>IFERROR(__xludf.DUMMYFUNCTION("""COMPUTED_VALUE"""),"CSE422-01 (LAB)
ZHS,FFU
09F-25L")</f>
        <v>CSE422-01 (LAB)
ZHS,FFU
09F-25L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IFERROR(__xludf.DUMMYFUNCTION("""COMPUTED_VALUE"""),"CSE422-11
10A-10C")</f>
        <v>CSE422-11
10A-10C</v>
      </c>
      <c r="C13" s="90" t="str">
        <f>IFERROR(__xludf.DUMMYFUNCTION("""COMPUTED_VALUE"""),"CSE422-12
10A-10C")</f>
        <v>CSE422-12
10A-10C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Zahin Iqbal Zeal</v>
      </c>
      <c r="E4" s="57"/>
      <c r="F4" s="58" t="s">
        <v>1</v>
      </c>
      <c r="G4" s="59" t="s">
        <v>254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ext.zahin.ikbal@bracu.ac.bd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IFERROR(__xludf.DUMMYFUNCTION("""COMPUTED_VALUE"""),"Consultation")</f>
        <v>Consultation</v>
      </c>
      <c r="D9" s="86" t="str">
        <f>IFERROR(__xludf.DUMMYFUNCTION("""COMPUTED_VALUE"""),"CSE460-09
07H-26C")</f>
        <v>CSE460-09
07H-26C</v>
      </c>
      <c r="E9" s="86" t="str">
        <f>IFERROR(__xludf.DUMMYFUNCTION("""COMPUTED_VALUE"""),"CSE460-10
09A-01C")</f>
        <v>CSE460-10
09A-01C</v>
      </c>
      <c r="F9" s="86" t="str">
        <f>IFERROR(__xludf.DUMMYFUNCTION("""COMPUTED_VALUE"""),"CSE460-02 (LAB)
AKJ,ZIZE
09E-21L")</f>
        <v>CSE460-02 (LAB)
AKJ,ZIZE
09E-21L</v>
      </c>
      <c r="G9" s="86" t="str">
        <f>IFERROR(__xludf.DUMMYFUNCTION("""COMPUTED_VALUE"""),"CSE460-02 (LAB)
AKJ,ZIZE
09E-21L")</f>
        <v>CSE460-02 (LAB)
AKJ,ZIZE
09E-21L</v>
      </c>
      <c r="H9" s="86" t="str">
        <f>IFERROR(__xludf.DUMMYFUNCTION("""COMPUTED_VALUE"""),"Consultation")</f>
        <v>Consultation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IFERROR(__xludf.DUMMYFUNCTION("""COMPUTED_VALUE"""),"CSE250-12B (LAB)
ZIZE,SDL
12B-20L")</f>
        <v>CSE250-12B (LAB)
ZIZE,SDL
12B-20L</v>
      </c>
      <c r="G13" s="90" t="str">
        <f>IFERROR(__xludf.DUMMYFUNCTION("""COMPUTED_VALUE"""),"CSE250-12B (LAB)
ZIZE,SDL
12B-20L")</f>
        <v>CSE250-12B (LAB)
ZIZE,SDL
12B-20L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IFERROR(__xludf.DUMMYFUNCTION("""COMPUTED_VALUE"""),"CSE460-09
07H-26C")</f>
        <v>CSE460-09
07H-26C</v>
      </c>
      <c r="E14" s="90" t="str">
        <f>IFERROR(__xludf.DUMMYFUNCTION("""COMPUTED_VALUE"""),"CSE460-10
09A-01C")</f>
        <v>CSE460-10
09A-01C</v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Zulkar Naim</v>
      </c>
      <c r="E4" s="57"/>
      <c r="F4" s="58" t="s">
        <v>1</v>
      </c>
      <c r="G4" s="59" t="s">
        <v>178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zulkar.naim@bracu.ac.bd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IFERROR(__xludf.DUMMYFUNCTION("""COMPUTED_VALUE"""),"CSE221-06 (LAB)
ZLNM,TAP
09F-25L")</f>
        <v>CSE221-06 (LAB)
ZLNM,TAP
09F-25L</v>
      </c>
      <c r="C10" s="90" t="str">
        <f>IFERROR(__xludf.DUMMYFUNCTION("""COMPUTED_VALUE"""),"CSE221-06 (LAB)
ZLNM,TAP
09F-25L")</f>
        <v>CSE221-06 (LAB)
ZLNM,TAP
09F-25L</v>
      </c>
      <c r="D10" s="90" t="str">
        <f>IFERROR(__xludf.DUMMYFUNCTION("""COMPUTED_VALUE"""),"CSE340-14
09A-06C")</f>
        <v>CSE340-14
09A-06C</v>
      </c>
      <c r="E10" s="90" t="str">
        <f>IFERROR(__xludf.DUMMYFUNCTION("""COMPUTED_VALUE"""),"Consultation")</f>
        <v>Consultation</v>
      </c>
      <c r="F10" s="90" t="str">
        <f>IFERROR(__xludf.DUMMYFUNCTION("""COMPUTED_VALUE"""),"CSE221-22 (LAB)
ZLNM,ANWE
09E-22L")</f>
        <v>CSE221-22 (LAB)
ZLNM,ANWE
09E-22L</v>
      </c>
      <c r="G10" s="90" t="str">
        <f>IFERROR(__xludf.DUMMYFUNCTION("""COMPUTED_VALUE"""),"CSE221-22 (LAB)
ZLNM,ANWE
09E-22L")</f>
        <v>CSE221-22 (LAB)
ZLNM,ANWE
09E-22L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IFERROR(__xludf.DUMMYFUNCTION("""COMPUTED_VALUE"""),5.0)</f>
        <v>5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IFERROR(__xludf.DUMMYFUNCTION("""COMPUTED_VALUE"""),"CSE423-11
09A-04C")</f>
        <v>CSE423-11
09A-04C</v>
      </c>
      <c r="D11" s="90" t="str">
        <f>IFERROR(__xludf.DUMMYFUNCTION("""COMPUTED_VALUE"""),"CSE423-12
09A-04C")</f>
        <v>CSE423-12
09A-04C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IFERROR(__xludf.DUMMYFUNCTION("""COMPUTED_VALUE"""),"CSE340-14
09A-06C")</f>
        <v>CSE340-14
09A-06C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IFERROR(__xludf.DUMMYFUNCTION("""COMPUTED_VALUE"""),"CSE423-11
09A-04C")</f>
        <v>CSE423-11
09A-04C</v>
      </c>
      <c r="D13" s="90" t="str">
        <f>IFERROR(__xludf.DUMMYFUNCTION("""COMPUTED_VALUE"""),"CSE423-12
09A-04C")</f>
        <v>CSE423-12
09A-04C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Zaber Mohammad</v>
      </c>
      <c r="E4" s="57"/>
      <c r="F4" s="58" t="s">
        <v>1</v>
      </c>
      <c r="G4" s="59" t="s">
        <v>179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zaber.mohammad@bracu.ac.bd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IFERROR(__xludf.DUMMYFUNCTION("""COMPUTED_VALUE"""),"CSE220-14 (LAB)
ZMD,IRZ
09B-11L")</f>
        <v>CSE220-14 (LAB)
ZMD,IRZ
09B-11L</v>
      </c>
      <c r="C10" s="90" t="str">
        <f>IFERROR(__xludf.DUMMYFUNCTION("""COMPUTED_VALUE"""),"CSE220-14 (LAB)
ZMD,IRZ
09B-11L")</f>
        <v>CSE220-14 (LAB)
ZMD,IRZ
09B-11L</v>
      </c>
      <c r="D10" s="90" t="str">
        <f>IFERROR(__xludf.DUMMYFUNCTION("""COMPUTED_VALUE"""),"CSE321-04
09E-20T,CSE321-05
09E-20T,CSE321-06
09E-20T")</f>
        <v>CSE321-04
09E-20T,CSE321-05
09E-20T,CSE321-06
09E-20T</v>
      </c>
      <c r="E10" s="90" t="str">
        <f>IFERROR(__xludf.DUMMYFUNCTION("""COMPUTED_VALUE"""),"")</f>
        <v/>
      </c>
      <c r="F10" s="90" t="str">
        <f>IFERROR(__xludf.DUMMYFUNCTION("""COMPUTED_VALUE"""),"CSE490B-01 (LAB)
ZMD,SJM
10G-34L")</f>
        <v>CSE490B-01 (LAB)
ZMD,SJM
10G-34L</v>
      </c>
      <c r="G10" s="90" t="str">
        <f>IFERROR(__xludf.DUMMYFUNCTION("""COMPUTED_VALUE"""),"CSE490B-01 (LAB)
ZMD,SJM
10G-34L")</f>
        <v>CSE490B-01 (LAB)
ZMD,SJM
10G-34L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IFERROR(__xludf.DUMMYFUNCTION("""COMPUTED_VALUE"""),5.0)</f>
        <v>5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IFERROR(__xludf.DUMMYFUNCTION("""COMPUTED_VALUE"""),"CSE420-01
10B-16C")</f>
        <v>CSE420-01
10B-16C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IFERROR(__xludf.DUMMYFUNCTION("""COMPUTED_VALUE"""),"CSE321-04
09E-20T,CSE321-05
09E-20T,CSE321-06
09E-20T")</f>
        <v>CSE321-04
09E-20T,CSE321-05
09E-20T,CSE321-06
09E-20T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IFERROR(__xludf.DUMMYFUNCTION("""COMPUTED_VALUE"""),"CSE420-01
10B-16C")</f>
        <v>CSE420-01
10B-16C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IFERROR(__xludf.DUMMYFUNCTION("""COMPUTED_VALUE"""),"**Send an email if you need time beyond these slots")</f>
        <v>**Send an email if you need time beyond these slots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25"/>
    <col customWidth="1" min="2" max="7" width="20.63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Zayed Humayun</v>
      </c>
      <c r="E4" s="57"/>
      <c r="F4" s="58" t="s">
        <v>1</v>
      </c>
      <c r="G4" s="59" t="s">
        <v>180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zayed.humayun@bracu.ac.bd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63.0" customHeight="1">
      <c r="A9" s="84" t="str">
        <f>IFERROR(__xludf.DUMMYFUNCTION("""COMPUTED_VALUE"""),"Saturday")</f>
        <v>Saturday</v>
      </c>
      <c r="B9" s="85" t="str">
        <f>IFERROR(__xludf.DUMMYFUNCTION("""COMPUTED_VALUE"""),"CSE321-09
07H-27C")</f>
        <v>CSE321-09
07H-27C</v>
      </c>
      <c r="C9" s="86" t="str">
        <f>IFERROR(__xludf.DUMMYFUNCTION("""COMPUTED_VALUE"""),"CSE331-10
07H-27C")</f>
        <v>CSE331-10
07H-27C</v>
      </c>
      <c r="D9" s="86" t="str">
        <f>IFERROR(__xludf.DUMMYFUNCTION("""COMPUTED_VALUE"""),"CSE321-06 (LAB)
ZYH,SMKD
12D-27L")</f>
        <v>CSE321-06 (LAB)
ZYH,SMKD
12D-27L</v>
      </c>
      <c r="E9" s="86" t="str">
        <f>IFERROR(__xludf.DUMMYFUNCTION("""COMPUTED_VALUE"""),"CSE321-06 (LAB)
ZYH,SMKD
12D-27L")</f>
        <v>CSE321-06 (LAB)
ZYH,SMKD
12D-27L</v>
      </c>
      <c r="F9" s="86" t="str">
        <f>IFERROR(__xludf.DUMMYFUNCTION("""COMPUTED_VALUE"""),"Consultation")</f>
        <v>Consultation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63.0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63.0" customHeight="1">
      <c r="A11" s="84" t="str">
        <f>IFERROR(__xludf.DUMMYFUNCTION("""COMPUTED_VALUE"""),"Monday")</f>
        <v>Monday</v>
      </c>
      <c r="B11" s="89" t="str">
        <f>IFERROR(__xludf.DUMMYFUNCTION("""COMPUTED_VALUE"""),"CSE321-11 (LAB)
ZYH,ANNH
10G-33L")</f>
        <v>CSE321-11 (LAB)
ZYH,ANNH
10G-33L</v>
      </c>
      <c r="C11" s="90" t="str">
        <f>IFERROR(__xludf.DUMMYFUNCTION("""COMPUTED_VALUE"""),"CSE321-11 (LAB)
ZYH,ANNH
10G-33L")</f>
        <v>CSE321-11 (LAB)
ZYH,ANNH
10G-33L</v>
      </c>
      <c r="D11" s="90" t="str">
        <f>IFERROR(__xludf.DUMMYFUNCTION("""COMPUTED_VALUE"""),"CSE331-11
07F-22C")</f>
        <v>CSE331-11
07F-22C</v>
      </c>
      <c r="E11" s="90" t="str">
        <f>IFERROR(__xludf.DUMMYFUNCTION("""COMPUTED_VALUE"""),"CSE331-12
07F-22C")</f>
        <v>CSE331-12
07F-22C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63.0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63.0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IFERROR(__xludf.DUMMYFUNCTION("""COMPUTED_VALUE"""),"CSE331-11
07F-22C")</f>
        <v>CSE331-11
07F-22C</v>
      </c>
      <c r="E13" s="90" t="str">
        <f>IFERROR(__xludf.DUMMYFUNCTION("""COMPUTED_VALUE"""),"CSE331-12
07F-22C")</f>
        <v>CSE331-12
07F-22C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63.0" customHeight="1">
      <c r="A14" s="84" t="str">
        <f>IFERROR(__xludf.DUMMYFUNCTION("""COMPUTED_VALUE"""),"Thursday")</f>
        <v>Thursday</v>
      </c>
      <c r="B14" s="89" t="str">
        <f>IFERROR(__xludf.DUMMYFUNCTION("""COMPUTED_VALUE"""),"CSE321-09
07H-27C")</f>
        <v>CSE321-09
07H-27C</v>
      </c>
      <c r="C14" s="90" t="str">
        <f>IFERROR(__xludf.DUMMYFUNCTION("""COMPUTED_VALUE"""),"CSE331-10
07H-27C")</f>
        <v>CSE331-10
07H-27C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63.0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