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75" yWindow="60" windowWidth="24975" windowHeight="12225"/>
  </bookViews>
  <sheets>
    <sheet name="Inputs" sheetId="1" r:id="rId1"/>
    <sheet name="New Buildings" sheetId="5" r:id="rId2"/>
    <sheet name="Existing Buildings" sheetId="6" r:id="rId3"/>
    <sheet name="RASS Baselines" sheetId="7" r:id="rId4"/>
  </sheets>
  <externalReferences>
    <externalReference r:id="rId5"/>
  </externalReferences>
  <definedNames>
    <definedName name="BaselineExisting">'Existing Buildings'!$C$3</definedName>
    <definedName name="BaselineUsePerUnit" localSheetId="2">'Existing Buildings'!$E$3</definedName>
    <definedName name="BaselineUsePerUnit">'New Buildings'!$H$3</definedName>
    <definedName name="BaseYear">Inputs!$B$20</definedName>
    <definedName name="CECForecastingZone">'[1]Assumption Values'!$C$3</definedName>
    <definedName name="EndYear">Inputs!$B$21</definedName>
    <definedName name="EvapotranspirationZone">'[1]Assumption Values'!$C$4</definedName>
    <definedName name="ExistingRetrofitRate">'Existing Buildings'!$F$3</definedName>
    <definedName name="NewGrowthRate">'New Buildings'!$B$3</definedName>
    <definedName name="NewUnits2050" localSheetId="2">'Existing Buildings'!#REF!</definedName>
    <definedName name="NewUnits2050">'New Buildings'!$D$3</definedName>
    <definedName name="Redeveloped">'Existing Buildings'!$C$4</definedName>
    <definedName name="ReplacementRate">'Existing Buildings'!$B$3</definedName>
    <definedName name="ReplacementThreshold">'Existing Buildings'!$B$4</definedName>
    <definedName name="RetrofitRate" localSheetId="2">'Existing Buildings'!$B$3</definedName>
    <definedName name="RetrofitRate">'New Buildings'!$E$3</definedName>
    <definedName name="RetrofitThreshold">'Existing Buildings'!$F$4</definedName>
    <definedName name="Title24Zone">'[1]Assumption Values'!$C$2</definedName>
  </definedNames>
  <calcPr calcId="145621"/>
</workbook>
</file>

<file path=xl/calcChain.xml><?xml version="1.0" encoding="utf-8"?>
<calcChain xmlns="http://schemas.openxmlformats.org/spreadsheetml/2006/main">
  <c r="J60" i="1" l="1"/>
  <c r="H60" i="1"/>
  <c r="F60" i="1"/>
  <c r="D60" i="1"/>
  <c r="F24" i="1" l="1"/>
  <c r="F25" i="1"/>
  <c r="F26" i="1"/>
  <c r="F27" i="1"/>
  <c r="F23" i="1"/>
  <c r="C4" i="6"/>
  <c r="F28" i="1" l="1"/>
  <c r="F3" i="6"/>
  <c r="C50" i="1" l="1"/>
  <c r="C49" i="1"/>
  <c r="C48" i="1"/>
  <c r="D3" i="5"/>
  <c r="C3" i="6"/>
  <c r="F8" i="1"/>
  <c r="F7" i="1"/>
  <c r="F5" i="1"/>
  <c r="E28" i="1"/>
  <c r="D28" i="1"/>
  <c r="C28" i="1"/>
  <c r="B28" i="1"/>
  <c r="B3" i="6" l="1"/>
  <c r="E3" i="5"/>
  <c r="G14" i="5"/>
  <c r="I60" i="1"/>
  <c r="G60" i="1"/>
  <c r="E60" i="1"/>
  <c r="C60" i="1"/>
  <c r="J59" i="1"/>
  <c r="I59" i="1"/>
  <c r="H59" i="1"/>
  <c r="G59" i="1"/>
  <c r="F59" i="1"/>
  <c r="E59" i="1"/>
  <c r="D59" i="1"/>
  <c r="C59" i="1"/>
  <c r="J58" i="1"/>
  <c r="I58" i="1"/>
  <c r="H58" i="1"/>
  <c r="G58" i="1"/>
  <c r="F58" i="1"/>
  <c r="E58" i="1"/>
  <c r="D58" i="1"/>
  <c r="C58" i="1"/>
  <c r="J50" i="1"/>
  <c r="I50" i="1"/>
  <c r="H50" i="1"/>
  <c r="G50" i="1"/>
  <c r="F50" i="1"/>
  <c r="E50" i="1"/>
  <c r="D50" i="1"/>
  <c r="N39" i="1"/>
  <c r="I44" i="5" s="1"/>
  <c r="J49" i="1"/>
  <c r="I49" i="1"/>
  <c r="H49" i="1"/>
  <c r="G49" i="1"/>
  <c r="F49" i="1"/>
  <c r="E49" i="1"/>
  <c r="D49" i="1"/>
  <c r="N38" i="1"/>
  <c r="I29" i="5" s="1"/>
  <c r="J48" i="1"/>
  <c r="I48" i="1"/>
  <c r="H48" i="1"/>
  <c r="G48" i="1"/>
  <c r="F48" i="1"/>
  <c r="E48" i="1"/>
  <c r="D48" i="1"/>
  <c r="N37" i="1"/>
  <c r="I14" i="5" s="1"/>
  <c r="D38" i="1"/>
  <c r="E38" i="1"/>
  <c r="F38" i="1"/>
  <c r="G38" i="1"/>
  <c r="H38" i="1"/>
  <c r="I38" i="1"/>
  <c r="J38" i="1"/>
  <c r="D39" i="1"/>
  <c r="E39" i="1"/>
  <c r="F39" i="1"/>
  <c r="G39" i="1"/>
  <c r="H39" i="1"/>
  <c r="I39" i="1"/>
  <c r="J39" i="1"/>
  <c r="D40" i="1"/>
  <c r="E40" i="1"/>
  <c r="F40" i="1"/>
  <c r="G40" i="1"/>
  <c r="H40" i="1"/>
  <c r="I40" i="1"/>
  <c r="J40" i="1"/>
  <c r="C39" i="1"/>
  <c r="C40" i="1"/>
  <c r="C38" i="1"/>
  <c r="G44" i="5"/>
  <c r="G29" i="5"/>
  <c r="C5" i="6"/>
  <c r="F6" i="6" s="1"/>
  <c r="G5" i="6"/>
  <c r="J5" i="6"/>
  <c r="H45" i="6"/>
  <c r="H30" i="6"/>
  <c r="H15" i="6"/>
  <c r="D45" i="6"/>
  <c r="D30" i="6"/>
  <c r="D15" i="6"/>
  <c r="K5" i="6" l="1"/>
  <c r="L5" i="6" s="1"/>
  <c r="B6" i="6"/>
  <c r="C6" i="6" s="1"/>
  <c r="H16" i="6"/>
  <c r="H17" i="6" s="1"/>
  <c r="H18" i="6" s="1"/>
  <c r="H19" i="6" s="1"/>
  <c r="H20" i="6" s="1"/>
  <c r="H21" i="6" s="1"/>
  <c r="H22" i="6" s="1"/>
  <c r="H23" i="6" s="1"/>
  <c r="H24" i="6" s="1"/>
  <c r="H25" i="6" s="1"/>
  <c r="H26" i="6" s="1"/>
  <c r="H27" i="6" s="1"/>
  <c r="H28" i="6" s="1"/>
  <c r="H29" i="6" s="1"/>
  <c r="H6" i="6"/>
  <c r="H7" i="6" s="1"/>
  <c r="H8" i="6" s="1"/>
  <c r="H9" i="6" s="1"/>
  <c r="H10" i="6" s="1"/>
  <c r="H11" i="6" s="1"/>
  <c r="H12" i="6" s="1"/>
  <c r="H13" i="6" s="1"/>
  <c r="H14" i="6" s="1"/>
  <c r="H31" i="6"/>
  <c r="H32" i="6" s="1"/>
  <c r="H33" i="6" s="1"/>
  <c r="H34" i="6" s="1"/>
  <c r="H35" i="6" s="1"/>
  <c r="H36" i="6" s="1"/>
  <c r="H37" i="6" s="1"/>
  <c r="H38" i="6" s="1"/>
  <c r="H39" i="6" s="1"/>
  <c r="H40" i="6" s="1"/>
  <c r="H41" i="6" s="1"/>
  <c r="H42" i="6" s="1"/>
  <c r="H43" i="6" s="1"/>
  <c r="H44" i="6" s="1"/>
  <c r="D16" i="6"/>
  <c r="D6" i="6"/>
  <c r="D31" i="6"/>
  <c r="I30" i="5"/>
  <c r="I15" i="5"/>
  <c r="I5" i="5"/>
  <c r="E5" i="5"/>
  <c r="G5" i="5"/>
  <c r="O5" i="6" l="1"/>
  <c r="B7" i="6"/>
  <c r="C7" i="6" s="1"/>
  <c r="F7" i="6"/>
  <c r="I7" i="6" s="1"/>
  <c r="G6" i="6"/>
  <c r="J6" i="6"/>
  <c r="K6" i="6" s="1"/>
  <c r="I6" i="6"/>
  <c r="D32" i="6"/>
  <c r="D7" i="6"/>
  <c r="E6" i="6"/>
  <c r="D17" i="6"/>
  <c r="K5" i="5"/>
  <c r="J5" i="5"/>
  <c r="I16" i="5"/>
  <c r="I31" i="5"/>
  <c r="I6" i="5"/>
  <c r="G15" i="5"/>
  <c r="G30" i="5"/>
  <c r="G6" i="5"/>
  <c r="B8" i="6" l="1"/>
  <c r="C8" i="6" s="1"/>
  <c r="F9" i="6" s="1"/>
  <c r="F8" i="6"/>
  <c r="I8" i="6" s="1"/>
  <c r="G7" i="6"/>
  <c r="J7" i="6"/>
  <c r="O6" i="6"/>
  <c r="L6" i="6"/>
  <c r="D8" i="6"/>
  <c r="E7" i="6"/>
  <c r="D18" i="6"/>
  <c r="D33" i="6"/>
  <c r="I17" i="5"/>
  <c r="I7" i="5"/>
  <c r="I32" i="5"/>
  <c r="G16" i="5"/>
  <c r="G31" i="5"/>
  <c r="G7" i="5"/>
  <c r="K7" i="6" l="1"/>
  <c r="L7" i="6" s="1"/>
  <c r="B9" i="6"/>
  <c r="C9" i="6" s="1"/>
  <c r="I9" i="6"/>
  <c r="G8" i="6"/>
  <c r="J8" i="6"/>
  <c r="D19" i="6"/>
  <c r="D34" i="6"/>
  <c r="D9" i="6"/>
  <c r="E8" i="6"/>
  <c r="I18" i="5"/>
  <c r="I8" i="5"/>
  <c r="I33" i="5"/>
  <c r="G32" i="5"/>
  <c r="G17" i="5"/>
  <c r="G8" i="5"/>
  <c r="O7" i="6" l="1"/>
  <c r="K8" i="6"/>
  <c r="L8" i="6" s="1"/>
  <c r="B10" i="6"/>
  <c r="C10" i="6" s="1"/>
  <c r="F11" i="6" s="1"/>
  <c r="F10" i="6"/>
  <c r="I10" i="6" s="1"/>
  <c r="G9" i="6"/>
  <c r="J9" i="6"/>
  <c r="D20" i="6"/>
  <c r="D35" i="6"/>
  <c r="E9" i="6"/>
  <c r="D10" i="6"/>
  <c r="I19" i="5"/>
  <c r="I9" i="5"/>
  <c r="I34" i="5"/>
  <c r="G33" i="5"/>
  <c r="G18" i="5"/>
  <c r="G9" i="5"/>
  <c r="C9" i="1"/>
  <c r="D9" i="1"/>
  <c r="E9" i="1"/>
  <c r="B9" i="1"/>
  <c r="B3" i="5"/>
  <c r="F9" i="1" l="1"/>
  <c r="O8" i="6"/>
  <c r="B44" i="5"/>
  <c r="B29" i="5"/>
  <c r="B14" i="5"/>
  <c r="K9" i="6"/>
  <c r="L9" i="6" s="1"/>
  <c r="B11" i="6"/>
  <c r="C11" i="6" s="1"/>
  <c r="F12" i="6" s="1"/>
  <c r="G11" i="6"/>
  <c r="G10" i="6"/>
  <c r="J10" i="6"/>
  <c r="D5" i="5"/>
  <c r="E10" i="1"/>
  <c r="D10" i="1"/>
  <c r="C10" i="1"/>
  <c r="B10" i="1"/>
  <c r="D36" i="6"/>
  <c r="D11" i="6"/>
  <c r="E10" i="6"/>
  <c r="D21" i="6"/>
  <c r="I20" i="5"/>
  <c r="I10" i="5"/>
  <c r="I35" i="5"/>
  <c r="G19" i="5"/>
  <c r="G34" i="5"/>
  <c r="G10" i="5"/>
  <c r="O9" i="6" l="1"/>
  <c r="C5" i="5"/>
  <c r="D6" i="5" s="1"/>
  <c r="K10" i="6"/>
  <c r="L10" i="6" s="1"/>
  <c r="B12" i="6"/>
  <c r="C12" i="6" s="1"/>
  <c r="F13" i="6" s="1"/>
  <c r="I12" i="6"/>
  <c r="F10" i="1"/>
  <c r="J11" i="6"/>
  <c r="K11" i="6" s="1"/>
  <c r="I11" i="6"/>
  <c r="D12" i="6"/>
  <c r="E11" i="6"/>
  <c r="D37" i="6"/>
  <c r="D22" i="6"/>
  <c r="I21" i="5"/>
  <c r="I11" i="5"/>
  <c r="I36" i="5"/>
  <c r="G35" i="5"/>
  <c r="G20" i="5"/>
  <c r="G11" i="5"/>
  <c r="C6" i="5" l="1"/>
  <c r="D7" i="5" s="1"/>
  <c r="O10" i="6"/>
  <c r="B13" i="6"/>
  <c r="C13" i="6" s="1"/>
  <c r="F14" i="6" s="1"/>
  <c r="G13" i="6"/>
  <c r="G12" i="6"/>
  <c r="J12" i="6"/>
  <c r="L11" i="6"/>
  <c r="O11" i="6"/>
  <c r="D23" i="6"/>
  <c r="D13" i="6"/>
  <c r="E12" i="6"/>
  <c r="D38" i="6"/>
  <c r="I22" i="5"/>
  <c r="I12" i="5"/>
  <c r="I37" i="5"/>
  <c r="G21" i="5"/>
  <c r="G36" i="5"/>
  <c r="G12" i="5"/>
  <c r="C7" i="5" l="1"/>
  <c r="C8" i="5" s="1"/>
  <c r="K12" i="6"/>
  <c r="O12" i="6" s="1"/>
  <c r="B14" i="6"/>
  <c r="C14" i="6" s="1"/>
  <c r="F15" i="6" s="1"/>
  <c r="I14" i="6"/>
  <c r="J13" i="6"/>
  <c r="K13" i="6" s="1"/>
  <c r="I13" i="6"/>
  <c r="E13" i="6"/>
  <c r="D14" i="6"/>
  <c r="D39" i="6"/>
  <c r="D24" i="6"/>
  <c r="I23" i="5"/>
  <c r="I13" i="5"/>
  <c r="I38" i="5"/>
  <c r="G37" i="5"/>
  <c r="G22" i="5"/>
  <c r="G13" i="5"/>
  <c r="D8" i="5" l="1"/>
  <c r="D9" i="5" s="1"/>
  <c r="C9" i="5"/>
  <c r="C10" i="5" s="1"/>
  <c r="L12" i="6"/>
  <c r="B15" i="6"/>
  <c r="E15" i="6" s="1"/>
  <c r="I15" i="6"/>
  <c r="N15" i="6" s="1"/>
  <c r="G14" i="6"/>
  <c r="J14" i="6"/>
  <c r="L13" i="6"/>
  <c r="E14" i="6"/>
  <c r="O13" i="6"/>
  <c r="D40" i="6"/>
  <c r="D25" i="6"/>
  <c r="I24" i="5"/>
  <c r="I39" i="5"/>
  <c r="G23" i="5"/>
  <c r="G38" i="5"/>
  <c r="D10" i="5" l="1"/>
  <c r="D11" i="5" s="1"/>
  <c r="C11" i="5"/>
  <c r="C12" i="5" s="1"/>
  <c r="K14" i="6"/>
  <c r="O14" i="6" s="1"/>
  <c r="C15" i="6"/>
  <c r="F16" i="6" s="1"/>
  <c r="G15" i="6"/>
  <c r="D26" i="6"/>
  <c r="D41" i="6"/>
  <c r="I25" i="5"/>
  <c r="I40" i="5"/>
  <c r="G39" i="5"/>
  <c r="G24" i="5"/>
  <c r="D12" i="5" l="1"/>
  <c r="D13" i="5" s="1"/>
  <c r="L14" i="6"/>
  <c r="C13" i="5"/>
  <c r="B16" i="6"/>
  <c r="E16" i="6" s="1"/>
  <c r="G16" i="6"/>
  <c r="J15" i="6"/>
  <c r="K15" i="6" s="1"/>
  <c r="D42" i="6"/>
  <c r="D27" i="6"/>
  <c r="I26" i="5"/>
  <c r="I41" i="5"/>
  <c r="G25" i="5"/>
  <c r="G40" i="5"/>
  <c r="C14" i="5" l="1"/>
  <c r="D14" i="5"/>
  <c r="C16" i="6"/>
  <c r="F17" i="6" s="1"/>
  <c r="I16" i="6"/>
  <c r="L15" i="6"/>
  <c r="M15" i="6" s="1"/>
  <c r="O15" i="6"/>
  <c r="P15" i="6" s="1"/>
  <c r="N71" i="1" s="1"/>
  <c r="D28" i="6"/>
  <c r="D43" i="6"/>
  <c r="I27" i="5"/>
  <c r="I42" i="5"/>
  <c r="G41" i="5"/>
  <c r="G26" i="5"/>
  <c r="D15" i="5" l="1"/>
  <c r="C15" i="5"/>
  <c r="J16" i="6"/>
  <c r="K16" i="6" s="1"/>
  <c r="O16" i="6" s="1"/>
  <c r="B17" i="6"/>
  <c r="G17" i="6"/>
  <c r="I17" i="6"/>
  <c r="D44" i="6"/>
  <c r="D29" i="6"/>
  <c r="I28" i="5"/>
  <c r="I43" i="5"/>
  <c r="G42" i="5"/>
  <c r="G27" i="5"/>
  <c r="D16" i="5" l="1"/>
  <c r="C16" i="5"/>
  <c r="C17" i="5" s="1"/>
  <c r="C18" i="5" s="1"/>
  <c r="C19" i="5" s="1"/>
  <c r="L16" i="6"/>
  <c r="E17" i="6"/>
  <c r="C17" i="6"/>
  <c r="G43" i="5"/>
  <c r="G28" i="5"/>
  <c r="C20" i="5" l="1"/>
  <c r="C21" i="5" s="1"/>
  <c r="D17" i="5"/>
  <c r="D18" i="5" s="1"/>
  <c r="D19" i="5" s="1"/>
  <c r="D20" i="5" s="1"/>
  <c r="F18" i="6"/>
  <c r="B18" i="6"/>
  <c r="J17" i="6"/>
  <c r="K17" i="6" s="1"/>
  <c r="D21" i="5" l="1"/>
  <c r="D22" i="5" s="1"/>
  <c r="C22" i="5"/>
  <c r="C23" i="5" s="1"/>
  <c r="C24" i="5" s="1"/>
  <c r="C25" i="5" s="1"/>
  <c r="C26" i="5" s="1"/>
  <c r="C27" i="5" s="1"/>
  <c r="C28" i="5" s="1"/>
  <c r="C29" i="5" s="1"/>
  <c r="C30" i="5" s="1"/>
  <c r="C31" i="5" s="1"/>
  <c r="C32" i="5" s="1"/>
  <c r="C33" i="5" s="1"/>
  <c r="C34" i="5" s="1"/>
  <c r="C35" i="5" s="1"/>
  <c r="C36" i="5" s="1"/>
  <c r="C37" i="5" s="1"/>
  <c r="C38" i="5" s="1"/>
  <c r="E18" i="6"/>
  <c r="C18" i="6"/>
  <c r="O17" i="6"/>
  <c r="L17" i="6"/>
  <c r="G18" i="6"/>
  <c r="I18" i="6"/>
  <c r="D23" i="5" l="1"/>
  <c r="D24" i="5" s="1"/>
  <c r="D25" i="5" s="1"/>
  <c r="D26" i="5" s="1"/>
  <c r="D27" i="5" s="1"/>
  <c r="D28" i="5" s="1"/>
  <c r="D29" i="5" s="1"/>
  <c r="D30" i="5" s="1"/>
  <c r="D31" i="5" s="1"/>
  <c r="D32" i="5" s="1"/>
  <c r="D33" i="5" s="1"/>
  <c r="D34" i="5" s="1"/>
  <c r="D35" i="5" s="1"/>
  <c r="D36" i="5" s="1"/>
  <c r="D37" i="5" s="1"/>
  <c r="D38" i="5" s="1"/>
  <c r="D39" i="5" s="1"/>
  <c r="D40" i="5" s="1"/>
  <c r="D41" i="5" s="1"/>
  <c r="D42" i="5" s="1"/>
  <c r="D43" i="5" s="1"/>
  <c r="D44" i="5" s="1"/>
  <c r="C39" i="5"/>
  <c r="C40" i="5" s="1"/>
  <c r="C41" i="5" s="1"/>
  <c r="C42" i="5" s="1"/>
  <c r="C43" i="5" s="1"/>
  <c r="C44" i="5" s="1"/>
  <c r="F19" i="6"/>
  <c r="J18" i="6"/>
  <c r="K18" i="6" s="1"/>
  <c r="B19" i="6"/>
  <c r="O18" i="6" l="1"/>
  <c r="L18" i="6"/>
  <c r="E19" i="6"/>
  <c r="C19" i="6"/>
  <c r="I19" i="6"/>
  <c r="G19" i="6"/>
  <c r="F20" i="6" l="1"/>
  <c r="J19" i="6"/>
  <c r="B20" i="6"/>
  <c r="K19" i="6" l="1"/>
  <c r="L19" i="6" s="1"/>
  <c r="E20" i="6"/>
  <c r="C20" i="6"/>
  <c r="G20" i="6"/>
  <c r="I20" i="6"/>
  <c r="O19" i="6" l="1"/>
  <c r="F21" i="6"/>
  <c r="B21" i="6"/>
  <c r="J20" i="6"/>
  <c r="K20" i="6" s="1"/>
  <c r="E21" i="6" l="1"/>
  <c r="C21" i="6"/>
  <c r="O20" i="6"/>
  <c r="L20" i="6"/>
  <c r="I21" i="6"/>
  <c r="G21" i="6"/>
  <c r="F22" i="6" l="1"/>
  <c r="J21" i="6"/>
  <c r="K21" i="6" s="1"/>
  <c r="B22" i="6"/>
  <c r="E22" i="6" s="1"/>
  <c r="C22" i="6" l="1"/>
  <c r="O21" i="6"/>
  <c r="L21" i="6"/>
  <c r="I22" i="6"/>
  <c r="G22" i="6"/>
  <c r="F23" i="6" l="1"/>
  <c r="J22" i="6"/>
  <c r="B23" i="6"/>
  <c r="K22" i="6" l="1"/>
  <c r="O22" i="6" s="1"/>
  <c r="C23" i="6"/>
  <c r="E23" i="6"/>
  <c r="I23" i="6"/>
  <c r="G23" i="6"/>
  <c r="L22" i="6" l="1"/>
  <c r="F24" i="6"/>
  <c r="B24" i="6"/>
  <c r="E24" i="6" s="1"/>
  <c r="J23" i="6"/>
  <c r="K23" i="6" l="1"/>
  <c r="L23" i="6" s="1"/>
  <c r="I24" i="6"/>
  <c r="G24" i="6"/>
  <c r="C24" i="6"/>
  <c r="O23" i="6" l="1"/>
  <c r="J24" i="6"/>
  <c r="F25" i="6"/>
  <c r="B25" i="6"/>
  <c r="E25" i="6" s="1"/>
  <c r="H25" i="5"/>
  <c r="H42" i="5"/>
  <c r="H38" i="5"/>
  <c r="H43" i="5"/>
  <c r="H31" i="5"/>
  <c r="K24" i="6" l="1"/>
  <c r="O24" i="6" s="1"/>
  <c r="C25" i="6"/>
  <c r="I25" i="6"/>
  <c r="G25" i="6"/>
  <c r="H40" i="5"/>
  <c r="F5" i="5"/>
  <c r="E6" i="5" s="1"/>
  <c r="J6" i="5" s="1"/>
  <c r="H41" i="5"/>
  <c r="H13" i="5"/>
  <c r="H22" i="5"/>
  <c r="H33" i="5"/>
  <c r="H27" i="5"/>
  <c r="H10" i="5"/>
  <c r="H14" i="5"/>
  <c r="H23" i="5"/>
  <c r="H28" i="5"/>
  <c r="H34" i="5"/>
  <c r="H36" i="5"/>
  <c r="H44" i="5"/>
  <c r="H8" i="5"/>
  <c r="H6" i="5"/>
  <c r="H9" i="5"/>
  <c r="H32" i="5"/>
  <c r="H19" i="5"/>
  <c r="H29" i="5"/>
  <c r="H17" i="5"/>
  <c r="H20" i="5"/>
  <c r="H21" i="5"/>
  <c r="H15" i="5"/>
  <c r="H16" i="5"/>
  <c r="H26" i="5"/>
  <c r="H12" i="5"/>
  <c r="H7" i="5"/>
  <c r="H11" i="5"/>
  <c r="H18" i="5"/>
  <c r="H30" i="5"/>
  <c r="H24" i="5"/>
  <c r="H5" i="5"/>
  <c r="L5" i="5" s="1"/>
  <c r="H37" i="5"/>
  <c r="H39" i="5"/>
  <c r="H35" i="5"/>
  <c r="L24" i="6" l="1"/>
  <c r="J25" i="6"/>
  <c r="B26" i="6"/>
  <c r="E26" i="6" s="1"/>
  <c r="F26" i="6"/>
  <c r="M5" i="5"/>
  <c r="K25" i="6" l="1"/>
  <c r="L25" i="6" s="1"/>
  <c r="C26" i="6"/>
  <c r="I26" i="6"/>
  <c r="G26" i="6"/>
  <c r="K6" i="5"/>
  <c r="F6" i="5"/>
  <c r="E7" i="5" s="1"/>
  <c r="O25" i="6" l="1"/>
  <c r="B27" i="6"/>
  <c r="E27" i="6" s="1"/>
  <c r="F27" i="6"/>
  <c r="J26" i="6"/>
  <c r="L6" i="5"/>
  <c r="M6" i="5" s="1"/>
  <c r="K26" i="6" l="1"/>
  <c r="L26" i="6" s="1"/>
  <c r="C27" i="6"/>
  <c r="J27" i="6" s="1"/>
  <c r="I27" i="6"/>
  <c r="G27" i="6"/>
  <c r="K7" i="5"/>
  <c r="J7" i="5"/>
  <c r="F7" i="5"/>
  <c r="E8" i="5" s="1"/>
  <c r="O26" i="6" l="1"/>
  <c r="K27" i="6"/>
  <c r="O27" i="6" s="1"/>
  <c r="F28" i="6"/>
  <c r="I28" i="6" s="1"/>
  <c r="B28" i="6"/>
  <c r="E28" i="6" s="1"/>
  <c r="L7" i="5"/>
  <c r="L27" i="6" l="1"/>
  <c r="G28" i="6"/>
  <c r="C28" i="6"/>
  <c r="F29" i="6" s="1"/>
  <c r="M7" i="5"/>
  <c r="K8" i="5"/>
  <c r="J8" i="5"/>
  <c r="F8" i="5"/>
  <c r="E9" i="5" s="1"/>
  <c r="J28" i="6" l="1"/>
  <c r="K28" i="6" s="1"/>
  <c r="O28" i="6" s="1"/>
  <c r="B29" i="6"/>
  <c r="E29" i="6" s="1"/>
  <c r="I29" i="6"/>
  <c r="G29" i="6"/>
  <c r="L8" i="5"/>
  <c r="M8" i="5" s="1"/>
  <c r="L28" i="6" l="1"/>
  <c r="C29" i="6"/>
  <c r="B30" i="6" s="1"/>
  <c r="K9" i="5"/>
  <c r="J9" i="5"/>
  <c r="F9" i="5"/>
  <c r="E10" i="5" s="1"/>
  <c r="E30" i="6" l="1"/>
  <c r="C30" i="6"/>
  <c r="B31" i="6" s="1"/>
  <c r="E31" i="6" s="1"/>
  <c r="J29" i="6"/>
  <c r="K29" i="6" s="1"/>
  <c r="F30" i="6"/>
  <c r="L9" i="5"/>
  <c r="M9" i="5" s="1"/>
  <c r="F31" i="6" l="1"/>
  <c r="I31" i="6" s="1"/>
  <c r="I30" i="6"/>
  <c r="N30" i="6" s="1"/>
  <c r="G30" i="6"/>
  <c r="O29" i="6"/>
  <c r="L29" i="6"/>
  <c r="J30" i="6"/>
  <c r="C31" i="6"/>
  <c r="F32" i="6" s="1"/>
  <c r="K10" i="5"/>
  <c r="J10" i="5"/>
  <c r="F10" i="5"/>
  <c r="E11" i="5" s="1"/>
  <c r="K30" i="6" l="1"/>
  <c r="L30" i="6" s="1"/>
  <c r="M30" i="6" s="1"/>
  <c r="G31" i="6"/>
  <c r="B32" i="6"/>
  <c r="E32" i="6" s="1"/>
  <c r="J31" i="6"/>
  <c r="G32" i="6"/>
  <c r="I32" i="6"/>
  <c r="L10" i="5"/>
  <c r="M10" i="5" s="1"/>
  <c r="O30" i="6" l="1"/>
  <c r="P30" i="6" s="1"/>
  <c r="N72" i="1" s="1"/>
  <c r="K31" i="6"/>
  <c r="O31" i="6" s="1"/>
  <c r="C32" i="6"/>
  <c r="B33" i="6" s="1"/>
  <c r="K11" i="5"/>
  <c r="J11" i="5"/>
  <c r="F11" i="5"/>
  <c r="E12" i="5" s="1"/>
  <c r="L31" i="6" l="1"/>
  <c r="J32" i="6"/>
  <c r="F33" i="6"/>
  <c r="I33" i="6" s="1"/>
  <c r="E33" i="6"/>
  <c r="C33" i="6"/>
  <c r="L11" i="5"/>
  <c r="M11" i="5" s="1"/>
  <c r="G33" i="6" l="1"/>
  <c r="K32" i="6"/>
  <c r="L32" i="6" s="1"/>
  <c r="F34" i="6"/>
  <c r="B34" i="6"/>
  <c r="E34" i="6" s="1"/>
  <c r="J33" i="6"/>
  <c r="J12" i="5"/>
  <c r="K12" i="5"/>
  <c r="F12" i="5"/>
  <c r="E13" i="5" s="1"/>
  <c r="O32" i="6" l="1"/>
  <c r="K33" i="6"/>
  <c r="L33" i="6" s="1"/>
  <c r="C34" i="6"/>
  <c r="G34" i="6"/>
  <c r="I34" i="6"/>
  <c r="J13" i="5"/>
  <c r="L12" i="5"/>
  <c r="M12" i="5" s="1"/>
  <c r="O33" i="6" l="1"/>
  <c r="J34" i="6"/>
  <c r="B35" i="6"/>
  <c r="F35" i="6"/>
  <c r="K13" i="5"/>
  <c r="L13" i="5" s="1"/>
  <c r="M13" i="5" s="1"/>
  <c r="F13" i="5"/>
  <c r="E14" i="5" s="1"/>
  <c r="K34" i="6" l="1"/>
  <c r="O34" i="6" s="1"/>
  <c r="E35" i="6"/>
  <c r="C35" i="6"/>
  <c r="I35" i="6"/>
  <c r="G35" i="6"/>
  <c r="J14" i="5"/>
  <c r="K14" i="5"/>
  <c r="F14" i="5"/>
  <c r="E15" i="5" s="1"/>
  <c r="L34" i="6" l="1"/>
  <c r="B36" i="6"/>
  <c r="F36" i="6"/>
  <c r="J35" i="6"/>
  <c r="L14" i="5"/>
  <c r="M14" i="5" s="1"/>
  <c r="N14" i="5" s="1"/>
  <c r="N68" i="1" s="1"/>
  <c r="K15" i="5"/>
  <c r="J15" i="5"/>
  <c r="F15" i="5"/>
  <c r="E16" i="5" s="1"/>
  <c r="K35" i="6" l="1"/>
  <c r="L35" i="6" s="1"/>
  <c r="L15" i="5"/>
  <c r="M15" i="5" s="1"/>
  <c r="E36" i="6"/>
  <c r="C36" i="6"/>
  <c r="I36" i="6"/>
  <c r="G36" i="6"/>
  <c r="F16" i="5"/>
  <c r="E17" i="5" s="1"/>
  <c r="J16" i="5"/>
  <c r="K16" i="5"/>
  <c r="O35" i="6" l="1"/>
  <c r="B37" i="6"/>
  <c r="E37" i="6" s="1"/>
  <c r="F37" i="6"/>
  <c r="J36" i="6"/>
  <c r="L16" i="5"/>
  <c r="M16" i="5" s="1"/>
  <c r="K17" i="5"/>
  <c r="J17" i="5"/>
  <c r="F17" i="5"/>
  <c r="E18" i="5" s="1"/>
  <c r="K36" i="6" l="1"/>
  <c r="O36" i="6" s="1"/>
  <c r="C37" i="6"/>
  <c r="B38" i="6" s="1"/>
  <c r="E38" i="6" s="1"/>
  <c r="I37" i="6"/>
  <c r="G37" i="6"/>
  <c r="L17" i="5"/>
  <c r="M17" i="5" s="1"/>
  <c r="L36" i="6" l="1"/>
  <c r="F38" i="6"/>
  <c r="C38" i="6"/>
  <c r="B39" i="6" s="1"/>
  <c r="J37" i="6"/>
  <c r="K18" i="5"/>
  <c r="J18" i="5"/>
  <c r="F18" i="5"/>
  <c r="E19" i="5" s="1"/>
  <c r="F39" i="6" l="1"/>
  <c r="G39" i="6" s="1"/>
  <c r="K37" i="6"/>
  <c r="L37" i="6" s="1"/>
  <c r="J38" i="6"/>
  <c r="K38" i="6" s="1"/>
  <c r="C39" i="6"/>
  <c r="F40" i="6" s="1"/>
  <c r="E39" i="6"/>
  <c r="I38" i="6"/>
  <c r="G38" i="6"/>
  <c r="L18" i="5"/>
  <c r="M18" i="5" s="1"/>
  <c r="O38" i="6" l="1"/>
  <c r="O37" i="6"/>
  <c r="B40" i="6"/>
  <c r="E40" i="6" s="1"/>
  <c r="J39" i="6"/>
  <c r="K39" i="6" s="1"/>
  <c r="I39" i="6"/>
  <c r="L38" i="6"/>
  <c r="J19" i="5"/>
  <c r="K19" i="5"/>
  <c r="F19" i="5"/>
  <c r="E20" i="5" s="1"/>
  <c r="C40" i="6" l="1"/>
  <c r="B41" i="6" s="1"/>
  <c r="E41" i="6" s="1"/>
  <c r="L39" i="6"/>
  <c r="O39" i="6"/>
  <c r="L19" i="5"/>
  <c r="M19" i="5" s="1"/>
  <c r="F41" i="6" l="1"/>
  <c r="J40" i="6"/>
  <c r="K40" i="6" s="1"/>
  <c r="I40" i="6"/>
  <c r="O40" i="6" s="1"/>
  <c r="G40" i="6"/>
  <c r="C41" i="6"/>
  <c r="J20" i="5"/>
  <c r="K20" i="5"/>
  <c r="F20" i="5"/>
  <c r="E21" i="5" s="1"/>
  <c r="L40" i="6" l="1"/>
  <c r="B42" i="6"/>
  <c r="E42" i="6" s="1"/>
  <c r="F42" i="6"/>
  <c r="J41" i="6"/>
  <c r="K41" i="6" s="1"/>
  <c r="L20" i="5"/>
  <c r="M20" i="5" s="1"/>
  <c r="I41" i="6" l="1"/>
  <c r="L41" i="6" s="1"/>
  <c r="G41" i="6"/>
  <c r="C42" i="6"/>
  <c r="J21" i="5"/>
  <c r="K21" i="5"/>
  <c r="F21" i="5"/>
  <c r="E22" i="5" s="1"/>
  <c r="O41" i="6" l="1"/>
  <c r="B43" i="6"/>
  <c r="E43" i="6" s="1"/>
  <c r="F43" i="6"/>
  <c r="I42" i="6"/>
  <c r="G42" i="6"/>
  <c r="J42" i="6"/>
  <c r="K42" i="6" s="1"/>
  <c r="L21" i="5"/>
  <c r="M21" i="5" s="1"/>
  <c r="L42" i="6" l="1"/>
  <c r="O42" i="6"/>
  <c r="G43" i="6"/>
  <c r="I43" i="6"/>
  <c r="C43" i="6"/>
  <c r="F44" i="6" s="1"/>
  <c r="K22" i="5"/>
  <c r="J22" i="5"/>
  <c r="F22" i="5"/>
  <c r="E23" i="5" s="1"/>
  <c r="B44" i="6" l="1"/>
  <c r="E44" i="6" s="1"/>
  <c r="J43" i="6"/>
  <c r="L22" i="5"/>
  <c r="M22" i="5" s="1"/>
  <c r="K43" i="6" l="1"/>
  <c r="O43" i="6" s="1"/>
  <c r="C44" i="6"/>
  <c r="K23" i="5"/>
  <c r="J23" i="5"/>
  <c r="F23" i="5"/>
  <c r="E24" i="5" s="1"/>
  <c r="L43" i="6" l="1"/>
  <c r="B45" i="6"/>
  <c r="F45" i="6"/>
  <c r="L23" i="5"/>
  <c r="M23" i="5" s="1"/>
  <c r="H26" i="1" l="1"/>
  <c r="E45" i="6"/>
  <c r="C45" i="6"/>
  <c r="J24" i="5"/>
  <c r="K24" i="5"/>
  <c r="F24" i="5"/>
  <c r="E25" i="5" s="1"/>
  <c r="L24" i="5" l="1"/>
  <c r="M24" i="5" s="1"/>
  <c r="J25" i="5" l="1"/>
  <c r="K25" i="5"/>
  <c r="F25" i="5"/>
  <c r="E26" i="5" s="1"/>
  <c r="L25" i="5" l="1"/>
  <c r="M25" i="5" s="1"/>
  <c r="J26" i="5" l="1"/>
  <c r="K26" i="5"/>
  <c r="F26" i="5"/>
  <c r="E27" i="5" s="1"/>
  <c r="L26" i="5" l="1"/>
  <c r="M26" i="5" s="1"/>
  <c r="J27" i="5" l="1"/>
  <c r="K27" i="5"/>
  <c r="F27" i="5"/>
  <c r="E28" i="5" s="1"/>
  <c r="L27" i="5" l="1"/>
  <c r="M27" i="5" s="1"/>
  <c r="K28" i="5" l="1"/>
  <c r="J28" i="5"/>
  <c r="F28" i="5"/>
  <c r="E29" i="5" s="1"/>
  <c r="L28" i="5" l="1"/>
  <c r="M28" i="5" s="1"/>
  <c r="K29" i="5"/>
  <c r="J29" i="5"/>
  <c r="F29" i="5"/>
  <c r="E30" i="5" s="1"/>
  <c r="L29" i="5" l="1"/>
  <c r="M29" i="5" s="1"/>
  <c r="N29" i="5" s="1"/>
  <c r="N69" i="1" s="1"/>
  <c r="J30" i="5" l="1"/>
  <c r="K30" i="5"/>
  <c r="F30" i="5"/>
  <c r="E31" i="5" s="1"/>
  <c r="L30" i="5" l="1"/>
  <c r="M30" i="5" s="1"/>
  <c r="J31" i="5"/>
  <c r="K31" i="5"/>
  <c r="F31" i="5"/>
  <c r="E32" i="5" s="1"/>
  <c r="J32" i="5" l="1"/>
  <c r="K32" i="5"/>
  <c r="F32" i="5"/>
  <c r="E33" i="5" s="1"/>
  <c r="L31" i="5"/>
  <c r="M31" i="5" s="1"/>
  <c r="L32" i="5" l="1"/>
  <c r="M32" i="5" s="1"/>
  <c r="K33" i="5"/>
  <c r="J33" i="5"/>
  <c r="F33" i="5"/>
  <c r="E34" i="5" s="1"/>
  <c r="L33" i="5" l="1"/>
  <c r="M33" i="5" s="1"/>
  <c r="K34" i="5" l="1"/>
  <c r="J34" i="5"/>
  <c r="F34" i="5"/>
  <c r="E35" i="5" s="1"/>
  <c r="L34" i="5" l="1"/>
  <c r="M34" i="5" s="1"/>
  <c r="K35" i="5" l="1"/>
  <c r="J35" i="5"/>
  <c r="F35" i="5"/>
  <c r="E36" i="5" s="1"/>
  <c r="L35" i="5" l="1"/>
  <c r="M35" i="5" s="1"/>
  <c r="J36" i="5" l="1"/>
  <c r="K36" i="5"/>
  <c r="F36" i="5"/>
  <c r="E37" i="5" s="1"/>
  <c r="L36" i="5" l="1"/>
  <c r="M36" i="5" s="1"/>
  <c r="J37" i="5"/>
  <c r="K37" i="5"/>
  <c r="F37" i="5"/>
  <c r="E38" i="5" s="1"/>
  <c r="L37" i="5" l="1"/>
  <c r="M37" i="5" s="1"/>
  <c r="J38" i="5" l="1"/>
  <c r="K38" i="5"/>
  <c r="F38" i="5"/>
  <c r="E39" i="5" s="1"/>
  <c r="L38" i="5" l="1"/>
  <c r="M38" i="5" s="1"/>
  <c r="K39" i="5" l="1"/>
  <c r="J39" i="5"/>
  <c r="F39" i="5"/>
  <c r="E40" i="5" s="1"/>
  <c r="L39" i="5" l="1"/>
  <c r="M39" i="5" s="1"/>
  <c r="K40" i="5" l="1"/>
  <c r="J40" i="5"/>
  <c r="F40" i="5"/>
  <c r="E41" i="5" s="1"/>
  <c r="L40" i="5" l="1"/>
  <c r="M40" i="5" s="1"/>
  <c r="K41" i="5" l="1"/>
  <c r="J41" i="5"/>
  <c r="F41" i="5"/>
  <c r="E42" i="5" s="1"/>
  <c r="L41" i="5" l="1"/>
  <c r="M41" i="5" s="1"/>
  <c r="J42" i="5" l="1"/>
  <c r="K42" i="5"/>
  <c r="F42" i="5"/>
  <c r="E43" i="5" s="1"/>
  <c r="L42" i="5" l="1"/>
  <c r="M42" i="5" s="1"/>
  <c r="K43" i="5" l="1"/>
  <c r="J43" i="5"/>
  <c r="F43" i="5"/>
  <c r="E44" i="5" s="1"/>
  <c r="L43" i="5" l="1"/>
  <c r="M43" i="5" s="1"/>
  <c r="H23" i="1" l="1"/>
  <c r="J44" i="5"/>
  <c r="K44" i="5"/>
  <c r="F44" i="5"/>
  <c r="H24" i="1" s="1"/>
  <c r="L44" i="5" l="1"/>
  <c r="M44" i="5" s="1"/>
  <c r="M46" i="5" l="1"/>
  <c r="N44" i="5"/>
  <c r="O46" i="5" l="1"/>
  <c r="O47" i="5" s="1"/>
  <c r="N70" i="1"/>
  <c r="I45" i="6" l="1"/>
  <c r="G44" i="6" l="1"/>
  <c r="J45" i="6"/>
  <c r="J44" i="6"/>
  <c r="K44" i="6" s="1"/>
  <c r="O44" i="6" s="1"/>
  <c r="I44" i="6"/>
  <c r="N45" i="6" s="1"/>
  <c r="G45" i="6"/>
  <c r="H25" i="1"/>
  <c r="H27" i="1" l="1"/>
  <c r="K45" i="6"/>
  <c r="O45" i="6"/>
  <c r="L44" i="6"/>
  <c r="H28" i="1" l="1"/>
  <c r="L45" i="6"/>
  <c r="M45" i="6" s="1"/>
  <c r="P45" i="6"/>
  <c r="O47" i="6"/>
  <c r="Q47" i="6" l="1"/>
  <c r="Q48" i="6" s="1"/>
  <c r="N73" i="1"/>
</calcChain>
</file>

<file path=xl/comments1.xml><?xml version="1.0" encoding="utf-8"?>
<comments xmlns="http://schemas.openxmlformats.org/spreadsheetml/2006/main">
  <authors>
    <author>Erika Lew</author>
  </authors>
  <commentList>
    <comment ref="C2" authorId="0">
      <text>
        <r>
          <rPr>
            <b/>
            <sz val="9"/>
            <color indexed="81"/>
            <rFont val="Tahoma"/>
            <family val="2"/>
          </rPr>
          <t>Erika Lew:</t>
        </r>
        <r>
          <rPr>
            <sz val="9"/>
            <color indexed="81"/>
            <rFont val="Tahoma"/>
            <family val="2"/>
          </rPr>
          <t xml:space="preserve">
Growth occurs at a linear rate to target end-state total.</t>
        </r>
      </text>
    </comment>
    <comment ref="D2" authorId="0">
      <text>
        <r>
          <rPr>
            <b/>
            <sz val="9"/>
            <color indexed="81"/>
            <rFont val="Tahoma"/>
            <family val="2"/>
          </rPr>
          <t>Erika Lew:</t>
        </r>
        <r>
          <rPr>
            <sz val="9"/>
            <color indexed="81"/>
            <rFont val="Tahoma"/>
            <family val="2"/>
          </rPr>
          <t xml:space="preserve">
Building population in each year.</t>
        </r>
      </text>
    </comment>
    <comment ref="G2" authorId="0">
      <text>
        <r>
          <rPr>
            <b/>
            <sz val="9"/>
            <color indexed="81"/>
            <rFont val="Tahoma"/>
            <family val="2"/>
          </rPr>
          <t>Erika Lew:</t>
        </r>
        <r>
          <rPr>
            <sz val="9"/>
            <color indexed="81"/>
            <rFont val="Tahoma"/>
            <family val="2"/>
          </rPr>
          <t xml:space="preserve">
Reductions ramp linearly between target reduction inputs at selected years (2020, 2035, 2050).
</t>
        </r>
      </text>
    </comment>
    <comment ref="H2" authorId="0">
      <text>
        <r>
          <rPr>
            <b/>
            <sz val="9"/>
            <color indexed="81"/>
            <rFont val="Tahoma"/>
            <family val="2"/>
          </rPr>
          <t>Erika Lew:</t>
        </r>
        <r>
          <rPr>
            <sz val="9"/>
            <color indexed="81"/>
            <rFont val="Tahoma"/>
            <family val="2"/>
          </rPr>
          <t xml:space="preserve">
"Vintage total" energy use = energy used by buildings built in a single year. For buildings not retrofitted or replaced, energy performace characteristics are assumed not to change, so this total persists in all years going forward. (So, buildings built in 2018 will retain their 2018 energy use characteristics until 2050).
</t>
        </r>
      </text>
    </comment>
    <comment ref="I2" authorId="0">
      <text>
        <r>
          <rPr>
            <b/>
            <sz val="9"/>
            <color indexed="81"/>
            <rFont val="Tahoma"/>
            <family val="2"/>
          </rPr>
          <t>Erika Lew:</t>
        </r>
        <r>
          <rPr>
            <sz val="9"/>
            <color indexed="81"/>
            <rFont val="Tahoma"/>
            <family val="2"/>
          </rPr>
          <t xml:space="preserve">
Reductions ramp linearly between target reduction inputs at selected years (2020, 2035, 2050).
</t>
        </r>
      </text>
    </comment>
    <comment ref="J2" authorId="0">
      <text>
        <r>
          <rPr>
            <b/>
            <sz val="9"/>
            <color indexed="81"/>
            <rFont val="Tahoma"/>
            <family val="2"/>
          </rPr>
          <t>Erika Lew:</t>
        </r>
        <r>
          <rPr>
            <sz val="9"/>
            <color indexed="81"/>
            <rFont val="Tahoma"/>
            <family val="2"/>
          </rPr>
          <t xml:space="preserve">
This is an estimate of how much energy the to-be-retrofitted growth units use prior to their retrofits. It's assumed that what gets retrofitted is a cross-section of existing "new" buildings.</t>
        </r>
      </text>
    </comment>
    <comment ref="M2" authorId="0">
      <text>
        <r>
          <rPr>
            <b/>
            <sz val="9"/>
            <color indexed="81"/>
            <rFont val="Tahoma"/>
            <family val="2"/>
          </rPr>
          <t>Erika Lew:</t>
        </r>
        <r>
          <rPr>
            <sz val="9"/>
            <color indexed="81"/>
            <rFont val="Tahoma"/>
            <family val="2"/>
          </rPr>
          <t xml:space="preserve">
Total energy use of all buildings, calculated as the sum of all vintage totals from the base year to the current year.</t>
        </r>
      </text>
    </comment>
    <comment ref="N2" authorId="0">
      <text>
        <r>
          <rPr>
            <b/>
            <sz val="9"/>
            <color indexed="81"/>
            <rFont val="Tahoma"/>
            <family val="2"/>
          </rPr>
          <t>Erika Lew:</t>
        </r>
        <r>
          <rPr>
            <sz val="9"/>
            <color indexed="81"/>
            <rFont val="Tahoma"/>
            <family val="2"/>
          </rPr>
          <t xml:space="preserve">
"Effective end-year reduction" is calculated as the percentage difference between total end-year annual energy use (which results from the previous calcs to apply energy use reductions) and the total end-year amount of energy that would be used with no reductions at all.
This reduction is applied to the number of residential units (or amount of commercial floorspace) in the relevant segment of the building population in the end year. This type of factor is used for NEW and REPLACEMENT building population segments.</t>
        </r>
      </text>
    </comment>
    <comment ref="B3" authorId="0">
      <text>
        <r>
          <rPr>
            <b/>
            <sz val="9"/>
            <color indexed="81"/>
            <rFont val="Tahoma"/>
            <family val="2"/>
          </rPr>
          <t>Erika Lew:</t>
        </r>
        <r>
          <rPr>
            <sz val="9"/>
            <color indexed="81"/>
            <rFont val="Tahoma"/>
            <family val="2"/>
          </rPr>
          <t xml:space="preserve">
Average annual growth rate derived from end-state total (new+existing) and base-year (existing) units.
Currently this uses a single rate for the entire time span, but we might want to build in the ability to use varying growth rates for different time periods (2010-2020, 2020-2035, etc...). These rates would be driven by scenarios or the projections to which they are built.</t>
        </r>
      </text>
    </comment>
    <comment ref="D3" authorId="0">
      <text>
        <r>
          <rPr>
            <b/>
            <sz val="9"/>
            <color indexed="81"/>
            <rFont val="Tahoma"/>
            <family val="2"/>
          </rPr>
          <t>Erika Lew:</t>
        </r>
        <r>
          <rPr>
            <sz val="9"/>
            <color indexed="81"/>
            <rFont val="Tahoma"/>
            <family val="2"/>
          </rPr>
          <t xml:space="preserve">
A scenario output from UF. Includes units built through redevelopment (which are subtracted from the existing buildings population).</t>
        </r>
      </text>
    </comment>
    <comment ref="H3" authorId="0">
      <text>
        <r>
          <rPr>
            <b/>
            <sz val="9"/>
            <color indexed="81"/>
            <rFont val="Tahoma"/>
            <family val="2"/>
          </rPr>
          <t>Erika Lew:</t>
        </r>
        <r>
          <rPr>
            <sz val="9"/>
            <color indexed="81"/>
            <rFont val="Tahoma"/>
            <family val="2"/>
          </rPr>
          <t xml:space="preserve">
Baseline by residential unit type or commercial floorspace type. This is just a placeholder.</t>
        </r>
      </text>
    </comment>
    <comment ref="B14" authorId="0">
      <text>
        <r>
          <rPr>
            <b/>
            <sz val="9"/>
            <color indexed="81"/>
            <rFont val="Tahoma"/>
            <family val="2"/>
          </rPr>
          <t>Erika Lew:</t>
        </r>
        <r>
          <rPr>
            <sz val="9"/>
            <color indexed="81"/>
            <rFont val="Tahoma"/>
            <family val="2"/>
          </rPr>
          <t xml:space="preserve">
Average annual growth rate for a time period (e.g., 2010-2020) would be derived from unit totals at the beginning and end years. Here, these rates are set to the 2010-2050 average rate.</t>
        </r>
      </text>
    </comment>
  </commentList>
</comments>
</file>

<file path=xl/comments2.xml><?xml version="1.0" encoding="utf-8"?>
<comments xmlns="http://schemas.openxmlformats.org/spreadsheetml/2006/main">
  <authors>
    <author>Erika Lew</author>
  </authors>
  <commentList>
    <comment ref="C2" authorId="0">
      <text>
        <r>
          <rPr>
            <b/>
            <sz val="9"/>
            <color indexed="81"/>
            <rFont val="Tahoma"/>
            <charset val="1"/>
          </rPr>
          <t>Erika Lew:</t>
        </r>
        <r>
          <rPr>
            <sz val="9"/>
            <color indexed="81"/>
            <rFont val="Tahoma"/>
            <charset val="1"/>
          </rPr>
          <t xml:space="preserve">
These amounts reflect the application of redevelopment and replacement assumptions. Each year, a certain number of units is assumed to be redeveloped (removed from the existing building pop). After those units are removed from the previous year's total # of units (or amount of floorspace), a percentage of the units that remain in each year is taken away through replacement, as specified by the replacement rate.</t>
        </r>
      </text>
    </comment>
    <comment ref="D2" authorId="0">
      <text>
        <r>
          <rPr>
            <b/>
            <sz val="9"/>
            <color indexed="81"/>
            <rFont val="Tahoma"/>
            <family val="2"/>
          </rPr>
          <t>Erika Lew:</t>
        </r>
        <r>
          <rPr>
            <sz val="9"/>
            <color indexed="81"/>
            <rFont val="Tahoma"/>
            <family val="2"/>
          </rPr>
          <t xml:space="preserve">
Reductions ramp linearly between target reduction inputs at selected years (2020, 2035, 2050).
</t>
        </r>
      </text>
    </comment>
    <comment ref="E2" authorId="0">
      <text>
        <r>
          <rPr>
            <b/>
            <sz val="9"/>
            <color indexed="81"/>
            <rFont val="Tahoma"/>
            <family val="2"/>
          </rPr>
          <t>Erika Lew:</t>
        </r>
        <r>
          <rPr>
            <sz val="9"/>
            <color indexed="81"/>
            <rFont val="Tahoma"/>
            <family val="2"/>
          </rPr>
          <t xml:space="preserve">
"Vintage total" energy use = energy used by buildings built in a single year. For buildings not retrofitted or replaced, energy performace characteristics are assumed not to change, so this total persists in all years going forward. (So, buildings built or retrofitted in 2018 will retain their 2018 energy use characteristics until 2050).
</t>
        </r>
      </text>
    </comment>
    <comment ref="H2" authorId="0">
      <text>
        <r>
          <rPr>
            <b/>
            <sz val="9"/>
            <color indexed="81"/>
            <rFont val="Tahoma"/>
            <family val="2"/>
          </rPr>
          <t>Erika Lew:</t>
        </r>
        <r>
          <rPr>
            <sz val="9"/>
            <color indexed="81"/>
            <rFont val="Tahoma"/>
            <family val="2"/>
          </rPr>
          <t xml:space="preserve">
Reductions ramp linearly between target reduction inputs at selected years (2020, 2035, 2050).
</t>
        </r>
      </text>
    </comment>
    <comment ref="M2" authorId="0">
      <text>
        <r>
          <rPr>
            <b/>
            <sz val="9"/>
            <color indexed="81"/>
            <rFont val="Tahoma"/>
            <family val="2"/>
          </rPr>
          <t>Erika Lew:</t>
        </r>
        <r>
          <rPr>
            <sz val="9"/>
            <color indexed="81"/>
            <rFont val="Tahoma"/>
            <family val="2"/>
          </rPr>
          <t xml:space="preserve">
"Effective end-year reduction" is calculated as the percentage difference between total end-year annual energy use (which results from the previous calcs to apply energy use reductions) and the total end-year amount of energy that would be used with no reductions at all.
This reduction is applied to the number of residential units (or amount of commercial floorspace) in the relevant segment of the building population in the end year. This type of factor is used for NEW and REPLACEMENT building population segments.</t>
        </r>
      </text>
    </comment>
    <comment ref="N2" authorId="0">
      <text>
        <r>
          <rPr>
            <b/>
            <sz val="9"/>
            <color indexed="81"/>
            <rFont val="Tahoma"/>
            <family val="2"/>
          </rPr>
          <t>Erika Lew:</t>
        </r>
        <r>
          <rPr>
            <sz val="9"/>
            <color indexed="81"/>
            <rFont val="Tahoma"/>
            <family val="2"/>
          </rPr>
          <t xml:space="preserve">
"Effective end-year reduction" is calculated as the percentage difference between total end-year annual energy use (which results from the previous calcs to apply energy use reductions) and the total end-year amount of energy that would be used with no reductions at all.
This reduction is applied to the number of residential units (or amount of commercial floorspace) in the relevant segment of the building population in the end year. This type of factor is used for NEW and REPLACEMENT building population segments.</t>
        </r>
      </text>
    </comment>
    <comment ref="O2" authorId="0">
      <text>
        <r>
          <rPr>
            <b/>
            <sz val="9"/>
            <color indexed="81"/>
            <rFont val="Tahoma"/>
            <family val="2"/>
          </rPr>
          <t>Erika Lew:</t>
        </r>
        <r>
          <rPr>
            <sz val="9"/>
            <color indexed="81"/>
            <rFont val="Tahoma"/>
            <family val="2"/>
          </rPr>
          <t xml:space="preserve">
These annual totals can be added together to yield cumulative results (e.g., total energy use from 2010 to 2050)</t>
        </r>
      </text>
    </comment>
    <comment ref="P2" authorId="0">
      <text>
        <r>
          <rPr>
            <b/>
            <sz val="9"/>
            <color indexed="81"/>
            <rFont val="Tahoma"/>
            <family val="2"/>
          </rPr>
          <t>Erika Lew:</t>
        </r>
        <r>
          <rPr>
            <sz val="9"/>
            <color indexed="81"/>
            <rFont val="Tahoma"/>
            <family val="2"/>
          </rPr>
          <t xml:space="preserve">
"Effective end-year reduction" is calculated as the percentage difference between total end-year annual energy use (which results from the previous calcs to apply energy use reductions) and the total end-year amount of energy that would be used with no reductions at all.
This reduction is applied to the number of residential units (or amount of commercial floorspace) in the relevant segment of the building population in the end year. This type of factor is used for NEW and REPLACEMENT building population segments.</t>
        </r>
      </text>
    </comment>
    <comment ref="B4" authorId="0">
      <text>
        <r>
          <rPr>
            <b/>
            <sz val="9"/>
            <color indexed="81"/>
            <rFont val="Tahoma"/>
            <charset val="1"/>
          </rPr>
          <t>Erika Lew:</t>
        </r>
        <r>
          <rPr>
            <sz val="9"/>
            <color indexed="81"/>
            <rFont val="Tahoma"/>
            <charset val="1"/>
          </rPr>
          <t xml:space="preserve">
The replacement threshold is expressed as the percentage below which replacement should not occur.  So, a 20% threshold means that replaced buildings cannot comprise more than 20% of base-year existing building population. At a minimum, the threshold must be higher than the percentage of existing development that will be lost through redevelopment. If it is not, then re-replacement would occur.
There might be a better way of structuring this logic.</t>
        </r>
      </text>
    </comment>
    <comment ref="C4" authorId="0">
      <text>
        <r>
          <rPr>
            <b/>
            <sz val="9"/>
            <color indexed="81"/>
            <rFont val="Tahoma"/>
            <charset val="1"/>
          </rPr>
          <t>Erika Lew:</t>
        </r>
        <r>
          <rPr>
            <sz val="9"/>
            <color indexed="81"/>
            <rFont val="Tahoma"/>
            <charset val="1"/>
          </rPr>
          <t xml:space="preserve">
# of units that are redeveloped by the end year is an output of UF scenarios. Here, redevelopment is distributed equally among years from the base-year to the end year.  (e.g., 40,000 units redeveloped to 2050 means that 1,000 units get redeveloped each year.)</t>
        </r>
      </text>
    </comment>
  </commentList>
</comments>
</file>

<file path=xl/sharedStrings.xml><?xml version="1.0" encoding="utf-8"?>
<sst xmlns="http://schemas.openxmlformats.org/spreadsheetml/2006/main" count="148" uniqueCount="95">
  <si>
    <t>SFLL</t>
  </si>
  <si>
    <t>SFSL</t>
  </si>
  <si>
    <t>TH</t>
  </si>
  <si>
    <t>MF</t>
  </si>
  <si>
    <t>Persisting from base</t>
  </si>
  <si>
    <t>New and unchanged</t>
  </si>
  <si>
    <t>New and subsequently retrofitted</t>
  </si>
  <si>
    <t>Existing and replaced</t>
  </si>
  <si>
    <t>Existing and retrofitted</t>
  </si>
  <si>
    <t>Existing and unchanged</t>
  </si>
  <si>
    <t>Percent of base/existing retrofitted each year</t>
  </si>
  <si>
    <t>Percent of new buildings subsequently retrofitted each year</t>
  </si>
  <si>
    <t>Total</t>
  </si>
  <si>
    <t>New on greenfield or via redevelopment</t>
  </si>
  <si>
    <t>(Lost existing via redevelopment)</t>
  </si>
  <si>
    <t>Average</t>
  </si>
  <si>
    <t>TOTAL</t>
  </si>
  <si>
    <r>
      <t xml:space="preserve">Formula to get effective end-state rate = 1 - ((1 - </t>
    </r>
    <r>
      <rPr>
        <i/>
        <sz val="11"/>
        <color theme="1"/>
        <rFont val="Calibri"/>
        <family val="2"/>
        <scheme val="minor"/>
      </rPr>
      <t>annual rate of change</t>
    </r>
    <r>
      <rPr>
        <sz val="11"/>
        <color theme="1"/>
        <rFont val="Calibri"/>
        <family val="2"/>
        <scheme val="minor"/>
      </rPr>
      <t>)^</t>
    </r>
    <r>
      <rPr>
        <i/>
        <sz val="11"/>
        <color theme="1"/>
        <rFont val="Calibri"/>
        <family val="2"/>
        <scheme val="minor"/>
      </rPr>
      <t>number of years to end state</t>
    </r>
    <r>
      <rPr>
        <sz val="11"/>
        <color theme="1"/>
        <rFont val="Calibri"/>
        <family val="2"/>
        <scheme val="minor"/>
      </rPr>
      <t>)</t>
    </r>
  </si>
  <si>
    <t>Efficiency rates</t>
  </si>
  <si>
    <t xml:space="preserve">New/Redeveloped/Replaced Residential Construction Efficiency </t>
  </si>
  <si>
    <t>Residential Retrofit Efficiency</t>
  </si>
  <si>
    <t>BAU</t>
  </si>
  <si>
    <t>ADOPTED</t>
  </si>
  <si>
    <t>ASPIRATIONAL</t>
  </si>
  <si>
    <t>Electricity</t>
  </si>
  <si>
    <t>Natural Gas</t>
  </si>
  <si>
    <t>Townhome</t>
  </si>
  <si>
    <t>Multifamily</t>
  </si>
  <si>
    <t>INPUT RATES</t>
  </si>
  <si>
    <t>EFFECTIVE END-YEAR RATES</t>
  </si>
  <si>
    <t>Base year:</t>
  </si>
  <si>
    <t>End year:</t>
  </si>
  <si>
    <t>End-year units by type and building population category</t>
  </si>
  <si>
    <t>Year</t>
  </si>
  <si>
    <t>Target reduction for NEW/UNCHANGED buildings</t>
  </si>
  <si>
    <t>Vintage total annual energy use for NEW/RETROFITS</t>
  </si>
  <si>
    <t>Vintage total annual energy use, not counting retrofits</t>
  </si>
  <si>
    <t>Effective end-year reduction for new buildings - including retrofits and unchanged buildings.</t>
  </si>
  <si>
    <t>Target reduction for NEW/RETROFIT buildings (reduction from baseline)</t>
  </si>
  <si>
    <t>Vintage total annual energy use for NEW/UNCHANGED + NEW/RETROFIT</t>
  </si>
  <si>
    <t>NEW RETROFIT POPULATION</t>
  </si>
  <si>
    <t>NEW/UNCHANGED POPULATION (minus new/retrofits)</t>
  </si>
  <si>
    <t>NEW CONSTRUCTION EFFICIENCY (including new retrofits and new unchanged)</t>
  </si>
  <si>
    <t>Total annual energy use for NEW/UNCHANGED + NEW/RETROFIT</t>
  </si>
  <si>
    <t>EXISTING BUILDING EFFICIENCY (including retrofits and unchanged)</t>
  </si>
  <si>
    <t>Vintage total annual energy use for REPLACEMENT buildings</t>
  </si>
  <si>
    <t>Target reduction for EXISTING/RETROFIT buildings (reduction from baseline)</t>
  </si>
  <si>
    <t>EXISTING/ RETROFIT population in each year</t>
  </si>
  <si>
    <t>Vintage total annual energy use for EXISTING/RETROFITS</t>
  </si>
  <si>
    <t>Annual energy use for EXISTING/UNCHANGED buildings</t>
  </si>
  <si>
    <t>Total annual energy use for EXISTING/UNCHANGED and EXISTING/RETROFIT buildings</t>
  </si>
  <si>
    <t>Effective end-year reduction for existing buildings - including retrofits and unchanged buildings.</t>
  </si>
  <si>
    <t>Effective end-year reduction for EXISTING/RETROFIT buildings</t>
  </si>
  <si>
    <t>Total EXISTING/RETROFIT POPULATION</t>
  </si>
  <si>
    <t># Remaining EXISTING/UNCHANGED buildings</t>
  </si>
  <si>
    <t>Total annual energy units for all existing/replaced, existing/retrofit, and existing/unchanged units.</t>
  </si>
  <si>
    <t># of existing buildings - minus redev and replaced</t>
  </si>
  <si>
    <t>Effective end-year reduction for existing buildings - including replacements, retrofits, and unchanged buildings.</t>
  </si>
  <si>
    <t>Applying this effective end-year reduction to the number of existing units that persist to the end year (not including buildings lost through redevelopment, but including retrofits, replacement, and unchanged) results in the total annual energy use for that population in the end year.</t>
  </si>
  <si>
    <t>Test:</t>
  </si>
  <si>
    <t>Applying this effective end-year reduction to the number of new units results in the total annual energy use for that population in the end year.</t>
  </si>
  <si>
    <t>New/Redeveloped/Replaced Residential Construction Efficiency  (reduction from baseline)</t>
  </si>
  <si>
    <t>Residential Retrofit Efficiency for Existing Buildings
(reduction from baseline)</t>
  </si>
  <si>
    <t>Residential Retrofit Efficiency for New Buildings
(reduction from baseline)</t>
  </si>
  <si>
    <t>This factor could potentially be used to express changes in energy demand due to the installation of on-site or other renewable energy sources.</t>
  </si>
  <si>
    <t>OR, to reflect on-sire renewables use we could build in another factor that is expressed as an absolute demand reduction (as opposed to a percentage). The # would be tuned to unit type.</t>
  </si>
  <si>
    <t>Cumulative total:</t>
  </si>
  <si>
    <t># of new buildings of a single type built in each year - including new units built through redevelopment</t>
  </si>
  <si>
    <t>Resulting total new building population</t>
  </si>
  <si>
    <t>URBANFOOTPRINT BUILDING ENERGY MODULE</t>
  </si>
  <si>
    <t>Percent of base/existing replaced or majorly renovated each year (to new construction standards)</t>
  </si>
  <si>
    <t>LIVE INPUTS</t>
  </si>
  <si>
    <t>New Buildings (including new/unchanged and new/retrofitted)</t>
  </si>
  <si>
    <t>Existing buildings: (including existing/replaced,  existing/retrofitted, and existing/unchanged)</t>
  </si>
  <si>
    <t>RATES RESULTING FROM LIVE INPUTS</t>
  </si>
  <si>
    <t>Base-year units by type, 2050</t>
  </si>
  <si>
    <t>End-year units by type, 2050</t>
  </si>
  <si>
    <t>Total end-year units, 2050</t>
  </si>
  <si>
    <t>EXISTING/REPLACED population in each year (replacement applied after subtraction of redeveloped units)</t>
  </si>
  <si>
    <t>LIVE INPUTS (single set only for demonstration)</t>
  </si>
  <si>
    <t>New growth rate</t>
  </si>
  <si>
    <t>LIVE RESULTS</t>
  </si>
  <si>
    <t>Target reduction for REPLACEMENT buildings (same as for new construction)</t>
  </si>
  <si>
    <t>Energy use of retrofit units prior to retrofits (to be subtracted)</t>
  </si>
  <si>
    <r>
      <t xml:space="preserve">Title 24 Climate Zone </t>
    </r>
    <r>
      <rPr>
        <b/>
        <i/>
        <sz val="11"/>
        <color theme="1"/>
        <rFont val="Calibri"/>
        <family val="2"/>
        <scheme val="minor"/>
      </rPr>
      <t>x</t>
    </r>
  </si>
  <si>
    <t>SCENARIO TOTALS</t>
  </si>
  <si>
    <t>RETROFIT and REPLACEMENT/RENOVATION RATES</t>
  </si>
  <si>
    <t>Apt/Condo</t>
  </si>
  <si>
    <t>Townhouse</t>
  </si>
  <si>
    <t>Title 24 Climate Zone</t>
  </si>
  <si>
    <t>Residential Gas Use: Therms / Dwelling Unit</t>
  </si>
  <si>
    <t>Residential Electricity Use: KWH / Dwelling Unit</t>
  </si>
  <si>
    <t>Single Family Large Lot
(RASS 2000+ sf)</t>
  </si>
  <si>
    <t>Single Family Small Lot
(RASS under 2000 sf)</t>
  </si>
  <si>
    <t>RASS Baseline Energy Use Factors</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</si>
</sst>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3" formatCode="_(* #,##0.00_);_(* \(#,##0.00\);_(* &quot;-&quot;??_);_(@_)"/>
    <numFmt numFmtId="164" formatCode="0.0%"/>
    <numFmt numFmtId="165" formatCode="_(* #,##0_);_(* \(#,##0\);_(* &quot;-&quot;??_);_(@_)"/>
    <numFmt numFmtId="166" formatCode="0.00000%"/>
    <numFmt numFmtId="167" formatCode="#,##0\ &quot;du&quot;"/>
    <numFmt numFmtId="168" formatCode="#,##0\ &quot;kWh&quot;"/>
    <numFmt numFmtId="169" formatCode="&quot;rate: &quot;0.0%"/>
    <numFmt numFmtId="170" formatCode="&quot;baseline:&quot;\ #,##0\ &quot;kWh&quot;"/>
    <numFmt numFmtId="171" formatCode="&quot;rate: &quot;0.00%"/>
    <numFmt numFmtId="172" formatCode="&quot;redev:&quot;\ #,##0"/>
    <numFmt numFmtId="173" formatCode="&quot;base:&quot;\ #,##0"/>
    <numFmt numFmtId="174" formatCode="&quot;Repl rate: &quot;0.0%"/>
    <numFmt numFmtId="175" formatCode="&quot;Repl threshold:&quot;\ 0%"/>
  </numFmts>
  <fonts count="35"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
      <b/>
      <sz val="10"/>
      <color theme="1"/>
      <name val="Calibri"/>
      <family val="2"/>
      <scheme val="minor"/>
    </font>
    <font>
      <i/>
      <sz val="11"/>
      <color theme="1"/>
      <name val="Calibri"/>
      <family val="2"/>
      <scheme val="minor"/>
    </font>
    <font>
      <sz val="10"/>
      <color theme="1"/>
      <name val="Calibri"/>
      <family val="2"/>
      <scheme val="minor"/>
    </font>
    <font>
      <i/>
      <sz val="10"/>
      <color theme="1"/>
      <name val="Calibri"/>
      <family val="2"/>
      <scheme val="minor"/>
    </font>
    <font>
      <sz val="10"/>
      <color rgb="FF000000"/>
      <name val="Calibri"/>
      <family val="2"/>
      <scheme val="minor"/>
    </font>
    <font>
      <sz val="9"/>
      <color theme="1"/>
      <name val="Calibri"/>
      <family val="2"/>
      <scheme val="minor"/>
    </font>
    <font>
      <sz val="9"/>
      <color indexed="81"/>
      <name val="Tahoma"/>
      <family val="2"/>
    </font>
    <font>
      <b/>
      <sz val="9"/>
      <color indexed="81"/>
      <name val="Tahoma"/>
      <family val="2"/>
    </font>
    <font>
      <sz val="10"/>
      <name val="Calibri"/>
      <family val="2"/>
      <scheme val="minor"/>
    </font>
    <font>
      <sz val="10"/>
      <color theme="0" tint="-0.499984740745262"/>
      <name val="Calibri"/>
      <family val="2"/>
      <scheme val="minor"/>
    </font>
    <font>
      <sz val="11"/>
      <color theme="0" tint="-0.499984740745262"/>
      <name val="Calibri"/>
      <family val="2"/>
      <scheme val="minor"/>
    </font>
    <font>
      <sz val="11"/>
      <name val="Calibri"/>
      <family val="2"/>
      <scheme val="minor"/>
    </font>
    <font>
      <sz val="10"/>
      <color theme="5"/>
      <name val="Calibri"/>
      <family val="2"/>
      <scheme val="minor"/>
    </font>
    <font>
      <sz val="11"/>
      <color theme="5"/>
      <name val="Calibri"/>
      <family val="2"/>
      <scheme val="minor"/>
    </font>
    <font>
      <b/>
      <sz val="10"/>
      <color theme="5"/>
      <name val="Calibri"/>
      <family val="2"/>
      <scheme val="minor"/>
    </font>
    <font>
      <sz val="9"/>
      <color indexed="81"/>
      <name val="Tahoma"/>
      <charset val="1"/>
    </font>
    <font>
      <b/>
      <sz val="9"/>
      <color indexed="81"/>
      <name val="Tahoma"/>
      <charset val="1"/>
    </font>
    <font>
      <i/>
      <sz val="10"/>
      <color theme="6" tint="-0.249977111117893"/>
      <name val="Calibri"/>
      <family val="2"/>
      <scheme val="minor"/>
    </font>
    <font>
      <b/>
      <sz val="14"/>
      <color theme="0"/>
      <name val="Calibri"/>
      <family val="2"/>
      <scheme val="minor"/>
    </font>
    <font>
      <b/>
      <i/>
      <sz val="11"/>
      <color theme="0" tint="-0.499984740745262"/>
      <name val="Calibri"/>
      <family val="2"/>
      <scheme val="minor"/>
    </font>
    <font>
      <i/>
      <sz val="10"/>
      <color theme="0" tint="-0.499984740745262"/>
      <name val="Calibri"/>
      <family val="2"/>
      <scheme val="minor"/>
    </font>
    <font>
      <sz val="10"/>
      <color theme="1" tint="0.14999847407452621"/>
      <name val="Calibri"/>
      <family val="2"/>
      <scheme val="minor"/>
    </font>
    <font>
      <sz val="10.5"/>
      <color theme="1"/>
      <name val="Calibri"/>
      <family val="2"/>
      <scheme val="minor"/>
    </font>
    <font>
      <b/>
      <sz val="10"/>
      <name val="Calibri"/>
      <family val="2"/>
      <scheme val="minor"/>
    </font>
    <font>
      <sz val="10"/>
      <color theme="1"/>
      <name val="Calibri"/>
      <family val="2"/>
    </font>
    <font>
      <b/>
      <sz val="10"/>
      <name val="Calibri"/>
      <family val="2"/>
    </font>
    <font>
      <b/>
      <sz val="11"/>
      <color indexed="8"/>
      <name val="Calibri"/>
      <family val="2"/>
    </font>
    <font>
      <b/>
      <sz val="14"/>
      <color theme="1"/>
      <name val="Calibri"/>
      <family val="2"/>
      <scheme val="minor"/>
    </font>
    <font>
      <i/>
      <sz val="11"/>
      <color theme="8" tint="-0.249977111117893"/>
      <name val="Calibri"/>
      <family val="2"/>
      <scheme val="minor"/>
    </font>
    <font>
      <i/>
      <sz val="10"/>
      <color theme="8" tint="-0.249977111117893"/>
      <name val="Calibri"/>
      <family val="2"/>
      <scheme val="minor"/>
    </font>
  </fonts>
  <fills count="13">
    <fill>
      <patternFill patternType="none"/>
    </fill>
    <fill>
      <patternFill patternType="gray125"/>
    </fill>
    <fill>
      <patternFill patternType="solid">
        <fgColor theme="1"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2"/>
        <bgColor indexed="64"/>
      </patternFill>
    </fill>
    <fill>
      <patternFill patternType="solid">
        <fgColor rgb="FFCCCC00"/>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theme="9"/>
        <bgColor indexed="64"/>
      </patternFill>
    </fill>
    <fill>
      <patternFill patternType="solid">
        <fgColor theme="9" tint="0.79998168889431442"/>
        <bgColor indexed="64"/>
      </patternFill>
    </fill>
  </fills>
  <borders count="16">
    <border>
      <left/>
      <right/>
      <top/>
      <bottom/>
      <diagonal/>
    </border>
    <border>
      <left/>
      <right/>
      <top/>
      <bottom style="thin">
        <color theme="1" tint="0.499984740745262"/>
      </bottom>
      <diagonal/>
    </border>
    <border>
      <left/>
      <right/>
      <top style="thin">
        <color theme="1" tint="0.499984740745262"/>
      </top>
      <bottom/>
      <diagonal/>
    </border>
    <border>
      <left/>
      <right/>
      <top style="thin">
        <color theme="1" tint="0.499984740745262"/>
      </top>
      <bottom style="thin">
        <color theme="1" tint="0.499984740745262"/>
      </bottom>
      <diagonal/>
    </border>
    <border>
      <left style="thin">
        <color theme="1" tint="0.499984740745262"/>
      </left>
      <right/>
      <top/>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bottom style="thin">
        <color theme="1" tint="0.499984740745262"/>
      </bottom>
      <diagonal/>
    </border>
    <border>
      <left/>
      <right style="thin">
        <color theme="1" tint="0.499984740745262"/>
      </right>
      <top/>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9" fillId="0" borderId="0"/>
    <xf numFmtId="0" fontId="1" fillId="0" borderId="0"/>
  </cellStyleXfs>
  <cellXfs count="195">
    <xf numFmtId="0" fontId="0" fillId="0" borderId="0" xfId="0"/>
    <xf numFmtId="0" fontId="3" fillId="2" borderId="0" xfId="0" applyFont="1" applyFill="1"/>
    <xf numFmtId="0" fontId="0" fillId="0" borderId="0" xfId="0" applyAlignment="1">
      <alignment wrapText="1"/>
    </xf>
    <xf numFmtId="0" fontId="2" fillId="0" borderId="1" xfId="0" applyFont="1" applyBorder="1" applyAlignment="1">
      <alignment wrapText="1"/>
    </xf>
    <xf numFmtId="0" fontId="0" fillId="0" borderId="4" xfId="0" applyBorder="1"/>
    <xf numFmtId="0" fontId="7" fillId="0" borderId="2" xfId="0" applyFont="1" applyBorder="1"/>
    <xf numFmtId="165" fontId="0" fillId="0" borderId="0" xfId="1" applyNumberFormat="1" applyFont="1"/>
    <xf numFmtId="0" fontId="7" fillId="0" borderId="0" xfId="0" applyFont="1" applyAlignment="1">
      <alignment wrapText="1"/>
    </xf>
    <xf numFmtId="165" fontId="0" fillId="0" borderId="0" xfId="0" applyNumberFormat="1"/>
    <xf numFmtId="43" fontId="0" fillId="0" borderId="0" xfId="0" applyNumberFormat="1"/>
    <xf numFmtId="164" fontId="0" fillId="0" borderId="0" xfId="2" applyNumberFormat="1" applyFont="1"/>
    <xf numFmtId="43" fontId="0" fillId="0" borderId="0" xfId="1" applyNumberFormat="1" applyFont="1"/>
    <xf numFmtId="164" fontId="0" fillId="0" borderId="0" xfId="0" applyNumberFormat="1"/>
    <xf numFmtId="166" fontId="0" fillId="0" borderId="0" xfId="2" applyNumberFormat="1" applyFont="1"/>
    <xf numFmtId="0" fontId="0" fillId="0" borderId="0" xfId="0" applyAlignment="1"/>
    <xf numFmtId="0" fontId="2" fillId="0" borderId="0" xfId="0" applyFont="1" applyBorder="1" applyAlignment="1">
      <alignment wrapText="1"/>
    </xf>
    <xf numFmtId="164" fontId="8" fillId="0" borderId="0" xfId="2" applyNumberFormat="1" applyFont="1" applyFill="1" applyBorder="1" applyAlignment="1">
      <alignment horizontal="center" vertical="center"/>
    </xf>
    <xf numFmtId="0" fontId="0" fillId="5" borderId="0" xfId="0" applyFill="1"/>
    <xf numFmtId="0" fontId="10" fillId="0" borderId="5" xfId="0" applyFont="1" applyBorder="1" applyAlignment="1">
      <alignment horizontal="center"/>
    </xf>
    <xf numFmtId="0" fontId="10" fillId="0" borderId="1" xfId="0" applyFont="1" applyBorder="1" applyAlignment="1">
      <alignment horizontal="center"/>
    </xf>
    <xf numFmtId="0" fontId="10" fillId="0" borderId="8" xfId="0" applyFont="1" applyBorder="1" applyAlignment="1">
      <alignment horizontal="center"/>
    </xf>
    <xf numFmtId="0" fontId="7" fillId="0" borderId="2" xfId="0" applyFont="1" applyBorder="1" applyAlignment="1">
      <alignment wrapText="1"/>
    </xf>
    <xf numFmtId="0" fontId="7" fillId="0" borderId="0" xfId="0" applyFont="1" applyBorder="1" applyAlignment="1">
      <alignment wrapText="1"/>
    </xf>
    <xf numFmtId="0" fontId="7" fillId="0" borderId="1" xfId="0" applyFont="1" applyBorder="1" applyAlignment="1">
      <alignment wrapText="1"/>
    </xf>
    <xf numFmtId="9" fontId="7" fillId="3" borderId="6" xfId="2" applyNumberFormat="1" applyFont="1" applyFill="1" applyBorder="1" applyAlignment="1">
      <alignment horizontal="center" vertical="center"/>
    </xf>
    <xf numFmtId="9" fontId="7" fillId="3" borderId="7" xfId="2" applyNumberFormat="1" applyFont="1" applyFill="1" applyBorder="1" applyAlignment="1">
      <alignment horizontal="center" vertical="center"/>
    </xf>
    <xf numFmtId="9" fontId="7" fillId="3" borderId="4" xfId="2" applyNumberFormat="1" applyFont="1" applyFill="1" applyBorder="1" applyAlignment="1">
      <alignment horizontal="center" vertical="center"/>
    </xf>
    <xf numFmtId="9" fontId="7" fillId="3" borderId="9" xfId="2" applyNumberFormat="1" applyFont="1" applyFill="1" applyBorder="1" applyAlignment="1">
      <alignment horizontal="center" vertical="center"/>
    </xf>
    <xf numFmtId="9" fontId="7" fillId="3" borderId="5" xfId="2" applyNumberFormat="1" applyFont="1" applyFill="1" applyBorder="1" applyAlignment="1">
      <alignment horizontal="center" vertical="center"/>
    </xf>
    <xf numFmtId="9" fontId="7" fillId="3" borderId="8" xfId="2" applyNumberFormat="1" applyFont="1" applyFill="1" applyBorder="1" applyAlignment="1">
      <alignment horizontal="center" vertical="center"/>
    </xf>
    <xf numFmtId="9" fontId="0" fillId="0" borderId="0" xfId="2" applyFont="1"/>
    <xf numFmtId="3" fontId="7" fillId="0" borderId="0" xfId="1" applyNumberFormat="1" applyFont="1"/>
    <xf numFmtId="168" fontId="7" fillId="0" borderId="0" xfId="1" applyNumberFormat="1" applyFont="1"/>
    <xf numFmtId="168" fontId="7" fillId="0" borderId="0" xfId="0" applyNumberFormat="1" applyFont="1"/>
    <xf numFmtId="0" fontId="14" fillId="0" borderId="0" xfId="0" applyFont="1" applyAlignment="1">
      <alignment wrapText="1"/>
    </xf>
    <xf numFmtId="0" fontId="15" fillId="0" borderId="0" xfId="0" applyFont="1"/>
    <xf numFmtId="3" fontId="14" fillId="0" borderId="0" xfId="2" applyNumberFormat="1" applyFont="1"/>
    <xf numFmtId="0" fontId="7" fillId="0" borderId="0" xfId="0" applyFont="1"/>
    <xf numFmtId="3" fontId="7" fillId="0" borderId="0" xfId="0" applyNumberFormat="1" applyFont="1"/>
    <xf numFmtId="0" fontId="3" fillId="7" borderId="0" xfId="0" applyFont="1" applyFill="1"/>
    <xf numFmtId="170" fontId="7" fillId="4" borderId="0" xfId="0" applyNumberFormat="1" applyFont="1" applyFill="1"/>
    <xf numFmtId="0" fontId="0" fillId="0" borderId="2" xfId="0" applyBorder="1"/>
    <xf numFmtId="3" fontId="7" fillId="0" borderId="2" xfId="1" applyNumberFormat="1" applyFont="1" applyFill="1" applyBorder="1"/>
    <xf numFmtId="3" fontId="0" fillId="0" borderId="2" xfId="1" applyNumberFormat="1" applyFont="1" applyBorder="1"/>
    <xf numFmtId="43" fontId="0" fillId="0" borderId="2" xfId="1" applyFont="1" applyBorder="1"/>
    <xf numFmtId="3" fontId="7" fillId="0" borderId="3" xfId="1" applyNumberFormat="1" applyFont="1" applyBorder="1"/>
    <xf numFmtId="168" fontId="7" fillId="0" borderId="3" xfId="1" applyNumberFormat="1" applyFont="1" applyBorder="1"/>
    <xf numFmtId="3" fontId="14" fillId="0" borderId="3" xfId="2" applyNumberFormat="1" applyFont="1" applyBorder="1"/>
    <xf numFmtId="168" fontId="7" fillId="0" borderId="3" xfId="0" applyNumberFormat="1" applyFont="1" applyBorder="1"/>
    <xf numFmtId="9" fontId="0" fillId="0" borderId="3" xfId="2" applyFont="1" applyFill="1" applyBorder="1"/>
    <xf numFmtId="164" fontId="0" fillId="7" borderId="3" xfId="2" applyNumberFormat="1" applyFont="1" applyFill="1" applyBorder="1"/>
    <xf numFmtId="0" fontId="2" fillId="0" borderId="3" xfId="0" applyFont="1" applyBorder="1" applyAlignment="1">
      <alignment horizontal="center"/>
    </xf>
    <xf numFmtId="0" fontId="16" fillId="7" borderId="0" xfId="0" applyFont="1" applyFill="1"/>
    <xf numFmtId="0" fontId="13" fillId="0" borderId="0" xfId="0" applyFont="1" applyAlignment="1">
      <alignment wrapText="1"/>
    </xf>
    <xf numFmtId="0" fontId="16" fillId="0" borderId="0" xfId="0" applyFont="1"/>
    <xf numFmtId="3" fontId="13" fillId="0" borderId="3" xfId="2" applyNumberFormat="1" applyFont="1" applyBorder="1"/>
    <xf numFmtId="3" fontId="13" fillId="0" borderId="0" xfId="2" applyNumberFormat="1" applyFont="1"/>
    <xf numFmtId="43" fontId="16" fillId="0" borderId="2" xfId="1" applyFont="1" applyBorder="1"/>
    <xf numFmtId="43" fontId="16" fillId="0" borderId="0" xfId="0" applyNumberFormat="1" applyFont="1"/>
    <xf numFmtId="0" fontId="18" fillId="0" borderId="0" xfId="0" applyFont="1"/>
    <xf numFmtId="9" fontId="17" fillId="0" borderId="3" xfId="2" applyFont="1" applyFill="1" applyBorder="1"/>
    <xf numFmtId="9" fontId="17" fillId="0" borderId="0" xfId="2" applyFont="1"/>
    <xf numFmtId="0" fontId="5" fillId="0" borderId="3" xfId="0" applyFont="1" applyBorder="1"/>
    <xf numFmtId="0" fontId="8" fillId="0" borderId="2" xfId="1" applyNumberFormat="1" applyFont="1" applyBorder="1" applyAlignment="1">
      <alignment horizontal="left"/>
    </xf>
    <xf numFmtId="165" fontId="22" fillId="0" borderId="0" xfId="1" applyNumberFormat="1" applyFont="1"/>
    <xf numFmtId="168" fontId="22" fillId="0" borderId="0" xfId="1" applyNumberFormat="1" applyFont="1" applyFill="1" applyBorder="1"/>
    <xf numFmtId="0" fontId="23" fillId="7" borderId="0" xfId="0" applyFont="1" applyFill="1"/>
    <xf numFmtId="164" fontId="8" fillId="0" borderId="0" xfId="2" applyNumberFormat="1" applyFont="1" applyFill="1" applyBorder="1" applyAlignment="1">
      <alignment horizontal="left" vertical="center"/>
    </xf>
    <xf numFmtId="0" fontId="22" fillId="0" borderId="0" xfId="0" applyFont="1" applyAlignment="1">
      <alignment horizontal="left"/>
    </xf>
    <xf numFmtId="0" fontId="8" fillId="0" borderId="0" xfId="0" applyFont="1"/>
    <xf numFmtId="9" fontId="0" fillId="0" borderId="0" xfId="0" applyNumberFormat="1"/>
    <xf numFmtId="3" fontId="7" fillId="0" borderId="1" xfId="0" applyNumberFormat="1" applyFont="1" applyFill="1" applyBorder="1" applyAlignment="1">
      <alignment vertical="top"/>
    </xf>
    <xf numFmtId="0" fontId="0" fillId="0" borderId="0" xfId="0" applyBorder="1"/>
    <xf numFmtId="168" fontId="5" fillId="0" borderId="3" xfId="0" applyNumberFormat="1" applyFont="1" applyBorder="1"/>
    <xf numFmtId="0" fontId="5" fillId="0" borderId="0" xfId="0" applyFont="1" applyAlignment="1">
      <alignment wrapText="1"/>
    </xf>
    <xf numFmtId="3" fontId="7" fillId="10" borderId="0" xfId="1" applyNumberFormat="1" applyFont="1" applyFill="1" applyBorder="1"/>
    <xf numFmtId="169" fontId="7" fillId="10" borderId="0" xfId="2" applyNumberFormat="1" applyFont="1" applyFill="1"/>
    <xf numFmtId="173" fontId="7" fillId="10" borderId="0" xfId="0" applyNumberFormat="1" applyFont="1" applyFill="1"/>
    <xf numFmtId="172" fontId="7" fillId="10" borderId="0" xfId="0" applyNumberFormat="1" applyFont="1" applyFill="1"/>
    <xf numFmtId="171" fontId="7" fillId="10" borderId="0" xfId="2" applyNumberFormat="1" applyFont="1" applyFill="1"/>
    <xf numFmtId="9" fontId="19" fillId="10" borderId="3" xfId="2" applyFont="1" applyFill="1" applyBorder="1"/>
    <xf numFmtId="3" fontId="0" fillId="0" borderId="0" xfId="0" applyNumberFormat="1"/>
    <xf numFmtId="0" fontId="2" fillId="0" borderId="12" xfId="0" applyFont="1" applyBorder="1" applyAlignment="1">
      <alignment horizontal="center"/>
    </xf>
    <xf numFmtId="3" fontId="7" fillId="0" borderId="14" xfId="0" applyNumberFormat="1" applyFont="1" applyBorder="1"/>
    <xf numFmtId="3" fontId="7" fillId="0" borderId="15" xfId="0" applyNumberFormat="1" applyFont="1" applyFill="1" applyBorder="1" applyAlignment="1">
      <alignment vertical="top"/>
    </xf>
    <xf numFmtId="3" fontId="7" fillId="0" borderId="15" xfId="0" applyNumberFormat="1" applyFont="1" applyBorder="1"/>
    <xf numFmtId="174" fontId="7" fillId="10" borderId="0" xfId="2" applyNumberFormat="1" applyFont="1" applyFill="1"/>
    <xf numFmtId="10" fontId="7" fillId="7" borderId="3" xfId="2" applyNumberFormat="1" applyFont="1" applyFill="1" applyBorder="1"/>
    <xf numFmtId="175" fontId="10" fillId="4" borderId="0" xfId="2" applyNumberFormat="1" applyFont="1" applyFill="1"/>
    <xf numFmtId="9" fontId="0" fillId="0" borderId="2" xfId="2" applyFont="1" applyBorder="1"/>
    <xf numFmtId="9" fontId="0" fillId="0" borderId="0" xfId="2" applyNumberFormat="1" applyFont="1"/>
    <xf numFmtId="9" fontId="5" fillId="9" borderId="14" xfId="2" applyNumberFormat="1" applyFont="1" applyFill="1" applyBorder="1" applyAlignment="1">
      <alignment horizontal="center" vertical="center"/>
    </xf>
    <xf numFmtId="9" fontId="5" fillId="9" borderId="13" xfId="2" applyNumberFormat="1" applyFont="1" applyFill="1" applyBorder="1" applyAlignment="1">
      <alignment horizontal="center" vertical="center"/>
    </xf>
    <xf numFmtId="9" fontId="5" fillId="9" borderId="15" xfId="2" applyNumberFormat="1" applyFont="1" applyFill="1" applyBorder="1" applyAlignment="1">
      <alignment horizontal="center" vertical="center"/>
    </xf>
    <xf numFmtId="10" fontId="7" fillId="10" borderId="3" xfId="2" applyNumberFormat="1" applyFont="1" applyFill="1" applyBorder="1"/>
    <xf numFmtId="0" fontId="7" fillId="0" borderId="0" xfId="0" applyFont="1" applyAlignment="1">
      <alignment horizontal="right" wrapText="1"/>
    </xf>
    <xf numFmtId="164" fontId="5" fillId="9" borderId="12" xfId="2" applyNumberFormat="1" applyFont="1" applyFill="1" applyBorder="1" applyAlignment="1">
      <alignment horizontal="center" vertical="center"/>
    </xf>
    <xf numFmtId="10" fontId="5" fillId="9" borderId="12" xfId="2" applyNumberFormat="1" applyFont="1" applyFill="1" applyBorder="1" applyAlignment="1">
      <alignment horizontal="center" vertical="center"/>
    </xf>
    <xf numFmtId="3" fontId="7" fillId="3" borderId="0" xfId="0" applyNumberFormat="1" applyFont="1" applyFill="1" applyBorder="1"/>
    <xf numFmtId="3" fontId="7" fillId="3" borderId="0" xfId="0" applyNumberFormat="1" applyFont="1" applyFill="1" applyBorder="1" applyAlignment="1">
      <alignment vertical="top"/>
    </xf>
    <xf numFmtId="3" fontId="7" fillId="0" borderId="0" xfId="0" applyNumberFormat="1" applyFont="1" applyFill="1" applyBorder="1" applyAlignment="1">
      <alignment vertical="top"/>
    </xf>
    <xf numFmtId="164" fontId="7" fillId="3" borderId="0" xfId="2" applyNumberFormat="1" applyFont="1" applyFill="1" applyBorder="1" applyAlignment="1">
      <alignment horizontal="center" vertical="center"/>
    </xf>
    <xf numFmtId="10" fontId="7" fillId="3" borderId="1" xfId="2" applyNumberFormat="1" applyFont="1" applyFill="1" applyBorder="1" applyAlignment="1">
      <alignment horizontal="center" vertical="center"/>
    </xf>
    <xf numFmtId="3" fontId="5" fillId="9" borderId="13" xfId="0" applyNumberFormat="1" applyFont="1" applyFill="1" applyBorder="1" applyAlignment="1">
      <alignment horizontal="center"/>
    </xf>
    <xf numFmtId="3" fontId="7" fillId="0" borderId="14" xfId="0" applyNumberFormat="1" applyFont="1" applyBorder="1" applyAlignment="1">
      <alignment horizontal="center"/>
    </xf>
    <xf numFmtId="3" fontId="5" fillId="9" borderId="12" xfId="0" applyNumberFormat="1" applyFont="1" applyFill="1" applyBorder="1" applyAlignment="1">
      <alignment horizontal="center" vertical="top"/>
    </xf>
    <xf numFmtId="3" fontId="7" fillId="0" borderId="15" xfId="0" applyNumberFormat="1" applyFont="1" applyFill="1" applyBorder="1" applyAlignment="1">
      <alignment horizontal="center" vertical="top"/>
    </xf>
    <xf numFmtId="3" fontId="7" fillId="0" borderId="15" xfId="0" applyNumberFormat="1" applyFont="1" applyBorder="1" applyAlignment="1">
      <alignment horizontal="center"/>
    </xf>
    <xf numFmtId="0" fontId="0" fillId="0" borderId="13" xfId="0" applyBorder="1" applyAlignment="1">
      <alignment horizontal="center"/>
    </xf>
    <xf numFmtId="167" fontId="7" fillId="11" borderId="13" xfId="0" applyNumberFormat="1" applyFont="1" applyFill="1" applyBorder="1"/>
    <xf numFmtId="167" fontId="7" fillId="11" borderId="12" xfId="0" applyNumberFormat="1" applyFont="1" applyFill="1" applyBorder="1"/>
    <xf numFmtId="15" fontId="7" fillId="0" borderId="0" xfId="0" applyNumberFormat="1" applyFont="1" applyAlignment="1">
      <alignment wrapText="1"/>
    </xf>
    <xf numFmtId="0" fontId="2" fillId="5" borderId="12" xfId="0" applyFont="1" applyFill="1" applyBorder="1" applyAlignment="1">
      <alignment horizontal="center"/>
    </xf>
    <xf numFmtId="0" fontId="2" fillId="5" borderId="10" xfId="0" applyFont="1" applyFill="1" applyBorder="1" applyAlignment="1">
      <alignment wrapText="1"/>
    </xf>
    <xf numFmtId="0" fontId="2" fillId="0" borderId="4" xfId="0" applyFont="1" applyBorder="1" applyAlignment="1">
      <alignment wrapText="1"/>
    </xf>
    <xf numFmtId="3" fontId="7" fillId="3" borderId="13" xfId="0" applyNumberFormat="1" applyFont="1" applyFill="1" applyBorder="1"/>
    <xf numFmtId="0" fontId="2" fillId="0" borderId="6" xfId="0" applyFont="1" applyBorder="1" applyAlignment="1">
      <alignment wrapText="1"/>
    </xf>
    <xf numFmtId="0" fontId="7" fillId="0" borderId="4" xfId="0" applyFont="1" applyBorder="1" applyAlignment="1">
      <alignment horizontal="left" vertical="top" wrapText="1" indent="1"/>
    </xf>
    <xf numFmtId="3" fontId="7" fillId="3" borderId="13" xfId="0" applyNumberFormat="1" applyFont="1" applyFill="1" applyBorder="1" applyAlignment="1">
      <alignment vertical="top"/>
    </xf>
    <xf numFmtId="0" fontId="2" fillId="0" borderId="10" xfId="0" applyFont="1" applyBorder="1" applyAlignment="1">
      <alignment wrapText="1"/>
    </xf>
    <xf numFmtId="3" fontId="7" fillId="0" borderId="3" xfId="0" applyNumberFormat="1" applyFont="1" applyBorder="1"/>
    <xf numFmtId="3" fontId="7" fillId="0" borderId="1" xfId="0" applyNumberFormat="1" applyFont="1" applyBorder="1"/>
    <xf numFmtId="0" fontId="24" fillId="0" borderId="12" xfId="0" applyFont="1" applyBorder="1" applyAlignment="1">
      <alignment horizontal="center"/>
    </xf>
    <xf numFmtId="0" fontId="7" fillId="0" borderId="4" xfId="0" applyFont="1" applyBorder="1" applyAlignment="1">
      <alignment wrapText="1"/>
    </xf>
    <xf numFmtId="164" fontId="25" fillId="0" borderId="13" xfId="2" applyNumberFormat="1" applyFont="1" applyFill="1" applyBorder="1" applyAlignment="1">
      <alignment horizontal="center" vertical="center"/>
    </xf>
    <xf numFmtId="0" fontId="7" fillId="0" borderId="5" xfId="0" applyFont="1" applyBorder="1" applyAlignment="1">
      <alignment wrapText="1"/>
    </xf>
    <xf numFmtId="10" fontId="25" fillId="0" borderId="15" xfId="2" applyNumberFormat="1" applyFont="1" applyFill="1" applyBorder="1" applyAlignment="1">
      <alignment horizontal="center" vertical="center"/>
    </xf>
    <xf numFmtId="0" fontId="2" fillId="5" borderId="6" xfId="0" applyFont="1" applyFill="1" applyBorder="1" applyAlignment="1"/>
    <xf numFmtId="0" fontId="0" fillId="5" borderId="2" xfId="0" applyFill="1" applyBorder="1"/>
    <xf numFmtId="0" fontId="0" fillId="5" borderId="7" xfId="0" applyFill="1" applyBorder="1"/>
    <xf numFmtId="167" fontId="26" fillId="12" borderId="0" xfId="0" applyNumberFormat="1" applyFont="1" applyFill="1" applyBorder="1" applyAlignment="1">
      <alignment horizontal="center"/>
    </xf>
    <xf numFmtId="167" fontId="5" fillId="12" borderId="13" xfId="0" applyNumberFormat="1" applyFont="1" applyFill="1" applyBorder="1"/>
    <xf numFmtId="0" fontId="7" fillId="0" borderId="10" xfId="0" applyFont="1" applyBorder="1" applyAlignment="1">
      <alignment wrapText="1"/>
    </xf>
    <xf numFmtId="167" fontId="7" fillId="0" borderId="3" xfId="0" applyNumberFormat="1" applyFont="1" applyBorder="1" applyAlignment="1">
      <alignment horizontal="center"/>
    </xf>
    <xf numFmtId="167" fontId="7" fillId="0" borderId="12" xfId="0" applyNumberFormat="1" applyFont="1" applyFill="1" applyBorder="1"/>
    <xf numFmtId="0" fontId="7" fillId="0" borderId="4" xfId="0" applyFont="1" applyFill="1" applyBorder="1" applyAlignment="1">
      <alignment horizontal="right" wrapText="1"/>
    </xf>
    <xf numFmtId="0" fontId="0" fillId="0" borderId="0" xfId="0" applyFill="1" applyBorder="1"/>
    <xf numFmtId="0" fontId="0" fillId="0" borderId="9" xfId="0" applyFill="1" applyBorder="1"/>
    <xf numFmtId="0" fontId="5" fillId="0" borderId="1" xfId="0" applyFont="1" applyFill="1" applyBorder="1" applyAlignment="1">
      <alignment horizontal="center"/>
    </xf>
    <xf numFmtId="0" fontId="5" fillId="0" borderId="15" xfId="0" applyFont="1" applyFill="1" applyBorder="1" applyAlignment="1">
      <alignment horizontal="center"/>
    </xf>
    <xf numFmtId="0" fontId="2" fillId="5" borderId="6" xfId="0" applyFont="1" applyFill="1" applyBorder="1" applyAlignment="1">
      <alignment wrapText="1"/>
    </xf>
    <xf numFmtId="0" fontId="0" fillId="0" borderId="4" xfId="0" applyBorder="1" applyAlignment="1">
      <alignment wrapText="1"/>
    </xf>
    <xf numFmtId="0" fontId="2" fillId="0" borderId="5" xfId="0" applyFont="1" applyBorder="1" applyAlignment="1">
      <alignment wrapText="1"/>
    </xf>
    <xf numFmtId="0" fontId="0" fillId="0" borderId="0" xfId="0" applyBorder="1" applyAlignment="1">
      <alignment wrapText="1"/>
    </xf>
    <xf numFmtId="0" fontId="0" fillId="0" borderId="4" xfId="0" applyBorder="1" applyAlignment="1">
      <alignment vertical="center" wrapText="1"/>
    </xf>
    <xf numFmtId="0" fontId="2" fillId="0" borderId="3" xfId="0" applyFont="1" applyBorder="1" applyAlignment="1">
      <alignment wrapText="1"/>
    </xf>
    <xf numFmtId="164" fontId="28" fillId="11" borderId="14" xfId="2" applyNumberFormat="1" applyFont="1" applyFill="1" applyBorder="1" applyAlignment="1">
      <alignment horizontal="center" vertical="center"/>
    </xf>
    <xf numFmtId="164" fontId="28" fillId="11" borderId="13" xfId="2" applyNumberFormat="1" applyFont="1" applyFill="1" applyBorder="1" applyAlignment="1">
      <alignment horizontal="center" vertical="center"/>
    </xf>
    <xf numFmtId="164" fontId="28" fillId="11" borderId="15" xfId="2" applyNumberFormat="1" applyFont="1" applyFill="1" applyBorder="1" applyAlignment="1">
      <alignment horizontal="center" vertical="center"/>
    </xf>
    <xf numFmtId="9" fontId="7" fillId="12" borderId="6" xfId="2" applyNumberFormat="1" applyFont="1" applyFill="1" applyBorder="1" applyAlignment="1">
      <alignment horizontal="center" vertical="center"/>
    </xf>
    <xf numFmtId="9" fontId="7" fillId="12" borderId="7" xfId="2" applyNumberFormat="1" applyFont="1" applyFill="1" applyBorder="1" applyAlignment="1">
      <alignment horizontal="center" vertical="center"/>
    </xf>
    <xf numFmtId="9" fontId="7" fillId="12" borderId="4" xfId="2" applyNumberFormat="1" applyFont="1" applyFill="1" applyBorder="1" applyAlignment="1">
      <alignment horizontal="center" vertical="center"/>
    </xf>
    <xf numFmtId="9" fontId="7" fillId="12" borderId="9" xfId="2" applyNumberFormat="1" applyFont="1" applyFill="1" applyBorder="1" applyAlignment="1">
      <alignment horizontal="center" vertical="center"/>
    </xf>
    <xf numFmtId="9" fontId="7" fillId="12" borderId="5" xfId="2" applyNumberFormat="1" applyFont="1" applyFill="1" applyBorder="1" applyAlignment="1">
      <alignment horizontal="center" vertical="center"/>
    </xf>
    <xf numFmtId="9" fontId="7" fillId="12" borderId="8" xfId="2" applyNumberFormat="1" applyFont="1" applyFill="1" applyBorder="1" applyAlignment="1">
      <alignment horizontal="center" vertical="center"/>
    </xf>
    <xf numFmtId="0" fontId="30" fillId="0" borderId="12" xfId="3" applyFont="1" applyFill="1" applyBorder="1" applyAlignment="1">
      <alignment horizontal="center"/>
    </xf>
    <xf numFmtId="0" fontId="1" fillId="0" borderId="0" xfId="0" applyFont="1" applyAlignment="1">
      <alignment wrapText="1"/>
    </xf>
    <xf numFmtId="0" fontId="2" fillId="0" borderId="12" xfId="0" applyFont="1" applyBorder="1" applyAlignment="1">
      <alignment horizontal="center" wrapText="1"/>
    </xf>
    <xf numFmtId="0" fontId="31" fillId="0" borderId="12" xfId="3" applyFont="1" applyFill="1" applyBorder="1" applyAlignment="1">
      <alignment horizontal="center" wrapText="1"/>
    </xf>
    <xf numFmtId="0" fontId="0" fillId="0" borderId="0" xfId="0" applyAlignment="1">
      <alignment horizontal="center"/>
    </xf>
    <xf numFmtId="0" fontId="23" fillId="2" borderId="0" xfId="0" applyFont="1" applyFill="1" applyAlignment="1"/>
    <xf numFmtId="0" fontId="0" fillId="0" borderId="0" xfId="0" applyFont="1" applyAlignment="1">
      <alignment wrapText="1"/>
    </xf>
    <xf numFmtId="0" fontId="33" fillId="0" borderId="0" xfId="0" applyFont="1"/>
    <xf numFmtId="0" fontId="2" fillId="5" borderId="0" xfId="0" applyFont="1" applyFill="1"/>
    <xf numFmtId="0" fontId="0" fillId="5" borderId="0" xfId="0" applyFill="1" applyAlignment="1">
      <alignment horizontal="center"/>
    </xf>
    <xf numFmtId="0" fontId="32" fillId="0" borderId="0" xfId="0" applyFont="1" applyAlignment="1"/>
    <xf numFmtId="165" fontId="7" fillId="0" borderId="12" xfId="1" applyNumberFormat="1" applyFont="1" applyBorder="1" applyAlignment="1">
      <alignment horizontal="center"/>
    </xf>
    <xf numFmtId="165" fontId="34" fillId="0" borderId="12" xfId="1" applyNumberFormat="1" applyFont="1" applyBorder="1" applyAlignment="1">
      <alignment horizontal="center"/>
    </xf>
    <xf numFmtId="0" fontId="5" fillId="3" borderId="0" xfId="0" applyFont="1" applyFill="1" applyBorder="1" applyAlignment="1">
      <alignment horizontal="center" vertical="center"/>
    </xf>
    <xf numFmtId="0" fontId="6" fillId="0" borderId="0" xfId="0" applyFont="1"/>
    <xf numFmtId="0" fontId="9" fillId="0" borderId="6" xfId="0" applyFont="1" applyBorder="1" applyAlignment="1">
      <alignment horizontal="left" vertical="center" wrapText="1"/>
    </xf>
    <xf numFmtId="0" fontId="9" fillId="0" borderId="4" xfId="0" applyFont="1" applyBorder="1" applyAlignment="1">
      <alignment horizontal="left" vertical="center" wrapText="1"/>
    </xf>
    <xf numFmtId="0" fontId="9" fillId="0" borderId="5" xfId="0" applyFont="1" applyBorder="1" applyAlignment="1">
      <alignment horizontal="left" vertical="center" wrapText="1"/>
    </xf>
    <xf numFmtId="0" fontId="2" fillId="0" borderId="10" xfId="0" applyFont="1" applyBorder="1" applyAlignment="1">
      <alignment horizontal="center"/>
    </xf>
    <xf numFmtId="0" fontId="2" fillId="0" borderId="11" xfId="0" applyFont="1" applyBorder="1" applyAlignment="1">
      <alignment horizontal="center"/>
    </xf>
    <xf numFmtId="0" fontId="7" fillId="0" borderId="6"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2" fillId="6" borderId="4" xfId="0" applyFont="1" applyFill="1" applyBorder="1" applyAlignment="1">
      <alignment horizontal="center"/>
    </xf>
    <xf numFmtId="0" fontId="2" fillId="6" borderId="0" xfId="0" applyFont="1" applyFill="1" applyBorder="1" applyAlignment="1">
      <alignment horizontal="center"/>
    </xf>
    <xf numFmtId="0" fontId="2" fillId="6" borderId="9" xfId="0" applyFont="1" applyFill="1" applyBorder="1" applyAlignment="1">
      <alignment horizontal="center"/>
    </xf>
    <xf numFmtId="0" fontId="2" fillId="0" borderId="3" xfId="0" applyFont="1" applyBorder="1" applyAlignment="1">
      <alignment horizontal="center"/>
    </xf>
    <xf numFmtId="0" fontId="2" fillId="8" borderId="6" xfId="0" applyFont="1" applyFill="1" applyBorder="1" applyAlignment="1">
      <alignment horizontal="center"/>
    </xf>
    <xf numFmtId="0" fontId="2" fillId="8" borderId="2" xfId="0" applyFont="1" applyFill="1" applyBorder="1" applyAlignment="1">
      <alignment horizontal="center"/>
    </xf>
    <xf numFmtId="0" fontId="2" fillId="8" borderId="7" xfId="0" applyFont="1" applyFill="1" applyBorder="1" applyAlignment="1">
      <alignment horizontal="center"/>
    </xf>
    <xf numFmtId="0" fontId="2" fillId="7" borderId="4" xfId="0" applyFont="1" applyFill="1" applyBorder="1" applyAlignment="1">
      <alignment horizontal="center"/>
    </xf>
    <xf numFmtId="0" fontId="2" fillId="7" borderId="0" xfId="0" applyFont="1" applyFill="1" applyBorder="1" applyAlignment="1">
      <alignment horizontal="center"/>
    </xf>
    <xf numFmtId="0" fontId="2" fillId="7" borderId="9" xfId="0" applyFont="1" applyFill="1" applyBorder="1" applyAlignment="1">
      <alignment horizontal="center"/>
    </xf>
    <xf numFmtId="0" fontId="2" fillId="5" borderId="10" xfId="0" applyFont="1" applyFill="1" applyBorder="1" applyAlignment="1">
      <alignment horizontal="center"/>
    </xf>
    <xf numFmtId="0" fontId="2" fillId="5" borderId="3" xfId="0" applyFont="1" applyFill="1" applyBorder="1" applyAlignment="1">
      <alignment horizontal="center"/>
    </xf>
    <xf numFmtId="0" fontId="2" fillId="5" borderId="11" xfId="0" applyFont="1" applyFill="1" applyBorder="1" applyAlignment="1">
      <alignment horizontal="center"/>
    </xf>
    <xf numFmtId="0" fontId="2" fillId="0" borderId="5" xfId="0" applyFont="1" applyBorder="1" applyAlignment="1">
      <alignment horizontal="center"/>
    </xf>
    <xf numFmtId="0" fontId="2" fillId="0" borderId="8" xfId="0" applyFont="1" applyBorder="1" applyAlignment="1">
      <alignment horizontal="center"/>
    </xf>
    <xf numFmtId="0" fontId="27" fillId="0" borderId="0" xfId="0" applyFont="1" applyAlignment="1">
      <alignment horizontal="left" wrapText="1"/>
    </xf>
    <xf numFmtId="0" fontId="2" fillId="0" borderId="1" xfId="0" applyFont="1" applyBorder="1" applyAlignment="1">
      <alignment horizontal="center"/>
    </xf>
  </cellXfs>
  <cellStyles count="5">
    <cellStyle name="Comma" xfId="1" builtinId="3"/>
    <cellStyle name="Normal" xfId="0" builtinId="0"/>
    <cellStyle name="Normal 2" xfId="4"/>
    <cellStyle name="Normal 5" xfId="3"/>
    <cellStyle name="Percent" xfId="2" builtinId="5"/>
  </cellStyles>
  <dxfs count="0"/>
  <tableStyles count="0" defaultTableStyle="TableStyleMedium2" defaultPivotStyle="PivotStyleLight16"/>
  <colors>
    <mruColors>
      <color rgb="FFCCCC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Gas Use</a:t>
            </a:r>
            <a:r>
              <a:rPr lang="en-US" baseline="0"/>
              <a:t> by Unit Type and Climate Zone</a:t>
            </a:r>
            <a:endParaRPr lang="en-US"/>
          </a:p>
        </c:rich>
      </c:tx>
      <c:overlay val="0"/>
    </c:title>
    <c:autoTitleDeleted val="0"/>
    <c:plotArea>
      <c:layout/>
      <c:lineChart>
        <c:grouping val="standard"/>
        <c:varyColors val="0"/>
        <c:ser>
          <c:idx val="2"/>
          <c:order val="0"/>
          <c:tx>
            <c:strRef>
              <c:f>'RASS Baselines'!$B$22</c:f>
              <c:strCache>
                <c:ptCount val="1"/>
                <c:pt idx="0">
                  <c:v>Single Family Large Lot
(RASS 2000+ sf)</c:v>
                </c:pt>
              </c:strCache>
            </c:strRef>
          </c:tx>
          <c:spPr>
            <a:ln>
              <a:solidFill>
                <a:schemeClr val="accent2"/>
              </a:solidFill>
            </a:ln>
          </c:spPr>
          <c:marker>
            <c:symbol val="none"/>
          </c:marker>
          <c:cat>
            <c:numRef>
              <c:f>'RASS Baselines'!$A$23:$A$38</c:f>
              <c:numCache>
                <c:formatCode>General</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cat>
          <c:val>
            <c:numRef>
              <c:f>'RASS Baselines'!$B$23:$B$38</c:f>
              <c:numCache>
                <c:formatCode>_(* #,##0_);_(* \(#,##0\);_(* "-"??_);_(@_)</c:formatCode>
                <c:ptCount val="16"/>
                <c:pt idx="0">
                  <c:v>1073</c:v>
                </c:pt>
                <c:pt idx="1">
                  <c:v>485</c:v>
                </c:pt>
                <c:pt idx="2">
                  <c:v>656</c:v>
                </c:pt>
                <c:pt idx="3">
                  <c:v>501</c:v>
                </c:pt>
                <c:pt idx="4">
                  <c:v>133</c:v>
                </c:pt>
                <c:pt idx="5">
                  <c:v>538</c:v>
                </c:pt>
                <c:pt idx="6">
                  <c:v>329</c:v>
                </c:pt>
                <c:pt idx="7">
                  <c:v>366</c:v>
                </c:pt>
                <c:pt idx="8">
                  <c:v>551</c:v>
                </c:pt>
                <c:pt idx="9">
                  <c:v>494</c:v>
                </c:pt>
                <c:pt idx="10">
                  <c:v>522</c:v>
                </c:pt>
                <c:pt idx="11">
                  <c:v>544</c:v>
                </c:pt>
                <c:pt idx="12">
                  <c:v>443</c:v>
                </c:pt>
                <c:pt idx="13">
                  <c:v>637</c:v>
                </c:pt>
                <c:pt idx="14">
                  <c:v>525</c:v>
                </c:pt>
                <c:pt idx="15">
                  <c:v>768</c:v>
                </c:pt>
              </c:numCache>
            </c:numRef>
          </c:val>
          <c:smooth val="0"/>
        </c:ser>
        <c:ser>
          <c:idx val="3"/>
          <c:order val="1"/>
          <c:tx>
            <c:strRef>
              <c:f>'RASS Baselines'!$C$22</c:f>
              <c:strCache>
                <c:ptCount val="1"/>
                <c:pt idx="0">
                  <c:v>Single Family Small Lot
(RASS under 2000 sf)</c:v>
                </c:pt>
              </c:strCache>
            </c:strRef>
          </c:tx>
          <c:spPr>
            <a:ln>
              <a:solidFill>
                <a:schemeClr val="accent3"/>
              </a:solidFill>
            </a:ln>
          </c:spPr>
          <c:marker>
            <c:symbol val="none"/>
          </c:marker>
          <c:cat>
            <c:numRef>
              <c:f>'RASS Baselines'!$A$23:$A$38</c:f>
              <c:numCache>
                <c:formatCode>General</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cat>
          <c:val>
            <c:numRef>
              <c:f>'RASS Baselines'!$C$23:$C$38</c:f>
              <c:numCache>
                <c:formatCode>_(* #,##0_);_(* \(#,##0\);_(* "-"??_);_(@_)</c:formatCode>
                <c:ptCount val="16"/>
                <c:pt idx="0">
                  <c:v>838</c:v>
                </c:pt>
                <c:pt idx="1">
                  <c:v>361</c:v>
                </c:pt>
                <c:pt idx="2">
                  <c:v>417</c:v>
                </c:pt>
                <c:pt idx="3">
                  <c:v>359</c:v>
                </c:pt>
                <c:pt idx="4">
                  <c:v>348</c:v>
                </c:pt>
                <c:pt idx="5">
                  <c:v>367</c:v>
                </c:pt>
                <c:pt idx="6">
                  <c:v>293</c:v>
                </c:pt>
                <c:pt idx="7">
                  <c:v>314</c:v>
                </c:pt>
                <c:pt idx="8">
                  <c:v>440</c:v>
                </c:pt>
                <c:pt idx="9">
                  <c:v>386</c:v>
                </c:pt>
                <c:pt idx="10">
                  <c:v>326</c:v>
                </c:pt>
                <c:pt idx="11">
                  <c:v>399</c:v>
                </c:pt>
                <c:pt idx="12">
                  <c:v>356</c:v>
                </c:pt>
                <c:pt idx="13">
                  <c:v>552</c:v>
                </c:pt>
                <c:pt idx="14">
                  <c:v>375</c:v>
                </c:pt>
                <c:pt idx="15">
                  <c:v>605</c:v>
                </c:pt>
              </c:numCache>
            </c:numRef>
          </c:val>
          <c:smooth val="0"/>
        </c:ser>
        <c:ser>
          <c:idx val="4"/>
          <c:order val="2"/>
          <c:tx>
            <c:strRef>
              <c:f>'RASS Baselines'!$D$22</c:f>
              <c:strCache>
                <c:ptCount val="1"/>
                <c:pt idx="0">
                  <c:v>Townhouse</c:v>
                </c:pt>
              </c:strCache>
            </c:strRef>
          </c:tx>
          <c:spPr>
            <a:ln>
              <a:solidFill>
                <a:schemeClr val="accent4"/>
              </a:solidFill>
            </a:ln>
          </c:spPr>
          <c:marker>
            <c:symbol val="none"/>
          </c:marker>
          <c:cat>
            <c:numRef>
              <c:f>'RASS Baselines'!$A$23:$A$38</c:f>
              <c:numCache>
                <c:formatCode>General</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cat>
          <c:val>
            <c:numRef>
              <c:f>'RASS Baselines'!$D$23:$D$38</c:f>
              <c:numCache>
                <c:formatCode>_(* #,##0_);_(* \(#,##0\);_(* "-"??_);_(@_)</c:formatCode>
                <c:ptCount val="16"/>
                <c:pt idx="0">
                  <c:v>551</c:v>
                </c:pt>
                <c:pt idx="1">
                  <c:v>290</c:v>
                </c:pt>
                <c:pt idx="2">
                  <c:v>350</c:v>
                </c:pt>
                <c:pt idx="3">
                  <c:v>337</c:v>
                </c:pt>
                <c:pt idx="4">
                  <c:v>189</c:v>
                </c:pt>
                <c:pt idx="5">
                  <c:v>317</c:v>
                </c:pt>
                <c:pt idx="6">
                  <c:v>225</c:v>
                </c:pt>
                <c:pt idx="7">
                  <c:v>350</c:v>
                </c:pt>
                <c:pt idx="8">
                  <c:v>904</c:v>
                </c:pt>
                <c:pt idx="9">
                  <c:v>411</c:v>
                </c:pt>
                <c:pt idx="10">
                  <c:v>270</c:v>
                </c:pt>
                <c:pt idx="11">
                  <c:v>278</c:v>
                </c:pt>
                <c:pt idx="12">
                  <c:v>302</c:v>
                </c:pt>
                <c:pt idx="13">
                  <c:v>197</c:v>
                </c:pt>
                <c:pt idx="14">
                  <c:v>274</c:v>
                </c:pt>
                <c:pt idx="15">
                  <c:v>453</c:v>
                </c:pt>
              </c:numCache>
            </c:numRef>
          </c:val>
          <c:smooth val="0"/>
        </c:ser>
        <c:ser>
          <c:idx val="0"/>
          <c:order val="3"/>
          <c:tx>
            <c:strRef>
              <c:f>'RASS Baselines'!$E$22</c:f>
              <c:strCache>
                <c:ptCount val="1"/>
                <c:pt idx="0">
                  <c:v>Apt/Condo</c:v>
                </c:pt>
              </c:strCache>
            </c:strRef>
          </c:tx>
          <c:spPr>
            <a:ln>
              <a:solidFill>
                <a:schemeClr val="accent5"/>
              </a:solidFill>
            </a:ln>
          </c:spPr>
          <c:marker>
            <c:symbol val="none"/>
          </c:marker>
          <c:cat>
            <c:numRef>
              <c:f>'RASS Baselines'!$A$23:$A$38</c:f>
              <c:numCache>
                <c:formatCode>General</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cat>
          <c:val>
            <c:numRef>
              <c:f>'RASS Baselines'!$E$23:$E$38</c:f>
              <c:numCache>
                <c:formatCode>_(* #,##0_);_(* \(#,##0\);_(* "-"??_);_(@_)</c:formatCode>
                <c:ptCount val="16"/>
                <c:pt idx="0">
                  <c:v>547</c:v>
                </c:pt>
                <c:pt idx="1">
                  <c:v>143</c:v>
                </c:pt>
                <c:pt idx="2">
                  <c:v>268</c:v>
                </c:pt>
                <c:pt idx="3">
                  <c:v>155</c:v>
                </c:pt>
                <c:pt idx="4">
                  <c:v>335</c:v>
                </c:pt>
                <c:pt idx="5">
                  <c:v>230</c:v>
                </c:pt>
                <c:pt idx="6">
                  <c:v>144</c:v>
                </c:pt>
                <c:pt idx="7">
                  <c:v>277</c:v>
                </c:pt>
                <c:pt idx="8">
                  <c:v>210</c:v>
                </c:pt>
                <c:pt idx="9">
                  <c:v>225</c:v>
                </c:pt>
                <c:pt idx="10">
                  <c:v>218</c:v>
                </c:pt>
                <c:pt idx="11">
                  <c:v>218</c:v>
                </c:pt>
                <c:pt idx="12">
                  <c:v>347</c:v>
                </c:pt>
                <c:pt idx="13">
                  <c:v>319</c:v>
                </c:pt>
                <c:pt idx="14">
                  <c:v>219</c:v>
                </c:pt>
                <c:pt idx="15">
                  <c:v>224</c:v>
                </c:pt>
              </c:numCache>
            </c:numRef>
          </c:val>
          <c:smooth val="0"/>
        </c:ser>
        <c:dLbls>
          <c:showLegendKey val="0"/>
          <c:showVal val="0"/>
          <c:showCatName val="0"/>
          <c:showSerName val="0"/>
          <c:showPercent val="0"/>
          <c:showBubbleSize val="0"/>
        </c:dLbls>
        <c:dropLines>
          <c:spPr>
            <a:ln>
              <a:solidFill>
                <a:schemeClr val="bg1">
                  <a:lumMod val="65000"/>
                </a:schemeClr>
              </a:solidFill>
            </a:ln>
          </c:spPr>
        </c:dropLines>
        <c:marker val="1"/>
        <c:smooth val="0"/>
        <c:axId val="151853312"/>
        <c:axId val="151855104"/>
      </c:lineChart>
      <c:catAx>
        <c:axId val="151853312"/>
        <c:scaling>
          <c:orientation val="minMax"/>
        </c:scaling>
        <c:delete val="0"/>
        <c:axPos val="b"/>
        <c:numFmt formatCode="General" sourceLinked="1"/>
        <c:majorTickMark val="out"/>
        <c:minorTickMark val="none"/>
        <c:tickLblPos val="nextTo"/>
        <c:crossAx val="151855104"/>
        <c:crosses val="autoZero"/>
        <c:auto val="1"/>
        <c:lblAlgn val="ctr"/>
        <c:lblOffset val="100"/>
        <c:noMultiLvlLbl val="0"/>
      </c:catAx>
      <c:valAx>
        <c:axId val="151855104"/>
        <c:scaling>
          <c:orientation val="minMax"/>
        </c:scaling>
        <c:delete val="0"/>
        <c:axPos val="l"/>
        <c:majorGridlines/>
        <c:numFmt formatCode="_(* #,##0_);_(* \(#,##0\);_(* &quot;-&quot;??_);_(@_)" sourceLinked="1"/>
        <c:majorTickMark val="out"/>
        <c:minorTickMark val="none"/>
        <c:tickLblPos val="nextTo"/>
        <c:crossAx val="1518533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Electricity Use by Unit Type and Climate Zone</a:t>
            </a:r>
            <a:endParaRPr lang="en-US">
              <a:effectLst/>
            </a:endParaRPr>
          </a:p>
        </c:rich>
      </c:tx>
      <c:overlay val="0"/>
    </c:title>
    <c:autoTitleDeleted val="0"/>
    <c:plotArea>
      <c:layout/>
      <c:lineChart>
        <c:grouping val="standard"/>
        <c:varyColors val="0"/>
        <c:ser>
          <c:idx val="1"/>
          <c:order val="0"/>
          <c:tx>
            <c:strRef>
              <c:f>'RASS Baselines'!$B$3</c:f>
              <c:strCache>
                <c:ptCount val="1"/>
                <c:pt idx="0">
                  <c:v>Single Family Large Lot
(RASS 2000+ sf)</c:v>
                </c:pt>
              </c:strCache>
            </c:strRef>
          </c:tx>
          <c:marker>
            <c:symbol val="none"/>
          </c:marker>
          <c:cat>
            <c:numRef>
              <c:f>'RASS Baselines'!$A$4:$A$19</c:f>
              <c:numCache>
                <c:formatCode>General</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cat>
          <c:val>
            <c:numRef>
              <c:f>'RASS Baselines'!$B$4:$B$19</c:f>
              <c:numCache>
                <c:formatCode>_(* #,##0_);_(* \(#,##0\);_(* "-"??_);_(@_)</c:formatCode>
                <c:ptCount val="16"/>
                <c:pt idx="0">
                  <c:v>7665</c:v>
                </c:pt>
                <c:pt idx="1">
                  <c:v>8783</c:v>
                </c:pt>
                <c:pt idx="2">
                  <c:v>8161</c:v>
                </c:pt>
                <c:pt idx="3">
                  <c:v>8735</c:v>
                </c:pt>
                <c:pt idx="4">
                  <c:v>6576</c:v>
                </c:pt>
                <c:pt idx="5">
                  <c:v>9742</c:v>
                </c:pt>
                <c:pt idx="6">
                  <c:v>7852</c:v>
                </c:pt>
                <c:pt idx="7">
                  <c:v>9287</c:v>
                </c:pt>
                <c:pt idx="8">
                  <c:v>11343</c:v>
                </c:pt>
                <c:pt idx="9">
                  <c:v>9618</c:v>
                </c:pt>
                <c:pt idx="10">
                  <c:v>12297</c:v>
                </c:pt>
                <c:pt idx="11">
                  <c:v>9742</c:v>
                </c:pt>
                <c:pt idx="12">
                  <c:v>10406</c:v>
                </c:pt>
                <c:pt idx="13">
                  <c:v>9988</c:v>
                </c:pt>
                <c:pt idx="14">
                  <c:v>12529</c:v>
                </c:pt>
                <c:pt idx="15">
                  <c:v>7361</c:v>
                </c:pt>
              </c:numCache>
            </c:numRef>
          </c:val>
          <c:smooth val="0"/>
        </c:ser>
        <c:ser>
          <c:idx val="2"/>
          <c:order val="1"/>
          <c:tx>
            <c:strRef>
              <c:f>'RASS Baselines'!$C$3</c:f>
              <c:strCache>
                <c:ptCount val="1"/>
                <c:pt idx="0">
                  <c:v>Single Family Small Lot
(RASS under 2000 sf)</c:v>
                </c:pt>
              </c:strCache>
            </c:strRef>
          </c:tx>
          <c:marker>
            <c:symbol val="none"/>
          </c:marker>
          <c:cat>
            <c:numRef>
              <c:f>'RASS Baselines'!$A$4:$A$19</c:f>
              <c:numCache>
                <c:formatCode>General</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cat>
          <c:val>
            <c:numRef>
              <c:f>'RASS Baselines'!$C$4:$C$19</c:f>
              <c:numCache>
                <c:formatCode>_(* #,##0_);_(* \(#,##0\);_(* "-"??_);_(@_)</c:formatCode>
                <c:ptCount val="16"/>
                <c:pt idx="0">
                  <c:v>6245</c:v>
                </c:pt>
                <c:pt idx="1">
                  <c:v>6652</c:v>
                </c:pt>
                <c:pt idx="2">
                  <c:v>5166</c:v>
                </c:pt>
                <c:pt idx="3">
                  <c:v>6911</c:v>
                </c:pt>
                <c:pt idx="4">
                  <c:v>5249</c:v>
                </c:pt>
                <c:pt idx="5">
                  <c:v>5727</c:v>
                </c:pt>
                <c:pt idx="6">
                  <c:v>5499</c:v>
                </c:pt>
                <c:pt idx="7">
                  <c:v>6513</c:v>
                </c:pt>
                <c:pt idx="8">
                  <c:v>6723</c:v>
                </c:pt>
                <c:pt idx="9">
                  <c:v>7148</c:v>
                </c:pt>
                <c:pt idx="10">
                  <c:v>7490</c:v>
                </c:pt>
                <c:pt idx="11">
                  <c:v>7767</c:v>
                </c:pt>
                <c:pt idx="12">
                  <c:v>8237</c:v>
                </c:pt>
                <c:pt idx="13">
                  <c:v>6768</c:v>
                </c:pt>
                <c:pt idx="14">
                  <c:v>8516</c:v>
                </c:pt>
                <c:pt idx="15">
                  <c:v>5434</c:v>
                </c:pt>
              </c:numCache>
            </c:numRef>
          </c:val>
          <c:smooth val="0"/>
        </c:ser>
        <c:ser>
          <c:idx val="3"/>
          <c:order val="2"/>
          <c:tx>
            <c:strRef>
              <c:f>'RASS Baselines'!$D$3</c:f>
              <c:strCache>
                <c:ptCount val="1"/>
                <c:pt idx="0">
                  <c:v>Townhouse</c:v>
                </c:pt>
              </c:strCache>
            </c:strRef>
          </c:tx>
          <c:marker>
            <c:symbol val="none"/>
          </c:marker>
          <c:cat>
            <c:numRef>
              <c:f>'RASS Baselines'!$A$4:$A$19</c:f>
              <c:numCache>
                <c:formatCode>General</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cat>
          <c:val>
            <c:numRef>
              <c:f>'RASS Baselines'!$D$4:$D$19</c:f>
              <c:numCache>
                <c:formatCode>_(* #,##0_);_(* \(#,##0\);_(* "-"??_);_(@_)</c:formatCode>
                <c:ptCount val="16"/>
                <c:pt idx="0">
                  <c:v>3344</c:v>
                </c:pt>
                <c:pt idx="1">
                  <c:v>4145</c:v>
                </c:pt>
                <c:pt idx="2">
                  <c:v>4612</c:v>
                </c:pt>
                <c:pt idx="3">
                  <c:v>4807</c:v>
                </c:pt>
                <c:pt idx="4">
                  <c:v>4189</c:v>
                </c:pt>
                <c:pt idx="5">
                  <c:v>5578</c:v>
                </c:pt>
                <c:pt idx="6">
                  <c:v>3732</c:v>
                </c:pt>
                <c:pt idx="7">
                  <c:v>5148</c:v>
                </c:pt>
                <c:pt idx="8">
                  <c:v>4873</c:v>
                </c:pt>
                <c:pt idx="9">
                  <c:v>4873</c:v>
                </c:pt>
                <c:pt idx="10">
                  <c:v>5787</c:v>
                </c:pt>
                <c:pt idx="11">
                  <c:v>5762</c:v>
                </c:pt>
                <c:pt idx="12">
                  <c:v>6198</c:v>
                </c:pt>
                <c:pt idx="13">
                  <c:v>5186</c:v>
                </c:pt>
                <c:pt idx="14">
                  <c:v>9275</c:v>
                </c:pt>
                <c:pt idx="15">
                  <c:v>7653</c:v>
                </c:pt>
              </c:numCache>
            </c:numRef>
          </c:val>
          <c:smooth val="0"/>
        </c:ser>
        <c:ser>
          <c:idx val="4"/>
          <c:order val="3"/>
          <c:tx>
            <c:strRef>
              <c:f>'RASS Baselines'!$E$3</c:f>
              <c:strCache>
                <c:ptCount val="1"/>
                <c:pt idx="0">
                  <c:v>Apt/Condo</c:v>
                </c:pt>
              </c:strCache>
            </c:strRef>
          </c:tx>
          <c:marker>
            <c:symbol val="none"/>
          </c:marker>
          <c:cat>
            <c:numRef>
              <c:f>'RASS Baselines'!$A$4:$A$19</c:f>
              <c:numCache>
                <c:formatCode>General</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cat>
          <c:val>
            <c:numRef>
              <c:f>'RASS Baselines'!$E$4:$E$19</c:f>
              <c:numCache>
                <c:formatCode>_(* #,##0_);_(* \(#,##0\);_(* "-"??_);_(@_)</c:formatCode>
                <c:ptCount val="16"/>
                <c:pt idx="0">
                  <c:v>3573</c:v>
                </c:pt>
                <c:pt idx="1">
                  <c:v>3186</c:v>
                </c:pt>
                <c:pt idx="2">
                  <c:v>3606</c:v>
                </c:pt>
                <c:pt idx="3">
                  <c:v>3730</c:v>
                </c:pt>
                <c:pt idx="4">
                  <c:v>3423</c:v>
                </c:pt>
                <c:pt idx="5">
                  <c:v>4030</c:v>
                </c:pt>
                <c:pt idx="6">
                  <c:v>3134</c:v>
                </c:pt>
                <c:pt idx="7">
                  <c:v>4068</c:v>
                </c:pt>
                <c:pt idx="8">
                  <c:v>3908</c:v>
                </c:pt>
                <c:pt idx="9">
                  <c:v>4042</c:v>
                </c:pt>
                <c:pt idx="10">
                  <c:v>3974</c:v>
                </c:pt>
                <c:pt idx="11">
                  <c:v>4190</c:v>
                </c:pt>
                <c:pt idx="12">
                  <c:v>5101</c:v>
                </c:pt>
                <c:pt idx="13">
                  <c:v>4771</c:v>
                </c:pt>
                <c:pt idx="14">
                  <c:v>8229</c:v>
                </c:pt>
                <c:pt idx="15">
                  <c:v>4142</c:v>
                </c:pt>
              </c:numCache>
            </c:numRef>
          </c:val>
          <c:smooth val="0"/>
        </c:ser>
        <c:dLbls>
          <c:showLegendKey val="0"/>
          <c:showVal val="0"/>
          <c:showCatName val="0"/>
          <c:showSerName val="0"/>
          <c:showPercent val="0"/>
          <c:showBubbleSize val="0"/>
        </c:dLbls>
        <c:dropLines>
          <c:spPr>
            <a:ln>
              <a:solidFill>
                <a:schemeClr val="bg1">
                  <a:lumMod val="65000"/>
                </a:schemeClr>
              </a:solidFill>
            </a:ln>
          </c:spPr>
        </c:dropLines>
        <c:marker val="1"/>
        <c:smooth val="0"/>
        <c:axId val="151882368"/>
        <c:axId val="151884160"/>
      </c:lineChart>
      <c:catAx>
        <c:axId val="151882368"/>
        <c:scaling>
          <c:orientation val="minMax"/>
        </c:scaling>
        <c:delete val="0"/>
        <c:axPos val="b"/>
        <c:numFmt formatCode="General" sourceLinked="1"/>
        <c:majorTickMark val="out"/>
        <c:minorTickMark val="none"/>
        <c:tickLblPos val="nextTo"/>
        <c:crossAx val="151884160"/>
        <c:crosses val="autoZero"/>
        <c:auto val="1"/>
        <c:lblAlgn val="ctr"/>
        <c:lblOffset val="100"/>
        <c:noMultiLvlLbl val="0"/>
      </c:catAx>
      <c:valAx>
        <c:axId val="151884160"/>
        <c:scaling>
          <c:orientation val="minMax"/>
        </c:scaling>
        <c:delete val="0"/>
        <c:axPos val="l"/>
        <c:majorGridlines/>
        <c:numFmt formatCode="_(* #,##0_);_(* \(#,##0\);_(* &quot;-&quot;??_);_(@_)" sourceLinked="1"/>
        <c:majorTickMark val="out"/>
        <c:minorTickMark val="none"/>
        <c:tickLblPos val="nextTo"/>
        <c:crossAx val="1518823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523874</xdr:colOff>
      <xdr:row>17</xdr:row>
      <xdr:rowOff>85724</xdr:rowOff>
    </xdr:from>
    <xdr:to>
      <xdr:col>11</xdr:col>
      <xdr:colOff>2162175</xdr:colOff>
      <xdr:row>28</xdr:row>
      <xdr:rowOff>38100</xdr:rowOff>
    </xdr:to>
    <xdr:sp macro="" textlink="">
      <xdr:nvSpPr>
        <xdr:cNvPr id="3" name="TextBox 2"/>
        <xdr:cNvSpPr txBox="1"/>
      </xdr:nvSpPr>
      <xdr:spPr>
        <a:xfrm>
          <a:off x="7781924" y="4229099"/>
          <a:ext cx="3981451" cy="209550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050"/>
            <a:t>These building population totals -- by unit type and for the sum total of all -- result from the</a:t>
          </a:r>
          <a:r>
            <a:rPr lang="en-US" sz="1050" baseline="0"/>
            <a:t> year-to-year calculations in the New Buildings and Existing Buildings sheets. The inputs are from rows 5, 7, and 8 above.</a:t>
          </a:r>
        </a:p>
        <a:p>
          <a:endParaRPr lang="en-US" sz="1050" baseline="0"/>
        </a:p>
        <a:p>
          <a:r>
            <a:rPr lang="en-US" sz="1050" baseline="0"/>
            <a:t>These figures should be generated by running calculations for each building type separately, then summing up the results for a scenario total. Running calculations with scenario-total inputs yields different results since variations in rates of growth and redevelopment </a:t>
          </a:r>
          <a:r>
            <a:rPr lang="en-US" sz="1050" baseline="0">
              <a:solidFill>
                <a:schemeClr val="dk1"/>
              </a:solidFill>
              <a:effectLst/>
              <a:latin typeface="+mn-lt"/>
              <a:ea typeface="+mn-ea"/>
              <a:cs typeface="+mn-cs"/>
            </a:rPr>
            <a:t>by building type </a:t>
          </a:r>
          <a:r>
            <a:rPr lang="en-US" sz="1050" baseline="0"/>
            <a:t>are not accounted for.</a:t>
          </a:r>
          <a:endParaRPr lang="en-US" sz="1050"/>
        </a:p>
      </xdr:txBody>
    </xdr:sp>
    <xdr:clientData/>
  </xdr:twoCellAnchor>
  <xdr:twoCellAnchor>
    <xdr:from>
      <xdr:col>10</xdr:col>
      <xdr:colOff>428625</xdr:colOff>
      <xdr:row>42</xdr:row>
      <xdr:rowOff>152401</xdr:rowOff>
    </xdr:from>
    <xdr:to>
      <xdr:col>13</xdr:col>
      <xdr:colOff>295275</xdr:colOff>
      <xdr:row>51</xdr:row>
      <xdr:rowOff>161925</xdr:rowOff>
    </xdr:to>
    <xdr:sp macro="" textlink="">
      <xdr:nvSpPr>
        <xdr:cNvPr id="18" name="TextBox 17"/>
        <xdr:cNvSpPr txBox="1"/>
      </xdr:nvSpPr>
      <xdr:spPr>
        <a:xfrm>
          <a:off x="9020175" y="9048751"/>
          <a:ext cx="3714750" cy="1724024"/>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050"/>
            <a:t>This</a:t>
          </a:r>
          <a:r>
            <a:rPr lang="en-US" sz="1050" baseline="0"/>
            <a:t> is the proposed framework of assumptions, which allows flexibility to set different efficiency targets by building type (including commercial, though only residential is shown here), climate zone, and energy type (electricity or natural gas). </a:t>
          </a:r>
        </a:p>
        <a:p>
          <a:endParaRPr lang="en-US" sz="1050" baseline="0"/>
        </a:p>
        <a:p>
          <a:r>
            <a:rPr lang="en-US" sz="1050" baseline="0"/>
            <a:t>Assumption values are to be determined with further TAC input. We're aiming to confirm a statewide average /building type average set of assumptions reflecting BAU, Adopted, and Aspirational policy.</a:t>
          </a:r>
          <a:endParaRPr lang="en-US" sz="1050"/>
        </a:p>
      </xdr:txBody>
    </xdr:sp>
    <xdr:clientData/>
  </xdr:twoCellAnchor>
  <xdr:twoCellAnchor>
    <xdr:from>
      <xdr:col>10</xdr:col>
      <xdr:colOff>504824</xdr:colOff>
      <xdr:row>73</xdr:row>
      <xdr:rowOff>180975</xdr:rowOff>
    </xdr:from>
    <xdr:to>
      <xdr:col>14</xdr:col>
      <xdr:colOff>476250</xdr:colOff>
      <xdr:row>86</xdr:row>
      <xdr:rowOff>161925</xdr:rowOff>
    </xdr:to>
    <xdr:sp macro="" textlink="">
      <xdr:nvSpPr>
        <xdr:cNvPr id="19" name="TextBox 18"/>
        <xdr:cNvSpPr txBox="1"/>
      </xdr:nvSpPr>
      <xdr:spPr>
        <a:xfrm>
          <a:off x="9096374" y="15039975"/>
          <a:ext cx="4676776" cy="245745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050"/>
            <a:t>The model currently works by calculating</a:t>
          </a:r>
          <a:r>
            <a:rPr lang="en-US" sz="1050" baseline="0"/>
            <a:t> and applying the effective end-year effects of the efficiency targets.  (For instance, a new construction efficiency target of 60% below baselines by 2050, after taking into account phased growth and phased targets, might be translated to a 40% reduction applied to all new growth units in 2050.)</a:t>
          </a:r>
        </a:p>
        <a:p>
          <a:endParaRPr lang="en-US" sz="1050" baseline="0"/>
        </a:p>
        <a:p>
          <a:r>
            <a:rPr lang="en-US" sz="1050" baseline="0"/>
            <a:t>The New Buildings and Existing Buildings sheets in this workbook include the calculations that integrate growth, redevelopment, retrofit, and replacement rates with the target reduction factors. These produce annual and cumulative energy use results.  Effective end-year rates to apply to the two building populations -- new (buildings built on greenfield or through redevelopment, including new/unchanged and new/retrofitted) and existing (buildings of the base that persist into the future, including existing/replaced,  existing/retrofitted, and existing/unchanged) -- can be derived from these.</a:t>
          </a:r>
          <a:endParaRPr lang="en-US" sz="1050"/>
        </a:p>
      </xdr:txBody>
    </xdr:sp>
    <xdr:clientData/>
  </xdr:twoCellAnchor>
  <xdr:twoCellAnchor>
    <xdr:from>
      <xdr:col>8</xdr:col>
      <xdr:colOff>523876</xdr:colOff>
      <xdr:row>3</xdr:row>
      <xdr:rowOff>38101</xdr:rowOff>
    </xdr:from>
    <xdr:to>
      <xdr:col>11</xdr:col>
      <xdr:colOff>457200</xdr:colOff>
      <xdr:row>8</xdr:row>
      <xdr:rowOff>28575</xdr:rowOff>
    </xdr:to>
    <xdr:sp macro="" textlink="">
      <xdr:nvSpPr>
        <xdr:cNvPr id="24" name="TextBox 23"/>
        <xdr:cNvSpPr txBox="1"/>
      </xdr:nvSpPr>
      <xdr:spPr>
        <a:xfrm>
          <a:off x="7781926" y="742951"/>
          <a:ext cx="2276474" cy="1123949"/>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050"/>
            <a:t>RESIDENTIAL INPUTS (by climate zone, or other selected geography). These are UrbanFootprint scenario outputs. The existing UF scripts call upon these counts.</a:t>
          </a:r>
        </a:p>
      </xdr:txBody>
    </xdr:sp>
    <xdr:clientData/>
  </xdr:twoCellAnchor>
  <xdr:twoCellAnchor>
    <xdr:from>
      <xdr:col>8</xdr:col>
      <xdr:colOff>523875</xdr:colOff>
      <xdr:row>10</xdr:row>
      <xdr:rowOff>161926</xdr:rowOff>
    </xdr:from>
    <xdr:to>
      <xdr:col>12</xdr:col>
      <xdr:colOff>504824</xdr:colOff>
      <xdr:row>15</xdr:row>
      <xdr:rowOff>19050</xdr:rowOff>
    </xdr:to>
    <xdr:sp macro="" textlink="">
      <xdr:nvSpPr>
        <xdr:cNvPr id="25" name="TextBox 24"/>
        <xdr:cNvSpPr txBox="1"/>
      </xdr:nvSpPr>
      <xdr:spPr>
        <a:xfrm>
          <a:off x="7781925" y="2324101"/>
          <a:ext cx="4552949" cy="1590674"/>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050"/>
            <a:t>RETROFIT</a:t>
          </a:r>
          <a:r>
            <a:rPr lang="en-US" sz="1050" baseline="0"/>
            <a:t> and REPLACEMENT RATES.  These can be defined by building type and region (or climate zone, or other geography). Both existing and new buildings can be retrofitted, though to different standards. Existing buildings can also be brought up to the standards of new construction through replacement or major renovation, which are bundled together in a single rate. </a:t>
          </a:r>
        </a:p>
        <a:p>
          <a:endParaRPr lang="en-US" sz="1050" baseline="0"/>
        </a:p>
        <a:p>
          <a:r>
            <a:rPr lang="en-US" sz="1050" baseline="0"/>
            <a:t>Redevelopment occurs as a function of scenario land use.  Redevelopment results in new growth units, and loss of existing units. </a:t>
          </a:r>
          <a:endParaRPr lang="en-US" sz="1050"/>
        </a:p>
      </xdr:txBody>
    </xdr:sp>
    <xdr:clientData/>
  </xdr:twoCellAnchor>
  <xdr:twoCellAnchor>
    <xdr:from>
      <xdr:col>13</xdr:col>
      <xdr:colOff>428625</xdr:colOff>
      <xdr:row>42</xdr:row>
      <xdr:rowOff>9525</xdr:rowOff>
    </xdr:from>
    <xdr:to>
      <xdr:col>13</xdr:col>
      <xdr:colOff>447675</xdr:colOff>
      <xdr:row>65</xdr:row>
      <xdr:rowOff>123825</xdr:rowOff>
    </xdr:to>
    <xdr:cxnSp macro="">
      <xdr:nvCxnSpPr>
        <xdr:cNvPr id="31" name="Straight Arrow Connector 30"/>
        <xdr:cNvCxnSpPr/>
      </xdr:nvCxnSpPr>
      <xdr:spPr>
        <a:xfrm>
          <a:off x="12868275" y="8963025"/>
          <a:ext cx="19050" cy="4495800"/>
        </a:xfrm>
        <a:prstGeom prst="straightConnector1">
          <a:avLst/>
        </a:prstGeom>
        <a:ln w="19050">
          <a:solidFill>
            <a:schemeClr val="tx1">
              <a:lumMod val="75000"/>
              <a:lumOff val="2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428625</xdr:colOff>
      <xdr:row>52</xdr:row>
      <xdr:rowOff>180976</xdr:rowOff>
    </xdr:from>
    <xdr:to>
      <xdr:col>13</xdr:col>
      <xdr:colOff>295275</xdr:colOff>
      <xdr:row>63</xdr:row>
      <xdr:rowOff>133350</xdr:rowOff>
    </xdr:to>
    <xdr:sp macro="" textlink="">
      <xdr:nvSpPr>
        <xdr:cNvPr id="34" name="TextBox 33"/>
        <xdr:cNvSpPr txBox="1"/>
      </xdr:nvSpPr>
      <xdr:spPr>
        <a:xfrm>
          <a:off x="9020175" y="10982326"/>
          <a:ext cx="3714750" cy="2047874"/>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050"/>
            <a:t>We may be able to use the same framework</a:t>
          </a:r>
          <a:r>
            <a:rPr lang="en-US" sz="1050" baseline="0"/>
            <a:t> if</a:t>
          </a:r>
          <a:r>
            <a:rPr lang="en-US" sz="1050"/>
            <a:t> we segment building</a:t>
          </a:r>
          <a:r>
            <a:rPr lang="en-US" sz="1050" baseline="0"/>
            <a:t> energy use (and their corresponding reduction factors) as the TAC group suggested.  This may involve the use of tables of reduction factors for each energy category (such as heating/cooling, water end uses, plug loads, etc...). These sub-factors can be applied individually, or added together and applied as a composite factor.</a:t>
          </a:r>
        </a:p>
        <a:p>
          <a:endParaRPr lang="en-US" sz="1050" baseline="0"/>
        </a:p>
        <a:p>
          <a:r>
            <a:rPr lang="en-US" sz="1050" baseline="0"/>
            <a:t>It seems like it would be difficult to segment the baseline energy use factors themselves, given the assumptions that we make about building turnover, but perhaps this is possible... Would it be worthwhile?</a:t>
          </a:r>
          <a:endParaRPr lang="en-US" sz="105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104775</xdr:colOff>
      <xdr:row>8</xdr:row>
      <xdr:rowOff>0</xdr:rowOff>
    </xdr:from>
    <xdr:to>
      <xdr:col>22</xdr:col>
      <xdr:colOff>314325</xdr:colOff>
      <xdr:row>27</xdr:row>
      <xdr:rowOff>180975</xdr:rowOff>
    </xdr:to>
    <xdr:sp macro="" textlink="">
      <xdr:nvSpPr>
        <xdr:cNvPr id="4" name="TextBox 3"/>
        <xdr:cNvSpPr txBox="1"/>
      </xdr:nvSpPr>
      <xdr:spPr>
        <a:xfrm>
          <a:off x="14049375" y="3314700"/>
          <a:ext cx="4476750" cy="3800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spreadsheet</a:t>
          </a:r>
          <a:r>
            <a:rPr lang="en-US" sz="1100" baseline="0"/>
            <a:t> runs through the calculations that quantify building stock changes and energy use for new buildings in each year. New buildings are those built to serve growth after the base year, including those built through redevelopment as well as those that are subsequently retrofitted.</a:t>
          </a:r>
        </a:p>
        <a:p>
          <a:endParaRPr lang="en-US" sz="1100" baseline="0"/>
        </a:p>
        <a:p>
          <a:r>
            <a:rPr lang="en-US" sz="1100" baseline="0"/>
            <a:t>These operations need to be executed separately for each building type/energy type/climate zone (potentially) combination.  (For example, Residential Small Lot/Electricity/Zone 3, Residential Small Lot/Gas/Zone 3, </a:t>
          </a:r>
          <a:r>
            <a:rPr lang="en-US" sz="1100" baseline="0">
              <a:solidFill>
                <a:schemeClr val="dk1"/>
              </a:solidFill>
              <a:effectLst/>
              <a:latin typeface="+mn-lt"/>
              <a:ea typeface="+mn-ea"/>
              <a:cs typeface="+mn-cs"/>
            </a:rPr>
            <a:t>Residential Small Lot/Electricity/Zone 4, Residential Small Lot/Gas/Zone 4, etc...)</a:t>
          </a:r>
          <a:endParaRPr lang="en-US" sz="1100" baseline="0"/>
        </a:p>
        <a:p>
          <a:endParaRPr lang="en-US" sz="1100" baseline="0"/>
        </a:p>
        <a:p>
          <a:r>
            <a:rPr lang="en-US" sz="1100" baseline="0"/>
            <a:t>Unless otherwise specified, it is assumed that new growth follows a consistent average growth rate over time.  The average growth rate is derived from the total end-state number of units (existing plus new) and the base-year number of units (2010 existing).</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22</xdr:row>
      <xdr:rowOff>0</xdr:rowOff>
    </xdr:from>
    <xdr:to>
      <xdr:col>18</xdr:col>
      <xdr:colOff>465044</xdr:colOff>
      <xdr:row>37</xdr:row>
      <xdr:rowOff>189380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3</xdr:row>
      <xdr:rowOff>0</xdr:rowOff>
    </xdr:from>
    <xdr:to>
      <xdr:col>18</xdr:col>
      <xdr:colOff>465044</xdr:colOff>
      <xdr:row>18</xdr:row>
      <xdr:rowOff>189380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alifornia%20Vision%2008-29/05)%20Scenario%20Development/02)%20Model%20Development/Model%20Metrics/Energy%20Water/Urban%20Footprint%20Energy%20and%20Water%20Schema%20-%2022%20Dec%2020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
      <sheetName val="Assumption Values"/>
      <sheetName val="Assumption Lookup Tables"/>
      <sheetName val="Formulas"/>
      <sheetName val="Policies"/>
      <sheetName val="Qs"/>
    </sheetNames>
    <sheetDataSet>
      <sheetData sheetId="0"/>
      <sheetData sheetId="1">
        <row r="2">
          <cell r="C2">
            <v>5</v>
          </cell>
        </row>
        <row r="3">
          <cell r="C3">
            <v>3</v>
          </cell>
        </row>
        <row r="4">
          <cell r="C4">
            <v>1</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7"/>
  <sheetViews>
    <sheetView tabSelected="1" zoomScaleNormal="100" workbookViewId="0">
      <selection activeCell="O12" sqref="O12"/>
    </sheetView>
  </sheetViews>
  <sheetFormatPr defaultRowHeight="15" x14ac:dyDescent="0.25"/>
  <cols>
    <col min="1" max="1" width="33.85546875" style="2" customWidth="1"/>
    <col min="2" max="2" width="10.7109375" customWidth="1"/>
    <col min="3" max="7" width="10" customWidth="1"/>
    <col min="8" max="8" width="14.28515625" customWidth="1"/>
    <col min="9" max="10" width="10" customWidth="1"/>
    <col min="11" max="11" width="15.140625" customWidth="1"/>
    <col min="12" max="12" width="33.42578125" customWidth="1"/>
    <col min="14" max="14" width="12.85546875" bestFit="1" customWidth="1"/>
    <col min="15" max="15" width="9.85546875" bestFit="1" customWidth="1"/>
    <col min="16" max="48" width="9.140625" customWidth="1"/>
  </cols>
  <sheetData>
    <row r="1" spans="1:15" s="1" customFormat="1" ht="21" customHeight="1" x14ac:dyDescent="0.3">
      <c r="A1" s="160" t="s">
        <v>69</v>
      </c>
    </row>
    <row r="2" spans="1:15" x14ac:dyDescent="0.25">
      <c r="A2" s="111">
        <v>41303</v>
      </c>
    </row>
    <row r="3" spans="1:15" s="14" customFormat="1" x14ac:dyDescent="0.25">
      <c r="A3" s="193"/>
      <c r="B3" s="193"/>
      <c r="C3" s="193"/>
      <c r="D3" s="193"/>
      <c r="E3" s="193"/>
      <c r="F3" s="193"/>
    </row>
    <row r="4" spans="1:15" ht="18.75" customHeight="1" x14ac:dyDescent="0.25">
      <c r="A4" s="113" t="s">
        <v>85</v>
      </c>
      <c r="B4" s="51" t="s">
        <v>0</v>
      </c>
      <c r="C4" s="51" t="s">
        <v>1</v>
      </c>
      <c r="D4" s="51" t="s">
        <v>2</v>
      </c>
      <c r="E4" s="51" t="s">
        <v>3</v>
      </c>
      <c r="F4" s="82" t="s">
        <v>12</v>
      </c>
      <c r="H4" s="112" t="s">
        <v>71</v>
      </c>
    </row>
    <row r="5" spans="1:15" x14ac:dyDescent="0.25">
      <c r="A5" s="114" t="s">
        <v>75</v>
      </c>
      <c r="B5" s="98">
        <v>70000</v>
      </c>
      <c r="C5" s="98">
        <v>50000</v>
      </c>
      <c r="D5" s="98">
        <v>20000</v>
      </c>
      <c r="E5" s="98">
        <v>60000</v>
      </c>
      <c r="F5" s="115">
        <f>SUM(B5:E5)</f>
        <v>200000</v>
      </c>
      <c r="H5" s="103">
        <v>200000</v>
      </c>
    </row>
    <row r="6" spans="1:15" x14ac:dyDescent="0.25">
      <c r="A6" s="116" t="s">
        <v>76</v>
      </c>
      <c r="B6" s="5"/>
      <c r="C6" s="5"/>
      <c r="D6" s="5"/>
      <c r="E6" s="5"/>
      <c r="F6" s="83"/>
      <c r="H6" s="104"/>
    </row>
    <row r="7" spans="1:15" ht="25.5" x14ac:dyDescent="0.25">
      <c r="A7" s="117" t="s">
        <v>13</v>
      </c>
      <c r="B7" s="99">
        <v>10000</v>
      </c>
      <c r="C7" s="99">
        <v>40000</v>
      </c>
      <c r="D7" s="99">
        <v>20000</v>
      </c>
      <c r="E7" s="99">
        <v>30000</v>
      </c>
      <c r="F7" s="118">
        <f t="shared" ref="F7:F10" si="0">SUM(B7:E7)</f>
        <v>100000</v>
      </c>
      <c r="H7" s="105">
        <v>100000</v>
      </c>
    </row>
    <row r="8" spans="1:15" x14ac:dyDescent="0.25">
      <c r="A8" s="117" t="s">
        <v>14</v>
      </c>
      <c r="B8" s="99">
        <v>5000</v>
      </c>
      <c r="C8" s="99">
        <v>5000</v>
      </c>
      <c r="D8" s="99">
        <v>0</v>
      </c>
      <c r="E8" s="99">
        <v>10000</v>
      </c>
      <c r="F8" s="118">
        <f t="shared" si="0"/>
        <v>20000</v>
      </c>
      <c r="H8" s="105">
        <v>20000</v>
      </c>
    </row>
    <row r="9" spans="1:15" x14ac:dyDescent="0.25">
      <c r="A9" s="117" t="s">
        <v>4</v>
      </c>
      <c r="B9" s="100">
        <f>B5-B8</f>
        <v>65000</v>
      </c>
      <c r="C9" s="100">
        <f t="shared" ref="C9:E9" si="1">C5-C8</f>
        <v>45000</v>
      </c>
      <c r="D9" s="100">
        <f t="shared" si="1"/>
        <v>20000</v>
      </c>
      <c r="E9" s="71">
        <f t="shared" si="1"/>
        <v>50000</v>
      </c>
      <c r="F9" s="84">
        <f t="shared" si="0"/>
        <v>180000</v>
      </c>
      <c r="H9" s="106">
        <v>180000</v>
      </c>
    </row>
    <row r="10" spans="1:15" x14ac:dyDescent="0.25">
      <c r="A10" s="119" t="s">
        <v>77</v>
      </c>
      <c r="B10" s="120">
        <f>SUM(B7,B9)</f>
        <v>75000</v>
      </c>
      <c r="C10" s="120">
        <f t="shared" ref="C10:E10" si="2">SUM(C7,C9)</f>
        <v>85000</v>
      </c>
      <c r="D10" s="120">
        <f t="shared" si="2"/>
        <v>40000</v>
      </c>
      <c r="E10" s="121">
        <f t="shared" si="2"/>
        <v>80000</v>
      </c>
      <c r="F10" s="85">
        <f t="shared" si="0"/>
        <v>280000</v>
      </c>
      <c r="H10" s="107">
        <v>280000</v>
      </c>
    </row>
    <row r="11" spans="1:15" x14ac:dyDescent="0.25">
      <c r="F11" s="4"/>
      <c r="H11" s="108"/>
      <c r="I11" s="72"/>
      <c r="J11" s="72"/>
      <c r="K11" s="72"/>
      <c r="L11" s="72"/>
    </row>
    <row r="12" spans="1:15" ht="30" x14ac:dyDescent="0.25">
      <c r="A12" s="113" t="s">
        <v>86</v>
      </c>
      <c r="B12" s="51" t="s">
        <v>0</v>
      </c>
      <c r="C12" s="51" t="s">
        <v>1</v>
      </c>
      <c r="D12" s="51" t="s">
        <v>2</v>
      </c>
      <c r="E12" s="51" t="s">
        <v>3</v>
      </c>
      <c r="F12" s="122" t="s">
        <v>15</v>
      </c>
      <c r="H12" s="108"/>
      <c r="I12" s="72"/>
      <c r="J12" s="72"/>
      <c r="K12" s="72"/>
      <c r="L12" s="72"/>
      <c r="O12" s="169"/>
    </row>
    <row r="13" spans="1:15" ht="26.25" x14ac:dyDescent="0.25">
      <c r="A13" s="123" t="s">
        <v>11</v>
      </c>
      <c r="B13" s="101">
        <v>6.0000000000000001E-3</v>
      </c>
      <c r="C13" s="101">
        <v>6.0000000000000001E-3</v>
      </c>
      <c r="D13" s="101">
        <v>6.0000000000000001E-3</v>
      </c>
      <c r="E13" s="101">
        <v>6.0000000000000001E-3</v>
      </c>
      <c r="F13" s="124">
        <v>6.0000000000000001E-3</v>
      </c>
      <c r="H13" s="96">
        <v>6.0000000000000001E-3</v>
      </c>
      <c r="I13" s="72"/>
      <c r="J13" s="72"/>
      <c r="K13" s="72"/>
      <c r="L13" s="72"/>
    </row>
    <row r="14" spans="1:15" ht="39" x14ac:dyDescent="0.25">
      <c r="A14" s="123" t="s">
        <v>70</v>
      </c>
      <c r="B14" s="101">
        <v>2.9000000000000001E-2</v>
      </c>
      <c r="C14" s="101">
        <v>2.9000000000000001E-2</v>
      </c>
      <c r="D14" s="101">
        <v>2.9000000000000001E-2</v>
      </c>
      <c r="E14" s="101">
        <v>2.9000000000000001E-2</v>
      </c>
      <c r="F14" s="124">
        <v>2.9000000000000001E-2</v>
      </c>
      <c r="H14" s="96">
        <v>2.9000000000000001E-2</v>
      </c>
      <c r="I14" s="72"/>
      <c r="J14" s="72"/>
      <c r="K14" s="72"/>
      <c r="L14" s="72"/>
    </row>
    <row r="15" spans="1:15" ht="26.25" x14ac:dyDescent="0.25">
      <c r="A15" s="125" t="s">
        <v>10</v>
      </c>
      <c r="B15" s="102">
        <v>9.4999999999999998E-3</v>
      </c>
      <c r="C15" s="102">
        <v>9.4999999999999998E-3</v>
      </c>
      <c r="D15" s="102">
        <v>9.4999999999999998E-3</v>
      </c>
      <c r="E15" s="102">
        <v>9.4999999999999998E-3</v>
      </c>
      <c r="F15" s="126">
        <v>9.4999999999999998E-3</v>
      </c>
      <c r="H15" s="97">
        <v>9.4999999999999998E-3</v>
      </c>
      <c r="I15" s="72"/>
      <c r="J15" s="72"/>
      <c r="K15" s="72"/>
      <c r="L15" s="72"/>
    </row>
    <row r="16" spans="1:15" x14ac:dyDescent="0.25">
      <c r="I16" s="72"/>
      <c r="J16" s="72"/>
      <c r="K16" s="72"/>
      <c r="L16" s="72"/>
    </row>
    <row r="17" spans="1:12" hidden="1" x14ac:dyDescent="0.25">
      <c r="A17" s="14" t="s">
        <v>17</v>
      </c>
      <c r="I17" s="72"/>
      <c r="J17" s="72"/>
      <c r="K17" s="72"/>
      <c r="L17" s="72"/>
    </row>
    <row r="18" spans="1:12" x14ac:dyDescent="0.25">
      <c r="A18" s="14"/>
      <c r="I18" s="72"/>
      <c r="J18" s="72"/>
      <c r="K18" s="72"/>
      <c r="L18" s="72"/>
    </row>
    <row r="19" spans="1:12" ht="18.75" customHeight="1" x14ac:dyDescent="0.25">
      <c r="A19" s="127" t="s">
        <v>32</v>
      </c>
      <c r="B19" s="128"/>
      <c r="C19" s="128"/>
      <c r="D19" s="128"/>
      <c r="E19" s="128"/>
      <c r="F19" s="129"/>
    </row>
    <row r="20" spans="1:12" x14ac:dyDescent="0.25">
      <c r="A20" s="135" t="s">
        <v>30</v>
      </c>
      <c r="B20" s="168">
        <v>2010</v>
      </c>
      <c r="C20" s="136"/>
      <c r="D20" s="136"/>
      <c r="E20" s="136"/>
      <c r="F20" s="137"/>
    </row>
    <row r="21" spans="1:12" x14ac:dyDescent="0.25">
      <c r="A21" s="135" t="s">
        <v>31</v>
      </c>
      <c r="B21" s="168">
        <v>2050</v>
      </c>
      <c r="C21" s="136"/>
      <c r="D21" s="136"/>
      <c r="E21" s="136"/>
      <c r="F21" s="137"/>
    </row>
    <row r="22" spans="1:12" x14ac:dyDescent="0.25">
      <c r="A22" s="135"/>
      <c r="B22" s="138" t="s">
        <v>0</v>
      </c>
      <c r="C22" s="138" t="s">
        <v>1</v>
      </c>
      <c r="D22" s="138" t="s">
        <v>2</v>
      </c>
      <c r="E22" s="138" t="s">
        <v>3</v>
      </c>
      <c r="F22" s="139" t="s">
        <v>12</v>
      </c>
      <c r="H22" s="112" t="s">
        <v>81</v>
      </c>
    </row>
    <row r="23" spans="1:12" x14ac:dyDescent="0.25">
      <c r="A23" s="123" t="s">
        <v>6</v>
      </c>
      <c r="B23" s="130">
        <v>1061.9632294664291</v>
      </c>
      <c r="C23" s="130">
        <v>3924.8896974172776</v>
      </c>
      <c r="D23" s="130">
        <v>1925.3953601962482</v>
      </c>
      <c r="E23" s="130">
        <v>3040.498257405814</v>
      </c>
      <c r="F23" s="131">
        <f>SUM(B23:E23)</f>
        <v>9952.7465444857698</v>
      </c>
      <c r="G23" s="38"/>
      <c r="H23" s="109">
        <f>'New Buildings'!E44</f>
        <v>10134.994191352711</v>
      </c>
      <c r="K23" s="95"/>
    </row>
    <row r="24" spans="1:12" x14ac:dyDescent="0.25">
      <c r="A24" s="123" t="s">
        <v>5</v>
      </c>
      <c r="B24" s="130">
        <v>8938.0367705334884</v>
      </c>
      <c r="C24" s="130">
        <v>36075.110302582798</v>
      </c>
      <c r="D24" s="130">
        <v>18074.604639803594</v>
      </c>
      <c r="E24" s="130">
        <v>26959.501742594191</v>
      </c>
      <c r="F24" s="131">
        <f t="shared" ref="F24:F27" si="3">SUM(B24:E24)</f>
        <v>90047.253455514074</v>
      </c>
      <c r="G24" s="38"/>
      <c r="H24" s="109">
        <f>'New Buildings'!F44</f>
        <v>89865.0058086473</v>
      </c>
      <c r="K24" s="95"/>
    </row>
    <row r="25" spans="1:12" x14ac:dyDescent="0.25">
      <c r="A25" s="123" t="s">
        <v>8</v>
      </c>
      <c r="B25" s="130">
        <v>15222.852766345854</v>
      </c>
      <c r="C25" s="130">
        <v>10690.075075575724</v>
      </c>
      <c r="D25" s="130">
        <v>4532.7776907701345</v>
      </c>
      <c r="E25" s="130">
        <v>12314.594769611182</v>
      </c>
      <c r="F25" s="131">
        <f t="shared" si="3"/>
        <v>42760.300302302894</v>
      </c>
      <c r="H25" s="109">
        <f>'Existing Buildings'!G45</f>
        <v>42760.300302302894</v>
      </c>
      <c r="K25" s="95"/>
    </row>
    <row r="26" spans="1:12" x14ac:dyDescent="0.25">
      <c r="A26" s="123" t="s">
        <v>7</v>
      </c>
      <c r="B26" s="130">
        <v>46324.761076213661</v>
      </c>
      <c r="C26" s="130">
        <v>32487.86075702064</v>
      </c>
      <c r="D26" s="130">
        <v>13836.900319193041</v>
      </c>
      <c r="E26" s="130">
        <v>37301.920875655167</v>
      </c>
      <c r="F26" s="131">
        <f t="shared" si="3"/>
        <v>129951.4430280825</v>
      </c>
      <c r="H26" s="109">
        <f>SUM('Existing Buildings'!B5:B45)</f>
        <v>129951.44302808256</v>
      </c>
      <c r="K26" s="95"/>
    </row>
    <row r="27" spans="1:12" x14ac:dyDescent="0.25">
      <c r="A27" s="123" t="s">
        <v>9</v>
      </c>
      <c r="B27" s="130">
        <v>3452.3861574404709</v>
      </c>
      <c r="C27" s="130">
        <v>1822.0641674036451</v>
      </c>
      <c r="D27" s="130">
        <v>1630.3219900368204</v>
      </c>
      <c r="E27" s="130">
        <v>383.48435473363497</v>
      </c>
      <c r="F27" s="131">
        <f t="shared" si="3"/>
        <v>7288.2566696145714</v>
      </c>
      <c r="H27" s="109">
        <f>'Existing Buildings'!J45</f>
        <v>7288.2566696145805</v>
      </c>
      <c r="K27" s="95"/>
    </row>
    <row r="28" spans="1:12" x14ac:dyDescent="0.25">
      <c r="A28" s="132" t="s">
        <v>16</v>
      </c>
      <c r="B28" s="133">
        <f>SUM(B23:B27)</f>
        <v>74999.999999999898</v>
      </c>
      <c r="C28" s="133">
        <f>SUM(C23:C27)</f>
        <v>85000.000000000087</v>
      </c>
      <c r="D28" s="133">
        <f>SUM(D23:D27)</f>
        <v>39999.99999999984</v>
      </c>
      <c r="E28" s="133">
        <f>SUM(E23:E27)</f>
        <v>80000</v>
      </c>
      <c r="F28" s="134">
        <f>SUM(F23:F27)</f>
        <v>279999.99999999983</v>
      </c>
      <c r="H28" s="110">
        <f>SUM(H23:H27)</f>
        <v>280000.00000000006</v>
      </c>
    </row>
    <row r="30" spans="1:12" x14ac:dyDescent="0.25">
      <c r="A30" s="140" t="s">
        <v>18</v>
      </c>
      <c r="B30" s="128"/>
      <c r="C30" s="128"/>
      <c r="D30" s="128"/>
      <c r="E30" s="128"/>
      <c r="F30" s="128"/>
      <c r="G30" s="128"/>
      <c r="H30" s="128"/>
      <c r="I30" s="128"/>
      <c r="J30" s="129"/>
    </row>
    <row r="31" spans="1:12" x14ac:dyDescent="0.25">
      <c r="A31" s="141"/>
      <c r="B31" s="72"/>
      <c r="C31" s="173" t="s">
        <v>84</v>
      </c>
      <c r="D31" s="181"/>
      <c r="E31" s="181"/>
      <c r="F31" s="181"/>
      <c r="G31" s="181"/>
      <c r="H31" s="181"/>
      <c r="I31" s="181"/>
      <c r="J31" s="174"/>
    </row>
    <row r="32" spans="1:12" x14ac:dyDescent="0.25">
      <c r="A32" s="142" t="s">
        <v>28</v>
      </c>
      <c r="B32" s="3"/>
      <c r="C32" s="191" t="s">
        <v>0</v>
      </c>
      <c r="D32" s="192"/>
      <c r="E32" s="191" t="s">
        <v>1</v>
      </c>
      <c r="F32" s="192"/>
      <c r="G32" s="191" t="s">
        <v>26</v>
      </c>
      <c r="H32" s="192"/>
      <c r="I32" s="194" t="s">
        <v>27</v>
      </c>
      <c r="J32" s="192"/>
    </row>
    <row r="33" spans="1:14" x14ac:dyDescent="0.25">
      <c r="A33" s="114"/>
      <c r="B33" s="15"/>
      <c r="C33" s="18" t="s">
        <v>24</v>
      </c>
      <c r="D33" s="20" t="s">
        <v>25</v>
      </c>
      <c r="E33" s="18" t="s">
        <v>24</v>
      </c>
      <c r="F33" s="20" t="s">
        <v>25</v>
      </c>
      <c r="G33" s="18" t="s">
        <v>24</v>
      </c>
      <c r="H33" s="20" t="s">
        <v>25</v>
      </c>
      <c r="I33" s="19" t="s">
        <v>24</v>
      </c>
      <c r="J33" s="20" t="s">
        <v>25</v>
      </c>
      <c r="L33" s="188" t="s">
        <v>79</v>
      </c>
      <c r="M33" s="189"/>
      <c r="N33" s="190"/>
    </row>
    <row r="34" spans="1:14" x14ac:dyDescent="0.25">
      <c r="A34" s="141"/>
      <c r="B34" s="143"/>
      <c r="C34" s="182" t="s">
        <v>21</v>
      </c>
      <c r="D34" s="183"/>
      <c r="E34" s="183"/>
      <c r="F34" s="183"/>
      <c r="G34" s="183"/>
      <c r="H34" s="183"/>
      <c r="I34" s="183"/>
      <c r="J34" s="184"/>
      <c r="L34" s="170" t="s">
        <v>19</v>
      </c>
      <c r="M34" s="21">
        <v>2020</v>
      </c>
      <c r="N34" s="91">
        <v>-0.25</v>
      </c>
    </row>
    <row r="35" spans="1:14" ht="15" customHeight="1" x14ac:dyDescent="0.25">
      <c r="A35" s="170" t="s">
        <v>61</v>
      </c>
      <c r="B35" s="21">
        <v>2020</v>
      </c>
      <c r="C35" s="24">
        <v>-0.2</v>
      </c>
      <c r="D35" s="25">
        <v>-0.2</v>
      </c>
      <c r="E35" s="24">
        <v>-0.2</v>
      </c>
      <c r="F35" s="25">
        <v>-0.2</v>
      </c>
      <c r="G35" s="24">
        <v>-0.2</v>
      </c>
      <c r="H35" s="25">
        <v>-0.2</v>
      </c>
      <c r="I35" s="24">
        <v>-0.2</v>
      </c>
      <c r="J35" s="25">
        <v>-0.2</v>
      </c>
      <c r="L35" s="171"/>
      <c r="M35" s="22">
        <v>2035</v>
      </c>
      <c r="N35" s="92">
        <v>-0.3</v>
      </c>
    </row>
    <row r="36" spans="1:14" ht="15" customHeight="1" x14ac:dyDescent="0.25">
      <c r="A36" s="171"/>
      <c r="B36" s="22">
        <v>2035</v>
      </c>
      <c r="C36" s="26">
        <v>-0.3</v>
      </c>
      <c r="D36" s="27">
        <v>-0.3</v>
      </c>
      <c r="E36" s="26">
        <v>-0.3</v>
      </c>
      <c r="F36" s="27">
        <v>-0.3</v>
      </c>
      <c r="G36" s="26">
        <v>-0.3</v>
      </c>
      <c r="H36" s="27">
        <v>-0.3</v>
      </c>
      <c r="I36" s="26">
        <v>-0.3</v>
      </c>
      <c r="J36" s="27">
        <v>-0.3</v>
      </c>
      <c r="K36" s="16"/>
      <c r="L36" s="172"/>
      <c r="M36" s="23">
        <v>2050</v>
      </c>
      <c r="N36" s="93">
        <v>-0.35</v>
      </c>
    </row>
    <row r="37" spans="1:14" ht="15" customHeight="1" x14ac:dyDescent="0.25">
      <c r="A37" s="172"/>
      <c r="B37" s="23">
        <v>2050</v>
      </c>
      <c r="C37" s="28">
        <v>-0.4</v>
      </c>
      <c r="D37" s="29">
        <v>-0.4</v>
      </c>
      <c r="E37" s="28">
        <v>-0.4</v>
      </c>
      <c r="F37" s="29">
        <v>-0.4</v>
      </c>
      <c r="G37" s="28">
        <v>-0.4</v>
      </c>
      <c r="H37" s="29">
        <v>-0.4</v>
      </c>
      <c r="I37" s="28">
        <v>-0.4</v>
      </c>
      <c r="J37" s="29">
        <v>-0.4</v>
      </c>
      <c r="K37" s="16"/>
      <c r="L37" s="175" t="s">
        <v>63</v>
      </c>
      <c r="M37" s="21">
        <v>2020</v>
      </c>
      <c r="N37" s="92">
        <f>N34-0.15</f>
        <v>-0.4</v>
      </c>
    </row>
    <row r="38" spans="1:14" ht="15" customHeight="1" x14ac:dyDescent="0.25">
      <c r="A38" s="175" t="s">
        <v>63</v>
      </c>
      <c r="B38" s="21">
        <v>2020</v>
      </c>
      <c r="C38" s="26">
        <f>C35-0.15</f>
        <v>-0.35</v>
      </c>
      <c r="D38" s="27">
        <f t="shared" ref="D38:J38" si="4">D35-0.15</f>
        <v>-0.35</v>
      </c>
      <c r="E38" s="26">
        <f t="shared" si="4"/>
        <v>-0.35</v>
      </c>
      <c r="F38" s="27">
        <f t="shared" si="4"/>
        <v>-0.35</v>
      </c>
      <c r="G38" s="26">
        <f t="shared" si="4"/>
        <v>-0.35</v>
      </c>
      <c r="H38" s="27">
        <f t="shared" si="4"/>
        <v>-0.35</v>
      </c>
      <c r="I38" s="26">
        <f t="shared" si="4"/>
        <v>-0.35</v>
      </c>
      <c r="J38" s="27">
        <f t="shared" si="4"/>
        <v>-0.35</v>
      </c>
      <c r="L38" s="176"/>
      <c r="M38" s="22">
        <v>2035</v>
      </c>
      <c r="N38" s="92">
        <f>N35-0.15</f>
        <v>-0.44999999999999996</v>
      </c>
    </row>
    <row r="39" spans="1:14" ht="15" customHeight="1" x14ac:dyDescent="0.25">
      <c r="A39" s="176"/>
      <c r="B39" s="22">
        <v>2035</v>
      </c>
      <c r="C39" s="26">
        <f t="shared" ref="C39:C40" si="5">C36-0.15</f>
        <v>-0.44999999999999996</v>
      </c>
      <c r="D39" s="27">
        <f t="shared" ref="D39:J39" si="6">D36-0.15</f>
        <v>-0.44999999999999996</v>
      </c>
      <c r="E39" s="26">
        <f t="shared" si="6"/>
        <v>-0.44999999999999996</v>
      </c>
      <c r="F39" s="27">
        <f t="shared" si="6"/>
        <v>-0.44999999999999996</v>
      </c>
      <c r="G39" s="26">
        <f t="shared" si="6"/>
        <v>-0.44999999999999996</v>
      </c>
      <c r="H39" s="27">
        <f t="shared" si="6"/>
        <v>-0.44999999999999996</v>
      </c>
      <c r="I39" s="26">
        <f t="shared" si="6"/>
        <v>-0.44999999999999996</v>
      </c>
      <c r="J39" s="27">
        <f t="shared" si="6"/>
        <v>-0.44999999999999996</v>
      </c>
      <c r="L39" s="177"/>
      <c r="M39" s="23">
        <v>2050</v>
      </c>
      <c r="N39" s="92">
        <f>N36-0.15</f>
        <v>-0.5</v>
      </c>
    </row>
    <row r="40" spans="1:14" ht="15" customHeight="1" x14ac:dyDescent="0.25">
      <c r="A40" s="177"/>
      <c r="B40" s="23">
        <v>2050</v>
      </c>
      <c r="C40" s="26">
        <f t="shared" si="5"/>
        <v>-0.55000000000000004</v>
      </c>
      <c r="D40" s="27">
        <f t="shared" ref="D40:J40" si="7">D37-0.15</f>
        <v>-0.55000000000000004</v>
      </c>
      <c r="E40" s="26">
        <f t="shared" si="7"/>
        <v>-0.55000000000000004</v>
      </c>
      <c r="F40" s="27">
        <f t="shared" si="7"/>
        <v>-0.55000000000000004</v>
      </c>
      <c r="G40" s="26">
        <f t="shared" si="7"/>
        <v>-0.55000000000000004</v>
      </c>
      <c r="H40" s="27">
        <f t="shared" si="7"/>
        <v>-0.55000000000000004</v>
      </c>
      <c r="I40" s="26">
        <f t="shared" si="7"/>
        <v>-0.55000000000000004</v>
      </c>
      <c r="J40" s="27">
        <f t="shared" si="7"/>
        <v>-0.55000000000000004</v>
      </c>
      <c r="K40" s="16"/>
      <c r="L40" s="175" t="s">
        <v>20</v>
      </c>
      <c r="M40" s="21">
        <v>2020</v>
      </c>
      <c r="N40" s="91">
        <v>-0.15</v>
      </c>
    </row>
    <row r="41" spans="1:14" ht="15" customHeight="1" x14ac:dyDescent="0.25">
      <c r="A41" s="175" t="s">
        <v>62</v>
      </c>
      <c r="B41" s="21">
        <v>2020</v>
      </c>
      <c r="C41" s="24">
        <v>-0.1</v>
      </c>
      <c r="D41" s="25">
        <v>-0.1</v>
      </c>
      <c r="E41" s="24">
        <v>-0.1</v>
      </c>
      <c r="F41" s="25">
        <v>-0.1</v>
      </c>
      <c r="G41" s="24">
        <v>-0.1</v>
      </c>
      <c r="H41" s="25">
        <v>-0.1</v>
      </c>
      <c r="I41" s="24">
        <v>-0.1</v>
      </c>
      <c r="J41" s="25">
        <v>-0.1</v>
      </c>
      <c r="K41" s="16"/>
      <c r="L41" s="176"/>
      <c r="M41" s="22">
        <v>2035</v>
      </c>
      <c r="N41" s="92">
        <v>-0.2</v>
      </c>
    </row>
    <row r="42" spans="1:14" ht="15" customHeight="1" x14ac:dyDescent="0.25">
      <c r="A42" s="176"/>
      <c r="B42" s="22">
        <v>2035</v>
      </c>
      <c r="C42" s="26">
        <v>-0.2</v>
      </c>
      <c r="D42" s="27">
        <v>-0.2</v>
      </c>
      <c r="E42" s="26">
        <v>-0.2</v>
      </c>
      <c r="F42" s="27">
        <v>-0.2</v>
      </c>
      <c r="G42" s="26">
        <v>-0.2</v>
      </c>
      <c r="H42" s="27">
        <v>-0.2</v>
      </c>
      <c r="I42" s="26">
        <v>-0.2</v>
      </c>
      <c r="J42" s="27">
        <v>-0.2</v>
      </c>
      <c r="K42" s="16"/>
      <c r="L42" s="177"/>
      <c r="M42" s="23">
        <v>2050</v>
      </c>
      <c r="N42" s="93">
        <v>-0.3</v>
      </c>
    </row>
    <row r="43" spans="1:14" ht="15" customHeight="1" x14ac:dyDescent="0.25">
      <c r="A43" s="177"/>
      <c r="B43" s="23">
        <v>2050</v>
      </c>
      <c r="C43" s="28">
        <v>-0.3</v>
      </c>
      <c r="D43" s="29">
        <v>-0.3</v>
      </c>
      <c r="E43" s="28">
        <v>-0.3</v>
      </c>
      <c r="F43" s="29">
        <v>-0.3</v>
      </c>
      <c r="G43" s="28">
        <v>-0.3</v>
      </c>
      <c r="H43" s="29">
        <v>-0.3</v>
      </c>
      <c r="I43" s="28">
        <v>-0.3</v>
      </c>
      <c r="J43" s="29">
        <v>-0.3</v>
      </c>
      <c r="K43" s="16"/>
    </row>
    <row r="44" spans="1:14" ht="15" customHeight="1" x14ac:dyDescent="0.25">
      <c r="A44" s="144"/>
      <c r="B44" s="143"/>
      <c r="C44" s="185" t="s">
        <v>22</v>
      </c>
      <c r="D44" s="186"/>
      <c r="E44" s="186"/>
      <c r="F44" s="186"/>
      <c r="G44" s="186"/>
      <c r="H44" s="186"/>
      <c r="I44" s="186"/>
      <c r="J44" s="187"/>
    </row>
    <row r="45" spans="1:14" ht="15" customHeight="1" x14ac:dyDescent="0.25">
      <c r="A45" s="170" t="s">
        <v>19</v>
      </c>
      <c r="B45" s="21">
        <v>2020</v>
      </c>
      <c r="C45" s="24">
        <v>-0.25</v>
      </c>
      <c r="D45" s="25">
        <v>-0.25</v>
      </c>
      <c r="E45" s="24">
        <v>-0.25</v>
      </c>
      <c r="F45" s="25">
        <v>-0.25</v>
      </c>
      <c r="G45" s="24">
        <v>-0.25</v>
      </c>
      <c r="H45" s="25">
        <v>-0.25</v>
      </c>
      <c r="I45" s="24">
        <v>-0.25</v>
      </c>
      <c r="J45" s="25">
        <v>-0.25</v>
      </c>
    </row>
    <row r="46" spans="1:14" ht="15" customHeight="1" x14ac:dyDescent="0.25">
      <c r="A46" s="171"/>
      <c r="B46" s="22">
        <v>2035</v>
      </c>
      <c r="C46" s="26">
        <v>-0.3</v>
      </c>
      <c r="D46" s="27">
        <v>-0.3</v>
      </c>
      <c r="E46" s="26">
        <v>-0.3</v>
      </c>
      <c r="F46" s="27">
        <v>-0.3</v>
      </c>
      <c r="G46" s="26">
        <v>-0.3</v>
      </c>
      <c r="H46" s="27">
        <v>-0.3</v>
      </c>
      <c r="I46" s="26">
        <v>-0.3</v>
      </c>
      <c r="J46" s="27">
        <v>-0.3</v>
      </c>
    </row>
    <row r="47" spans="1:14" ht="15" customHeight="1" x14ac:dyDescent="0.25">
      <c r="A47" s="172"/>
      <c r="B47" s="23">
        <v>2050</v>
      </c>
      <c r="C47" s="28">
        <v>-0.35</v>
      </c>
      <c r="D47" s="29">
        <v>-0.35</v>
      </c>
      <c r="E47" s="28">
        <v>-0.35</v>
      </c>
      <c r="F47" s="29">
        <v>-0.35</v>
      </c>
      <c r="G47" s="28">
        <v>-0.35</v>
      </c>
      <c r="H47" s="29">
        <v>-0.35</v>
      </c>
      <c r="I47" s="28">
        <v>-0.35</v>
      </c>
      <c r="J47" s="29">
        <v>-0.35</v>
      </c>
    </row>
    <row r="48" spans="1:14" ht="15" customHeight="1" x14ac:dyDescent="0.25">
      <c r="A48" s="175" t="s">
        <v>63</v>
      </c>
      <c r="B48" s="21">
        <v>2020</v>
      </c>
      <c r="C48" s="26">
        <f>C45-0.15</f>
        <v>-0.4</v>
      </c>
      <c r="D48" s="27">
        <f t="shared" ref="D48:J48" si="8">D45-0.15</f>
        <v>-0.4</v>
      </c>
      <c r="E48" s="26">
        <f t="shared" si="8"/>
        <v>-0.4</v>
      </c>
      <c r="F48" s="27">
        <f t="shared" si="8"/>
        <v>-0.4</v>
      </c>
      <c r="G48" s="26">
        <f t="shared" si="8"/>
        <v>-0.4</v>
      </c>
      <c r="H48" s="27">
        <f t="shared" si="8"/>
        <v>-0.4</v>
      </c>
      <c r="I48" s="26">
        <f t="shared" si="8"/>
        <v>-0.4</v>
      </c>
      <c r="J48" s="27">
        <f t="shared" si="8"/>
        <v>-0.4</v>
      </c>
      <c r="K48" s="67" t="s">
        <v>64</v>
      </c>
    </row>
    <row r="49" spans="1:11" ht="15" customHeight="1" x14ac:dyDescent="0.25">
      <c r="A49" s="176"/>
      <c r="B49" s="22">
        <v>2035</v>
      </c>
      <c r="C49" s="26">
        <f>C46-0.15</f>
        <v>-0.44999999999999996</v>
      </c>
      <c r="D49" s="27">
        <f t="shared" ref="D49:J49" si="9">D46-0.15</f>
        <v>-0.44999999999999996</v>
      </c>
      <c r="E49" s="26">
        <f t="shared" si="9"/>
        <v>-0.44999999999999996</v>
      </c>
      <c r="F49" s="27">
        <f t="shared" si="9"/>
        <v>-0.44999999999999996</v>
      </c>
      <c r="G49" s="26">
        <f t="shared" si="9"/>
        <v>-0.44999999999999996</v>
      </c>
      <c r="H49" s="27">
        <f t="shared" si="9"/>
        <v>-0.44999999999999996</v>
      </c>
      <c r="I49" s="26">
        <f t="shared" si="9"/>
        <v>-0.44999999999999996</v>
      </c>
      <c r="J49" s="27">
        <f t="shared" si="9"/>
        <v>-0.44999999999999996</v>
      </c>
      <c r="K49" s="67" t="s">
        <v>65</v>
      </c>
    </row>
    <row r="50" spans="1:11" ht="15" customHeight="1" x14ac:dyDescent="0.25">
      <c r="A50" s="177"/>
      <c r="B50" s="23">
        <v>2050</v>
      </c>
      <c r="C50" s="26">
        <f>C47-0.15</f>
        <v>-0.5</v>
      </c>
      <c r="D50" s="27">
        <f t="shared" ref="D50:J50" si="10">D47-0.15</f>
        <v>-0.5</v>
      </c>
      <c r="E50" s="26">
        <f t="shared" si="10"/>
        <v>-0.5</v>
      </c>
      <c r="F50" s="27">
        <f t="shared" si="10"/>
        <v>-0.5</v>
      </c>
      <c r="G50" s="26">
        <f t="shared" si="10"/>
        <v>-0.5</v>
      </c>
      <c r="H50" s="27">
        <f t="shared" si="10"/>
        <v>-0.5</v>
      </c>
      <c r="I50" s="26">
        <f t="shared" si="10"/>
        <v>-0.5</v>
      </c>
      <c r="J50" s="27">
        <f t="shared" si="10"/>
        <v>-0.5</v>
      </c>
      <c r="K50" s="16"/>
    </row>
    <row r="51" spans="1:11" ht="15" customHeight="1" x14ac:dyDescent="0.25">
      <c r="A51" s="175" t="s">
        <v>20</v>
      </c>
      <c r="B51" s="21">
        <v>2020</v>
      </c>
      <c r="C51" s="24">
        <v>-0.15</v>
      </c>
      <c r="D51" s="25">
        <v>-0.15</v>
      </c>
      <c r="E51" s="24">
        <v>-0.15</v>
      </c>
      <c r="F51" s="25">
        <v>-0.15</v>
      </c>
      <c r="G51" s="24">
        <v>-0.15</v>
      </c>
      <c r="H51" s="25">
        <v>-0.15</v>
      </c>
      <c r="I51" s="24">
        <v>-0.15</v>
      </c>
      <c r="J51" s="25">
        <v>-0.15</v>
      </c>
    </row>
    <row r="52" spans="1:11" ht="15" customHeight="1" x14ac:dyDescent="0.25">
      <c r="A52" s="176"/>
      <c r="B52" s="22">
        <v>2035</v>
      </c>
      <c r="C52" s="26">
        <v>-0.2</v>
      </c>
      <c r="D52" s="27">
        <v>-0.2</v>
      </c>
      <c r="E52" s="26">
        <v>-0.2</v>
      </c>
      <c r="F52" s="27">
        <v>-0.2</v>
      </c>
      <c r="G52" s="26">
        <v>-0.2</v>
      </c>
      <c r="H52" s="27">
        <v>-0.2</v>
      </c>
      <c r="I52" s="26">
        <v>-0.2</v>
      </c>
      <c r="J52" s="27">
        <v>-0.2</v>
      </c>
    </row>
    <row r="53" spans="1:11" ht="15" customHeight="1" x14ac:dyDescent="0.25">
      <c r="A53" s="177"/>
      <c r="B53" s="23">
        <v>2050</v>
      </c>
      <c r="C53" s="28">
        <v>-0.3</v>
      </c>
      <c r="D53" s="29">
        <v>-0.3</v>
      </c>
      <c r="E53" s="28">
        <v>-0.3</v>
      </c>
      <c r="F53" s="29">
        <v>-0.3</v>
      </c>
      <c r="G53" s="28">
        <v>-0.3</v>
      </c>
      <c r="H53" s="29">
        <v>-0.3</v>
      </c>
      <c r="I53" s="28">
        <v>-0.3</v>
      </c>
      <c r="J53" s="29">
        <v>-0.3</v>
      </c>
    </row>
    <row r="54" spans="1:11" ht="15" customHeight="1" x14ac:dyDescent="0.25">
      <c r="A54" s="144"/>
      <c r="B54" s="143"/>
      <c r="C54" s="178" t="s">
        <v>23</v>
      </c>
      <c r="D54" s="179"/>
      <c r="E54" s="179"/>
      <c r="F54" s="179"/>
      <c r="G54" s="179"/>
      <c r="H54" s="179"/>
      <c r="I54" s="179"/>
      <c r="J54" s="180"/>
    </row>
    <row r="55" spans="1:11" ht="15" customHeight="1" x14ac:dyDescent="0.25">
      <c r="A55" s="170" t="s">
        <v>19</v>
      </c>
      <c r="B55" s="21">
        <v>2020</v>
      </c>
      <c r="C55" s="24">
        <v>-0.5</v>
      </c>
      <c r="D55" s="25">
        <v>-0.65</v>
      </c>
      <c r="E55" s="24">
        <v>-0.5</v>
      </c>
      <c r="F55" s="25">
        <v>-0.65</v>
      </c>
      <c r="G55" s="24">
        <v>-0.5</v>
      </c>
      <c r="H55" s="25">
        <v>-0.65</v>
      </c>
      <c r="I55" s="24">
        <v>-0.5</v>
      </c>
      <c r="J55" s="25">
        <v>-0.65</v>
      </c>
    </row>
    <row r="56" spans="1:11" ht="15" customHeight="1" x14ac:dyDescent="0.25">
      <c r="A56" s="171"/>
      <c r="B56" s="22">
        <v>2035</v>
      </c>
      <c r="C56" s="26">
        <v>-0.65</v>
      </c>
      <c r="D56" s="27">
        <v>-0.8</v>
      </c>
      <c r="E56" s="26">
        <v>-0.65</v>
      </c>
      <c r="F56" s="27">
        <v>-0.8</v>
      </c>
      <c r="G56" s="26">
        <v>-0.65</v>
      </c>
      <c r="H56" s="27">
        <v>-0.8</v>
      </c>
      <c r="I56" s="26">
        <v>-0.65</v>
      </c>
      <c r="J56" s="27">
        <v>-0.8</v>
      </c>
    </row>
    <row r="57" spans="1:11" ht="15" customHeight="1" x14ac:dyDescent="0.25">
      <c r="A57" s="172"/>
      <c r="B57" s="23">
        <v>2050</v>
      </c>
      <c r="C57" s="28">
        <v>-0.8</v>
      </c>
      <c r="D57" s="29">
        <v>-0.95</v>
      </c>
      <c r="E57" s="28">
        <v>-0.8</v>
      </c>
      <c r="F57" s="29">
        <v>-0.95</v>
      </c>
      <c r="G57" s="28">
        <v>-0.8</v>
      </c>
      <c r="H57" s="29">
        <v>-0.95</v>
      </c>
      <c r="I57" s="28">
        <v>-0.8</v>
      </c>
      <c r="J57" s="29">
        <v>-0.95</v>
      </c>
    </row>
    <row r="58" spans="1:11" ht="15" customHeight="1" x14ac:dyDescent="0.25">
      <c r="A58" s="175" t="s">
        <v>63</v>
      </c>
      <c r="B58" s="21">
        <v>2020</v>
      </c>
      <c r="C58" s="26">
        <f>C55-0.15</f>
        <v>-0.65</v>
      </c>
      <c r="D58" s="27">
        <f t="shared" ref="D58:J58" si="11">D55-0.15</f>
        <v>-0.8</v>
      </c>
      <c r="E58" s="26">
        <f t="shared" si="11"/>
        <v>-0.65</v>
      </c>
      <c r="F58" s="27">
        <f t="shared" si="11"/>
        <v>-0.8</v>
      </c>
      <c r="G58" s="26">
        <f t="shared" si="11"/>
        <v>-0.65</v>
      </c>
      <c r="H58" s="27">
        <f t="shared" si="11"/>
        <v>-0.8</v>
      </c>
      <c r="I58" s="26">
        <f t="shared" si="11"/>
        <v>-0.65</v>
      </c>
      <c r="J58" s="27">
        <f t="shared" si="11"/>
        <v>-0.8</v>
      </c>
      <c r="K58" s="67"/>
    </row>
    <row r="59" spans="1:11" ht="15" customHeight="1" x14ac:dyDescent="0.25">
      <c r="A59" s="176"/>
      <c r="B59" s="22">
        <v>2035</v>
      </c>
      <c r="C59" s="26">
        <f t="shared" ref="C59:J59" si="12">C56-0.15</f>
        <v>-0.8</v>
      </c>
      <c r="D59" s="27">
        <f t="shared" si="12"/>
        <v>-0.95000000000000007</v>
      </c>
      <c r="E59" s="26">
        <f t="shared" si="12"/>
        <v>-0.8</v>
      </c>
      <c r="F59" s="27">
        <f t="shared" si="12"/>
        <v>-0.95000000000000007</v>
      </c>
      <c r="G59" s="26">
        <f t="shared" si="12"/>
        <v>-0.8</v>
      </c>
      <c r="H59" s="27">
        <f t="shared" si="12"/>
        <v>-0.95000000000000007</v>
      </c>
      <c r="I59" s="26">
        <f t="shared" si="12"/>
        <v>-0.8</v>
      </c>
      <c r="J59" s="27">
        <f t="shared" si="12"/>
        <v>-0.95000000000000007</v>
      </c>
      <c r="K59" s="67"/>
    </row>
    <row r="60" spans="1:11" ht="15" customHeight="1" x14ac:dyDescent="0.25">
      <c r="A60" s="177"/>
      <c r="B60" s="23">
        <v>2050</v>
      </c>
      <c r="C60" s="26">
        <f t="shared" ref="C60:I60" si="13">C57-0.15</f>
        <v>-0.95000000000000007</v>
      </c>
      <c r="D60" s="27">
        <f>D57</f>
        <v>-0.95</v>
      </c>
      <c r="E60" s="26">
        <f t="shared" si="13"/>
        <v>-0.95000000000000007</v>
      </c>
      <c r="F60" s="27">
        <f>F57</f>
        <v>-0.95</v>
      </c>
      <c r="G60" s="26">
        <f t="shared" si="13"/>
        <v>-0.95000000000000007</v>
      </c>
      <c r="H60" s="27">
        <f>H57</f>
        <v>-0.95</v>
      </c>
      <c r="I60" s="26">
        <f t="shared" si="13"/>
        <v>-0.95000000000000007</v>
      </c>
      <c r="J60" s="27">
        <f>J57</f>
        <v>-0.95</v>
      </c>
      <c r="K60" s="16"/>
    </row>
    <row r="61" spans="1:11" ht="15" customHeight="1" x14ac:dyDescent="0.25">
      <c r="A61" s="175" t="s">
        <v>20</v>
      </c>
      <c r="B61" s="21">
        <v>2020</v>
      </c>
      <c r="C61" s="24">
        <v>-0.2</v>
      </c>
      <c r="D61" s="25">
        <v>-0.35</v>
      </c>
      <c r="E61" s="24">
        <v>-0.2</v>
      </c>
      <c r="F61" s="25">
        <v>-0.35</v>
      </c>
      <c r="G61" s="24">
        <v>-0.2</v>
      </c>
      <c r="H61" s="25">
        <v>-0.35</v>
      </c>
      <c r="I61" s="24">
        <v>-0.2</v>
      </c>
      <c r="J61" s="25">
        <v>-0.35</v>
      </c>
    </row>
    <row r="62" spans="1:11" ht="15" customHeight="1" x14ac:dyDescent="0.25">
      <c r="A62" s="176"/>
      <c r="B62" s="22">
        <v>2035</v>
      </c>
      <c r="C62" s="26">
        <v>-0.4</v>
      </c>
      <c r="D62" s="27">
        <v>-0.55000000000000004</v>
      </c>
      <c r="E62" s="26">
        <v>-0.4</v>
      </c>
      <c r="F62" s="27">
        <v>-0.55000000000000004</v>
      </c>
      <c r="G62" s="26">
        <v>-0.4</v>
      </c>
      <c r="H62" s="27">
        <v>-0.55000000000000004</v>
      </c>
      <c r="I62" s="26">
        <v>-0.4</v>
      </c>
      <c r="J62" s="27">
        <v>-0.55000000000000004</v>
      </c>
    </row>
    <row r="63" spans="1:11" ht="15" customHeight="1" x14ac:dyDescent="0.25">
      <c r="A63" s="177"/>
      <c r="B63" s="23">
        <v>2050</v>
      </c>
      <c r="C63" s="28">
        <v>-0.6</v>
      </c>
      <c r="D63" s="29">
        <v>-0.75</v>
      </c>
      <c r="E63" s="28">
        <v>-0.6</v>
      </c>
      <c r="F63" s="29">
        <v>-0.75</v>
      </c>
      <c r="G63" s="28">
        <v>-0.6</v>
      </c>
      <c r="H63" s="29">
        <v>-0.75</v>
      </c>
      <c r="I63" s="28">
        <v>-0.6</v>
      </c>
      <c r="J63" s="29">
        <v>-0.75</v>
      </c>
    </row>
    <row r="64" spans="1:11" x14ac:dyDescent="0.25">
      <c r="B64" s="2"/>
      <c r="C64" s="2"/>
      <c r="D64" s="2"/>
      <c r="E64" s="2"/>
      <c r="F64" s="2"/>
      <c r="G64" s="2"/>
      <c r="H64" s="2"/>
      <c r="I64" s="2"/>
    </row>
    <row r="65" spans="1:14" x14ac:dyDescent="0.25">
      <c r="A65" s="119" t="s">
        <v>29</v>
      </c>
      <c r="B65" s="145"/>
      <c r="C65" s="173" t="s">
        <v>0</v>
      </c>
      <c r="D65" s="174"/>
      <c r="E65" s="173" t="s">
        <v>1</v>
      </c>
      <c r="F65" s="174"/>
      <c r="G65" s="173" t="s">
        <v>26</v>
      </c>
      <c r="H65" s="174"/>
      <c r="I65" s="181" t="s">
        <v>27</v>
      </c>
      <c r="J65" s="174"/>
    </row>
    <row r="66" spans="1:14" x14ac:dyDescent="0.25">
      <c r="A66" s="114"/>
      <c r="B66" s="15"/>
      <c r="C66" s="18" t="s">
        <v>24</v>
      </c>
      <c r="D66" s="20" t="s">
        <v>25</v>
      </c>
      <c r="E66" s="18" t="s">
        <v>24</v>
      </c>
      <c r="F66" s="20" t="s">
        <v>25</v>
      </c>
      <c r="G66" s="18" t="s">
        <v>24</v>
      </c>
      <c r="H66" s="20" t="s">
        <v>25</v>
      </c>
      <c r="I66" s="19" t="s">
        <v>24</v>
      </c>
      <c r="J66" s="20" t="s">
        <v>25</v>
      </c>
    </row>
    <row r="67" spans="1:14" x14ac:dyDescent="0.25">
      <c r="A67" s="141"/>
      <c r="B67" s="143"/>
      <c r="C67" s="182" t="s">
        <v>21</v>
      </c>
      <c r="D67" s="183"/>
      <c r="E67" s="183"/>
      <c r="F67" s="183"/>
      <c r="G67" s="183"/>
      <c r="H67" s="183"/>
      <c r="I67" s="183"/>
      <c r="J67" s="184"/>
      <c r="L67" s="173" t="s">
        <v>74</v>
      </c>
      <c r="M67" s="181"/>
      <c r="N67" s="174"/>
    </row>
    <row r="68" spans="1:14" x14ac:dyDescent="0.25">
      <c r="A68" s="170" t="s">
        <v>72</v>
      </c>
      <c r="B68" s="21">
        <v>2020</v>
      </c>
      <c r="C68" s="149"/>
      <c r="D68" s="150"/>
      <c r="E68" s="149"/>
      <c r="F68" s="150"/>
      <c r="G68" s="149"/>
      <c r="H68" s="150"/>
      <c r="I68" s="149"/>
      <c r="J68" s="150"/>
      <c r="L68" s="170" t="s">
        <v>72</v>
      </c>
      <c r="M68" s="21">
        <v>2020</v>
      </c>
      <c r="N68" s="146">
        <f>'New Buildings'!N14</f>
        <v>-0.14453193515076418</v>
      </c>
    </row>
    <row r="69" spans="1:14" x14ac:dyDescent="0.25">
      <c r="A69" s="171"/>
      <c r="B69" s="22">
        <v>2035</v>
      </c>
      <c r="C69" s="151"/>
      <c r="D69" s="152"/>
      <c r="E69" s="151"/>
      <c r="F69" s="152"/>
      <c r="G69" s="151"/>
      <c r="H69" s="152"/>
      <c r="I69" s="151"/>
      <c r="J69" s="152"/>
      <c r="L69" s="171"/>
      <c r="M69" s="22">
        <v>2035</v>
      </c>
      <c r="N69" s="147">
        <f>'New Buildings'!N29</f>
        <v>-0.241342396114271</v>
      </c>
    </row>
    <row r="70" spans="1:14" x14ac:dyDescent="0.25">
      <c r="A70" s="172"/>
      <c r="B70" s="23">
        <v>2050</v>
      </c>
      <c r="C70" s="153"/>
      <c r="D70" s="154"/>
      <c r="E70" s="153"/>
      <c r="F70" s="154"/>
      <c r="G70" s="153"/>
      <c r="H70" s="154"/>
      <c r="I70" s="153"/>
      <c r="J70" s="154"/>
      <c r="L70" s="172"/>
      <c r="M70" s="23">
        <v>2050</v>
      </c>
      <c r="N70" s="148">
        <f>'New Buildings'!N44</f>
        <v>-0.29253556118104529</v>
      </c>
    </row>
    <row r="71" spans="1:14" x14ac:dyDescent="0.25">
      <c r="A71" s="175" t="s">
        <v>73</v>
      </c>
      <c r="B71" s="21">
        <v>2020</v>
      </c>
      <c r="C71" s="151"/>
      <c r="D71" s="152"/>
      <c r="E71" s="151"/>
      <c r="F71" s="152"/>
      <c r="G71" s="151"/>
      <c r="H71" s="152"/>
      <c r="I71" s="151"/>
      <c r="J71" s="152"/>
      <c r="L71" s="175" t="s">
        <v>73</v>
      </c>
      <c r="M71" s="21">
        <v>2020</v>
      </c>
      <c r="N71" s="147">
        <f>'Existing Buildings'!P15</f>
        <v>-4.0366935894738831E-2</v>
      </c>
    </row>
    <row r="72" spans="1:14" x14ac:dyDescent="0.25">
      <c r="A72" s="176"/>
      <c r="B72" s="22">
        <v>2035</v>
      </c>
      <c r="C72" s="151"/>
      <c r="D72" s="152"/>
      <c r="E72" s="151"/>
      <c r="F72" s="152"/>
      <c r="G72" s="151"/>
      <c r="H72" s="152"/>
      <c r="I72" s="151"/>
      <c r="J72" s="152"/>
      <c r="L72" s="176"/>
      <c r="M72" s="22">
        <v>2035</v>
      </c>
      <c r="N72" s="147">
        <f>'Existing Buildings'!P30</f>
        <v>-0.13074998949867311</v>
      </c>
    </row>
    <row r="73" spans="1:14" x14ac:dyDescent="0.25">
      <c r="A73" s="177"/>
      <c r="B73" s="23">
        <v>2050</v>
      </c>
      <c r="C73" s="151"/>
      <c r="D73" s="152"/>
      <c r="E73" s="151"/>
      <c r="F73" s="152"/>
      <c r="G73" s="151"/>
      <c r="H73" s="152"/>
      <c r="I73" s="151"/>
      <c r="J73" s="152"/>
      <c r="L73" s="177"/>
      <c r="M73" s="23">
        <v>2050</v>
      </c>
      <c r="N73" s="148">
        <f>'Existing Buildings'!P45</f>
        <v>-0.20295950873636628</v>
      </c>
    </row>
    <row r="74" spans="1:14" x14ac:dyDescent="0.25">
      <c r="A74" s="144"/>
      <c r="B74" s="143"/>
      <c r="C74" s="185" t="s">
        <v>22</v>
      </c>
      <c r="D74" s="186"/>
      <c r="E74" s="186"/>
      <c r="F74" s="186"/>
      <c r="G74" s="186"/>
      <c r="H74" s="186"/>
      <c r="I74" s="186"/>
      <c r="J74" s="187"/>
    </row>
    <row r="75" spans="1:14" x14ac:dyDescent="0.25">
      <c r="A75" s="170" t="s">
        <v>72</v>
      </c>
      <c r="B75" s="21">
        <v>2020</v>
      </c>
      <c r="C75" s="149">
        <v>-0.14453193515076418</v>
      </c>
      <c r="D75" s="150"/>
      <c r="E75" s="149"/>
      <c r="F75" s="150"/>
      <c r="G75" s="149"/>
      <c r="H75" s="150"/>
      <c r="I75" s="149"/>
      <c r="J75" s="150"/>
    </row>
    <row r="76" spans="1:14" x14ac:dyDescent="0.25">
      <c r="A76" s="171"/>
      <c r="B76" s="22">
        <v>2035</v>
      </c>
      <c r="C76" s="151">
        <v>-0.241342396114271</v>
      </c>
      <c r="D76" s="152"/>
      <c r="E76" s="151"/>
      <c r="F76" s="152"/>
      <c r="G76" s="151"/>
      <c r="H76" s="152"/>
      <c r="I76" s="151"/>
      <c r="J76" s="152"/>
    </row>
    <row r="77" spans="1:14" x14ac:dyDescent="0.25">
      <c r="A77" s="172"/>
      <c r="B77" s="23">
        <v>2050</v>
      </c>
      <c r="C77" s="153">
        <v>-0.29253556118104529</v>
      </c>
      <c r="D77" s="154"/>
      <c r="E77" s="153"/>
      <c r="F77" s="154"/>
      <c r="G77" s="153"/>
      <c r="H77" s="154"/>
      <c r="I77" s="153"/>
      <c r="J77" s="154"/>
    </row>
    <row r="78" spans="1:14" x14ac:dyDescent="0.25">
      <c r="A78" s="175" t="s">
        <v>73</v>
      </c>
      <c r="B78" s="21">
        <v>2020</v>
      </c>
      <c r="C78" s="151">
        <v>-4.0366935894738831E-2</v>
      </c>
      <c r="D78" s="152"/>
      <c r="E78" s="151"/>
      <c r="F78" s="152"/>
      <c r="G78" s="151"/>
      <c r="H78" s="152"/>
      <c r="I78" s="151"/>
      <c r="J78" s="152"/>
    </row>
    <row r="79" spans="1:14" x14ac:dyDescent="0.25">
      <c r="A79" s="176"/>
      <c r="B79" s="22">
        <v>2035</v>
      </c>
      <c r="C79" s="151">
        <v>-0.13074998949867311</v>
      </c>
      <c r="D79" s="152"/>
      <c r="E79" s="151"/>
      <c r="F79" s="152"/>
      <c r="G79" s="151"/>
      <c r="H79" s="152"/>
      <c r="I79" s="151"/>
      <c r="J79" s="152"/>
    </row>
    <row r="80" spans="1:14" x14ac:dyDescent="0.25">
      <c r="A80" s="177"/>
      <c r="B80" s="23">
        <v>2050</v>
      </c>
      <c r="C80" s="151">
        <v>-0.20295950873636628</v>
      </c>
      <c r="D80" s="152"/>
      <c r="E80" s="151"/>
      <c r="F80" s="152"/>
      <c r="G80" s="151"/>
      <c r="H80" s="152"/>
      <c r="I80" s="151"/>
      <c r="J80" s="152"/>
    </row>
    <row r="81" spans="1:10" x14ac:dyDescent="0.25">
      <c r="A81" s="144"/>
      <c r="B81" s="143"/>
      <c r="C81" s="178" t="s">
        <v>23</v>
      </c>
      <c r="D81" s="179"/>
      <c r="E81" s="179"/>
      <c r="F81" s="179"/>
      <c r="G81" s="179"/>
      <c r="H81" s="179"/>
      <c r="I81" s="179"/>
      <c r="J81" s="180"/>
    </row>
    <row r="82" spans="1:10" ht="15" customHeight="1" x14ac:dyDescent="0.25">
      <c r="A82" s="170" t="s">
        <v>72</v>
      </c>
      <c r="B82" s="21">
        <v>2020</v>
      </c>
      <c r="C82" s="149"/>
      <c r="D82" s="150"/>
      <c r="E82" s="149"/>
      <c r="F82" s="150"/>
      <c r="G82" s="149"/>
      <c r="H82" s="150"/>
      <c r="I82" s="149"/>
      <c r="J82" s="150"/>
    </row>
    <row r="83" spans="1:10" x14ac:dyDescent="0.25">
      <c r="A83" s="171"/>
      <c r="B83" s="22">
        <v>2035</v>
      </c>
      <c r="C83" s="151"/>
      <c r="D83" s="152"/>
      <c r="E83" s="151"/>
      <c r="F83" s="152"/>
      <c r="G83" s="151"/>
      <c r="H83" s="152"/>
      <c r="I83" s="151"/>
      <c r="J83" s="152"/>
    </row>
    <row r="84" spans="1:10" x14ac:dyDescent="0.25">
      <c r="A84" s="172"/>
      <c r="B84" s="23">
        <v>2050</v>
      </c>
      <c r="C84" s="153"/>
      <c r="D84" s="154"/>
      <c r="E84" s="153"/>
      <c r="F84" s="154"/>
      <c r="G84" s="153"/>
      <c r="H84" s="154"/>
      <c r="I84" s="153"/>
      <c r="J84" s="154"/>
    </row>
    <row r="85" spans="1:10" x14ac:dyDescent="0.25">
      <c r="A85" s="175" t="s">
        <v>73</v>
      </c>
      <c r="B85" s="21">
        <v>2020</v>
      </c>
      <c r="C85" s="151"/>
      <c r="D85" s="152"/>
      <c r="E85" s="151"/>
      <c r="F85" s="152"/>
      <c r="G85" s="151"/>
      <c r="H85" s="152"/>
      <c r="I85" s="151"/>
      <c r="J85" s="152"/>
    </row>
    <row r="86" spans="1:10" x14ac:dyDescent="0.25">
      <c r="A86" s="176"/>
      <c r="B86" s="22">
        <v>2035</v>
      </c>
      <c r="C86" s="151"/>
      <c r="D86" s="152"/>
      <c r="E86" s="151"/>
      <c r="F86" s="152"/>
      <c r="G86" s="151"/>
      <c r="H86" s="152"/>
      <c r="I86" s="151"/>
      <c r="J86" s="152"/>
    </row>
    <row r="87" spans="1:10" x14ac:dyDescent="0.25">
      <c r="A87" s="177"/>
      <c r="B87" s="23">
        <v>2050</v>
      </c>
      <c r="C87" s="153"/>
      <c r="D87" s="154"/>
      <c r="E87" s="153"/>
      <c r="F87" s="154"/>
      <c r="G87" s="153"/>
      <c r="H87" s="154"/>
      <c r="I87" s="153"/>
      <c r="J87" s="154"/>
    </row>
  </sheetData>
  <mergeCells count="38">
    <mergeCell ref="L71:L73"/>
    <mergeCell ref="A85:A87"/>
    <mergeCell ref="A45:A47"/>
    <mergeCell ref="A48:A50"/>
    <mergeCell ref="A51:A53"/>
    <mergeCell ref="A75:A77"/>
    <mergeCell ref="A78:A80"/>
    <mergeCell ref="L67:N67"/>
    <mergeCell ref="C54:J54"/>
    <mergeCell ref="C32:D32"/>
    <mergeCell ref="E32:F32"/>
    <mergeCell ref="G32:H32"/>
    <mergeCell ref="A38:A40"/>
    <mergeCell ref="A3:F3"/>
    <mergeCell ref="C31:J31"/>
    <mergeCell ref="I32:J32"/>
    <mergeCell ref="C34:J34"/>
    <mergeCell ref="L37:L39"/>
    <mergeCell ref="L33:N33"/>
    <mergeCell ref="A55:A57"/>
    <mergeCell ref="L40:L42"/>
    <mergeCell ref="A61:A63"/>
    <mergeCell ref="A41:A43"/>
    <mergeCell ref="A35:A37"/>
    <mergeCell ref="C44:J44"/>
    <mergeCell ref="L34:L36"/>
    <mergeCell ref="C81:J81"/>
    <mergeCell ref="A82:A84"/>
    <mergeCell ref="I65:J65"/>
    <mergeCell ref="C67:J67"/>
    <mergeCell ref="A68:A70"/>
    <mergeCell ref="C74:J74"/>
    <mergeCell ref="A71:A73"/>
    <mergeCell ref="L68:L70"/>
    <mergeCell ref="G65:H65"/>
    <mergeCell ref="C65:D65"/>
    <mergeCell ref="E65:F65"/>
    <mergeCell ref="A58:A6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6"/>
  <sheetViews>
    <sheetView zoomScaleNormal="100" workbookViewId="0">
      <pane ySplit="4" topLeftCell="A5" activePane="bottomLeft" state="frozen"/>
      <selection pane="bottomLeft" activeCell="J9" sqref="J9"/>
    </sheetView>
  </sheetViews>
  <sheetFormatPr defaultRowHeight="15" x14ac:dyDescent="0.25"/>
  <cols>
    <col min="3" max="4" width="10.42578125" customWidth="1"/>
    <col min="5" max="5" width="12" customWidth="1"/>
    <col min="6" max="6" width="16.42578125" customWidth="1"/>
    <col min="7" max="7" width="15.7109375" customWidth="1"/>
    <col min="8" max="8" width="18.28515625" bestFit="1" customWidth="1"/>
    <col min="9" max="10" width="15.7109375" customWidth="1"/>
    <col min="11" max="11" width="15.42578125" customWidth="1"/>
    <col min="12" max="12" width="16" customWidth="1"/>
    <col min="13" max="13" width="18" customWidth="1"/>
    <col min="14" max="14" width="17.5703125" customWidth="1"/>
    <col min="15" max="15" width="13.42578125" style="37" customWidth="1"/>
  </cols>
  <sheetData>
    <row r="1" spans="1:16" ht="23.25" customHeight="1" x14ac:dyDescent="0.3">
      <c r="A1" s="66" t="s">
        <v>42</v>
      </c>
      <c r="B1" s="66"/>
      <c r="C1" s="39"/>
      <c r="D1" s="39"/>
      <c r="E1" s="39"/>
      <c r="F1" s="39"/>
      <c r="G1" s="39"/>
      <c r="H1" s="39"/>
      <c r="I1" s="39"/>
      <c r="J1" s="39"/>
      <c r="K1" s="39"/>
      <c r="L1" s="39"/>
      <c r="M1" s="39"/>
      <c r="N1" s="39"/>
    </row>
    <row r="2" spans="1:16" ht="147.75" customHeight="1" x14ac:dyDescent="0.25">
      <c r="A2" s="37" t="s">
        <v>33</v>
      </c>
      <c r="B2" s="7" t="s">
        <v>80</v>
      </c>
      <c r="C2" s="7" t="s">
        <v>67</v>
      </c>
      <c r="D2" s="7" t="s">
        <v>68</v>
      </c>
      <c r="E2" s="7" t="s">
        <v>40</v>
      </c>
      <c r="F2" s="7" t="s">
        <v>41</v>
      </c>
      <c r="G2" s="7" t="s">
        <v>34</v>
      </c>
      <c r="H2" s="7" t="s">
        <v>36</v>
      </c>
      <c r="I2" s="7" t="s">
        <v>38</v>
      </c>
      <c r="J2" s="34" t="s">
        <v>83</v>
      </c>
      <c r="K2" s="7" t="s">
        <v>35</v>
      </c>
      <c r="L2" s="7" t="s">
        <v>39</v>
      </c>
      <c r="M2" s="74" t="s">
        <v>43</v>
      </c>
      <c r="N2" s="7" t="s">
        <v>37</v>
      </c>
    </row>
    <row r="3" spans="1:16" x14ac:dyDescent="0.25">
      <c r="B3" s="87">
        <f>((((NewUnits2050+BaselineExisting)/BaselineExisting))^(1/(A44-A4)))-1</f>
        <v>1.0188177345910487E-2</v>
      </c>
      <c r="D3" s="75">
        <f>Inputs!H7</f>
        <v>100000</v>
      </c>
      <c r="E3" s="76">
        <f>Inputs!H13</f>
        <v>6.0000000000000001E-3</v>
      </c>
      <c r="H3" s="40">
        <v>10000</v>
      </c>
      <c r="J3" s="35"/>
    </row>
    <row r="4" spans="1:16" x14ac:dyDescent="0.25">
      <c r="A4" s="62">
        <v>2010</v>
      </c>
      <c r="B4" s="62"/>
      <c r="C4" s="45">
        <v>0</v>
      </c>
      <c r="D4" s="45">
        <v>0</v>
      </c>
      <c r="E4" s="45">
        <v>0</v>
      </c>
      <c r="F4" s="45">
        <v>0</v>
      </c>
      <c r="G4" s="60">
        <v>0</v>
      </c>
      <c r="H4" s="46">
        <v>0</v>
      </c>
      <c r="I4" s="60">
        <v>0</v>
      </c>
      <c r="J4" s="47"/>
      <c r="K4" s="46">
        <v>0</v>
      </c>
      <c r="L4" s="46"/>
      <c r="M4" s="48"/>
      <c r="N4" s="49"/>
    </row>
    <row r="5" spans="1:16" x14ac:dyDescent="0.25">
      <c r="A5" s="37">
        <v>2011</v>
      </c>
      <c r="B5" s="37"/>
      <c r="C5" s="31">
        <f>B$14*BaselineExisting</f>
        <v>2037.6354691820975</v>
      </c>
      <c r="D5" s="31">
        <f>D4+(NewGrowthRate*BaselineExisting)</f>
        <v>2037.6354691820975</v>
      </c>
      <c r="E5" s="31">
        <f t="shared" ref="E5" si="0">$E$3*F4</f>
        <v>0</v>
      </c>
      <c r="F5" s="31">
        <f>D5</f>
        <v>2037.6354691820975</v>
      </c>
      <c r="G5" s="61">
        <f t="shared" ref="G5:G13" si="1">G4+((G$14-G$4)/(A$14-A$4))</f>
        <v>-2.5000000000000001E-2</v>
      </c>
      <c r="H5" s="32">
        <f>(C5*$H$3)*(1+G5)</f>
        <v>19866945.824525449</v>
      </c>
      <c r="I5" s="61">
        <f>I4+((I$14-I$4)/(A$14-A$4))</f>
        <v>-0.04</v>
      </c>
      <c r="J5" s="36">
        <f>E5*(BaselineUsePerUnit*(1+G5))</f>
        <v>0</v>
      </c>
      <c r="K5" s="32">
        <f>(E5*$H$3)*(1+I5)</f>
        <v>0</v>
      </c>
      <c r="L5" s="32">
        <f t="shared" ref="L5:L43" si="2">(H5-J5)+K5</f>
        <v>19866945.824525449</v>
      </c>
      <c r="M5" s="33">
        <f>SUM(L$5:L5)</f>
        <v>19866945.824525449</v>
      </c>
      <c r="N5" s="30"/>
      <c r="O5" s="38"/>
      <c r="P5" s="70"/>
    </row>
    <row r="6" spans="1:16" x14ac:dyDescent="0.25">
      <c r="A6" s="37">
        <v>2012</v>
      </c>
      <c r="B6" s="37"/>
      <c r="C6" s="31">
        <f>B$14*(BaselineExisting+(SUM(C$5:C5)))</f>
        <v>2058.3952607084425</v>
      </c>
      <c r="D6" s="31">
        <f>D5+(NewGrowthRate*(BaselineExisting+(SUM(C$5:C5))))</f>
        <v>4096.03072989054</v>
      </c>
      <c r="E6" s="31">
        <f>RetrofitRate*F5</f>
        <v>12.225812815092585</v>
      </c>
      <c r="F6" s="31">
        <f t="shared" ref="F6:F14" si="3">D6-E6</f>
        <v>4083.8049170754475</v>
      </c>
      <c r="G6" s="61">
        <f t="shared" si="1"/>
        <v>-0.05</v>
      </c>
      <c r="H6" s="32">
        <f>(C6*$H$3)*(1+G6)</f>
        <v>19554754.976730201</v>
      </c>
      <c r="I6" s="61">
        <f t="shared" ref="I6:I13" si="4">I5+((I$14-I$4)/(A$14-A$4))</f>
        <v>-0.08</v>
      </c>
      <c r="J6" s="36">
        <f>(E6-E5)*(BaselineUsePerUnit*(1+(AVERAGE(G$5:G6))))</f>
        <v>117673.44834526612</v>
      </c>
      <c r="K6" s="32">
        <f t="shared" ref="K6:K44" si="5">((E6-E5)*BaselineUsePerUnit)*(1+I6)</f>
        <v>112477.47789885179</v>
      </c>
      <c r="L6" s="32">
        <f t="shared" si="2"/>
        <v>19549559.006283786</v>
      </c>
      <c r="M6" s="33">
        <f>SUM(L$5:L6)</f>
        <v>39416504.830809236</v>
      </c>
      <c r="N6" s="30"/>
      <c r="O6" s="38"/>
    </row>
    <row r="7" spans="1:16" x14ac:dyDescent="0.25">
      <c r="A7" s="37">
        <v>2013</v>
      </c>
      <c r="B7" s="37"/>
      <c r="C7" s="31">
        <f>B$14*(BaselineExisting+(SUM(C$5:C6)))</f>
        <v>2079.3665566725213</v>
      </c>
      <c r="D7" s="31">
        <f>D6+(NewGrowthRate*(BaselineExisting+(SUM(C$5:C6))))</f>
        <v>6175.3972865630612</v>
      </c>
      <c r="E7" s="31">
        <f t="shared" ref="E7:E44" si="6">E6+(RetrofitRate*F6)</f>
        <v>36.728642317545265</v>
      </c>
      <c r="F7" s="31">
        <f t="shared" si="3"/>
        <v>6138.6686442455157</v>
      </c>
      <c r="G7" s="61">
        <f t="shared" si="1"/>
        <v>-7.5000000000000011E-2</v>
      </c>
      <c r="H7" s="32">
        <f t="shared" ref="H7:H44" si="7">(C7*$H$3)*(1+G7)</f>
        <v>19234140.649220824</v>
      </c>
      <c r="I7" s="61">
        <f t="shared" si="4"/>
        <v>-0.12</v>
      </c>
      <c r="J7" s="36">
        <f>(E7-E6)*(BaselineUsePerUnit*(1+(AVERAGE(G$5:G7))))</f>
        <v>232776.88027330046</v>
      </c>
      <c r="K7" s="32">
        <f t="shared" si="5"/>
        <v>215624.89962158358</v>
      </c>
      <c r="L7" s="32">
        <f t="shared" si="2"/>
        <v>19216988.668569107</v>
      </c>
      <c r="M7" s="33">
        <f>SUM(L$5:L7)</f>
        <v>58633493.499378338</v>
      </c>
      <c r="N7" s="30"/>
      <c r="O7" s="38"/>
    </row>
    <row r="8" spans="1:16" x14ac:dyDescent="0.25">
      <c r="A8" s="37">
        <v>2014</v>
      </c>
      <c r="B8" s="37"/>
      <c r="C8" s="31">
        <f>B$14*(BaselineExisting+(SUM(C$5:C7)))</f>
        <v>2100.5515119190563</v>
      </c>
      <c r="D8" s="31">
        <f>D7+(NewGrowthRate*(BaselineExisting+(SUM(C$5:C7))))</f>
        <v>8275.9487984821171</v>
      </c>
      <c r="E8" s="31">
        <f t="shared" si="6"/>
        <v>73.560654183018357</v>
      </c>
      <c r="F8" s="31">
        <f t="shared" si="3"/>
        <v>8202.3881442990987</v>
      </c>
      <c r="G8" s="61">
        <f t="shared" si="1"/>
        <v>-0.1</v>
      </c>
      <c r="H8" s="32">
        <f t="shared" si="7"/>
        <v>18904963.607271507</v>
      </c>
      <c r="I8" s="61">
        <f t="shared" si="4"/>
        <v>-0.16</v>
      </c>
      <c r="J8" s="36">
        <f>(E8-E7)*(BaselineUsePerUnit*(1+(AVERAGE(G$5:G8))))</f>
        <v>345300.11123881023</v>
      </c>
      <c r="K8" s="32">
        <f t="shared" si="5"/>
        <v>309388.89966997394</v>
      </c>
      <c r="L8" s="32">
        <f t="shared" si="2"/>
        <v>18869052.395702671</v>
      </c>
      <c r="M8" s="33">
        <f>SUM(L$5:L8)</f>
        <v>77502545.895081013</v>
      </c>
      <c r="N8" s="30"/>
      <c r="O8" s="38"/>
    </row>
    <row r="9" spans="1:16" x14ac:dyDescent="0.25">
      <c r="A9" s="37">
        <v>2015</v>
      </c>
      <c r="B9" s="37"/>
      <c r="C9" s="31">
        <f>B$14*(BaselineExisting+(SUM(C$5:C8)))</f>
        <v>2121.9523032467082</v>
      </c>
      <c r="D9" s="31">
        <f>D8+(NewGrowthRate*(BaselineExisting+(SUM(C$5:C8))))</f>
        <v>10397.901101728825</v>
      </c>
      <c r="E9" s="31">
        <f t="shared" si="6"/>
        <v>122.77498304881294</v>
      </c>
      <c r="F9" s="31">
        <f t="shared" si="3"/>
        <v>10275.126118680011</v>
      </c>
      <c r="G9" s="61">
        <f t="shared" si="1"/>
        <v>-0.125</v>
      </c>
      <c r="H9" s="32">
        <f t="shared" si="7"/>
        <v>18567082.653408699</v>
      </c>
      <c r="I9" s="61">
        <f t="shared" si="4"/>
        <v>-0.2</v>
      </c>
      <c r="J9" s="36">
        <f>(E9-E8)*(BaselineUsePerUnit*(1+(AVERAGE(G$5:G9))))</f>
        <v>455232.54200859991</v>
      </c>
      <c r="K9" s="32">
        <f t="shared" si="5"/>
        <v>393714.63092635671</v>
      </c>
      <c r="L9" s="32">
        <f t="shared" si="2"/>
        <v>18505564.742326453</v>
      </c>
      <c r="M9" s="33">
        <f>SUM(L$5:L9)</f>
        <v>96008110.637407467</v>
      </c>
      <c r="N9" s="30"/>
      <c r="O9" s="38"/>
    </row>
    <row r="10" spans="1:16" x14ac:dyDescent="0.25">
      <c r="A10" s="37">
        <v>2016</v>
      </c>
      <c r="B10" s="37"/>
      <c r="C10" s="31">
        <f>B$14*(BaselineExisting+(SUM(C$5:C9)))</f>
        <v>2143.5711296317486</v>
      </c>
      <c r="D10" s="31">
        <f>D9+(NewGrowthRate*(BaselineExisting+(SUM(C$5:C9))))</f>
        <v>12541.472231360574</v>
      </c>
      <c r="E10" s="31">
        <f t="shared" si="6"/>
        <v>184.42573976089301</v>
      </c>
      <c r="F10" s="31">
        <f t="shared" si="3"/>
        <v>12357.046491599682</v>
      </c>
      <c r="G10" s="61">
        <f t="shared" si="1"/>
        <v>-0.15</v>
      </c>
      <c r="H10" s="32">
        <f t="shared" si="7"/>
        <v>18220354.601869863</v>
      </c>
      <c r="I10" s="61">
        <f t="shared" si="4"/>
        <v>-0.24000000000000002</v>
      </c>
      <c r="J10" s="36">
        <f>(E10-E9)*(BaselineUsePerUnit*(1+(AVERAGE(G$5:G10))))</f>
        <v>562563.15499773063</v>
      </c>
      <c r="K10" s="32">
        <f t="shared" si="5"/>
        <v>468545.75101180858</v>
      </c>
      <c r="L10" s="32">
        <f t="shared" si="2"/>
        <v>18126337.197883938</v>
      </c>
      <c r="M10" s="33">
        <f>SUM(L$5:L10)</f>
        <v>114134447.8352914</v>
      </c>
      <c r="N10" s="30"/>
      <c r="O10" s="38"/>
    </row>
    <row r="11" spans="1:16" x14ac:dyDescent="0.25">
      <c r="A11" s="37">
        <v>2017</v>
      </c>
      <c r="B11" s="37"/>
      <c r="C11" s="31">
        <f>B$14*(BaselineExisting+(SUM(C$5:C10)))</f>
        <v>2165.4102124540104</v>
      </c>
      <c r="D11" s="31">
        <f>D10+(NewGrowthRate*(BaselineExisting+(SUM(C$5:C10))))</f>
        <v>14706.882443814586</v>
      </c>
      <c r="E11" s="31">
        <f t="shared" si="6"/>
        <v>258.56801871049112</v>
      </c>
      <c r="F11" s="31">
        <f t="shared" si="3"/>
        <v>14448.314425104094</v>
      </c>
      <c r="G11" s="61">
        <f t="shared" si="1"/>
        <v>-0.17499999999999999</v>
      </c>
      <c r="H11" s="32">
        <f t="shared" si="7"/>
        <v>17864634.252745587</v>
      </c>
      <c r="I11" s="61">
        <f t="shared" si="4"/>
        <v>-0.28000000000000003</v>
      </c>
      <c r="J11" s="36">
        <f>(E11-E10)*(BaselineUsePerUnit*(1+(AVERAGE(G$5:G11))))</f>
        <v>667280.51054638298</v>
      </c>
      <c r="K11" s="32">
        <f t="shared" si="5"/>
        <v>533824.40843710629</v>
      </c>
      <c r="L11" s="32">
        <f t="shared" si="2"/>
        <v>17731178.150636312</v>
      </c>
      <c r="M11" s="33">
        <f>SUM(L$5:L11)</f>
        <v>131865625.98592772</v>
      </c>
      <c r="N11" s="30"/>
      <c r="O11" s="38"/>
    </row>
    <row r="12" spans="1:16" x14ac:dyDescent="0.25">
      <c r="A12" s="37">
        <v>2018</v>
      </c>
      <c r="B12" s="37"/>
      <c r="C12" s="31">
        <f>B$14*(BaselineExisting+(SUM(C$5:C11)))</f>
        <v>2187.4717957251382</v>
      </c>
      <c r="D12" s="31">
        <f>D11+(NewGrowthRate*(BaselineExisting+(SUM(C$5:C11))))</f>
        <v>16894.354239539723</v>
      </c>
      <c r="E12" s="31">
        <f t="shared" si="6"/>
        <v>345.2579052611157</v>
      </c>
      <c r="F12" s="31">
        <f t="shared" si="3"/>
        <v>16549.096334278609</v>
      </c>
      <c r="G12" s="61">
        <f t="shared" si="1"/>
        <v>-0.19999999999999998</v>
      </c>
      <c r="H12" s="32">
        <f t="shared" si="7"/>
        <v>17499774.365801107</v>
      </c>
      <c r="I12" s="61">
        <f t="shared" si="4"/>
        <v>-0.32</v>
      </c>
      <c r="J12" s="36">
        <f>(E12-E11)*(BaselineUsePerUnit*(1+(AVERAGE(G$5:G12))))</f>
        <v>769372.74313679314</v>
      </c>
      <c r="K12" s="32">
        <f t="shared" si="5"/>
        <v>589491.2285442471</v>
      </c>
      <c r="L12" s="32">
        <f t="shared" si="2"/>
        <v>17319892.85120856</v>
      </c>
      <c r="M12" s="33">
        <f>SUM(L$5:L12)</f>
        <v>149185518.83713627</v>
      </c>
      <c r="N12" s="30"/>
      <c r="O12" s="38"/>
    </row>
    <row r="13" spans="1:16" x14ac:dyDescent="0.25">
      <c r="A13" s="37">
        <v>2019</v>
      </c>
      <c r="B13" s="37"/>
      <c r="C13" s="31">
        <f>B$14*(BaselineExisting+(SUM(C$5:C12)))</f>
        <v>2209.7581463191627</v>
      </c>
      <c r="D13" s="31">
        <f>D12+(NewGrowthRate*(BaselineExisting+(SUM(C$5:C12))))</f>
        <v>19104.112385858887</v>
      </c>
      <c r="E13" s="31">
        <f t="shared" si="6"/>
        <v>444.55248326678736</v>
      </c>
      <c r="F13" s="31">
        <f t="shared" si="3"/>
        <v>18659.5599025921</v>
      </c>
      <c r="G13" s="61">
        <f t="shared" si="1"/>
        <v>-0.22499999999999998</v>
      </c>
      <c r="H13" s="32">
        <f t="shared" si="7"/>
        <v>17125625.633973513</v>
      </c>
      <c r="I13" s="61">
        <f t="shared" si="4"/>
        <v>-0.36</v>
      </c>
      <c r="J13" s="36">
        <f>(E13-E12)*(BaselineUsePerUnit*(1+(AVERAGE(G$5:G13))))</f>
        <v>868827.55754962703</v>
      </c>
      <c r="K13" s="32">
        <f t="shared" si="5"/>
        <v>635485.29923629866</v>
      </c>
      <c r="L13" s="32">
        <f t="shared" si="2"/>
        <v>16892283.375660185</v>
      </c>
      <c r="M13" s="33">
        <f>SUM(L$5:L13)</f>
        <v>166077802.21279645</v>
      </c>
      <c r="N13" s="30"/>
      <c r="O13" s="38"/>
    </row>
    <row r="14" spans="1:16" x14ac:dyDescent="0.25">
      <c r="A14" s="62">
        <v>2020</v>
      </c>
      <c r="B14" s="94">
        <f>NewGrowthRate</f>
        <v>1.0188177345910487E-2</v>
      </c>
      <c r="C14" s="45">
        <f>B$14*(BaselineExisting+(SUM(C$5:C13)))</f>
        <v>2232.2715542054329</v>
      </c>
      <c r="D14" s="45">
        <f>D13+(NewGrowthRate*(BaselineExisting+(SUM(C$5:C13))))</f>
        <v>21336.383940064319</v>
      </c>
      <c r="E14" s="45">
        <f t="shared" si="6"/>
        <v>556.50984268233992</v>
      </c>
      <c r="F14" s="45">
        <f t="shared" si="3"/>
        <v>20779.87409738198</v>
      </c>
      <c r="G14" s="80">
        <f>Inputs!N34</f>
        <v>-0.25</v>
      </c>
      <c r="H14" s="46">
        <f t="shared" si="7"/>
        <v>16742036.656540748</v>
      </c>
      <c r="I14" s="80">
        <f>Inputs!N37</f>
        <v>-0.4</v>
      </c>
      <c r="J14" s="47">
        <f>(E14-E13)*(BaselineUsePerUnit*(1+(AVERAGE(G$5:G14))))</f>
        <v>965632.22495914088</v>
      </c>
      <c r="K14" s="46">
        <f t="shared" si="5"/>
        <v>671744.15649331536</v>
      </c>
      <c r="L14" s="46">
        <f t="shared" si="2"/>
        <v>16448148.588074923</v>
      </c>
      <c r="M14" s="73">
        <f>SUM(L$5:L14)</f>
        <v>182525950.80087137</v>
      </c>
      <c r="N14" s="50">
        <f>(M14-(D14*H$3))/(D14*H$3)</f>
        <v>-0.14453193515076418</v>
      </c>
      <c r="O14" s="38"/>
    </row>
    <row r="15" spans="1:16" x14ac:dyDescent="0.25">
      <c r="A15" s="37">
        <v>2021</v>
      </c>
      <c r="B15" s="37"/>
      <c r="C15" s="31">
        <f>B$29*(BaselineExisting+(SUM(C$5:C14)))</f>
        <v>2255.0143326839093</v>
      </c>
      <c r="D15" s="31">
        <f>D14+(NewGrowthRate*(BaselineExisting+(SUM(C$5:C14))))</f>
        <v>23591.398272748229</v>
      </c>
      <c r="E15" s="31">
        <f t="shared" si="6"/>
        <v>681.18908726663176</v>
      </c>
      <c r="F15" s="31">
        <f t="shared" ref="F15:F44" si="8">D15-E15</f>
        <v>22910.209185481595</v>
      </c>
      <c r="G15" s="61">
        <f t="shared" ref="G15:G28" si="9">G14+((G$29-G$14)/(A$29-A$14))</f>
        <v>-0.25333333333333335</v>
      </c>
      <c r="H15" s="32">
        <f t="shared" si="7"/>
        <v>16837440.350706521</v>
      </c>
      <c r="I15" s="61">
        <f>I14+((I$29-I$14)/(A$29-A$14))</f>
        <v>-0.40333333333333338</v>
      </c>
      <c r="J15" s="36">
        <f>(E15-E14)*(BaselineUsePerUnit*(1+(AVERAGE(G$5:G15))))</f>
        <v>1062229.3822688984</v>
      </c>
      <c r="K15" s="32">
        <f t="shared" si="5"/>
        <v>743919.49268627469</v>
      </c>
      <c r="L15" s="32">
        <f t="shared" si="2"/>
        <v>16519130.461123899</v>
      </c>
      <c r="M15" s="33">
        <f>SUM(L$5:L15)</f>
        <v>199045081.26199526</v>
      </c>
      <c r="N15" s="30"/>
      <c r="O15" s="38"/>
    </row>
    <row r="16" spans="1:16" x14ac:dyDescent="0.25">
      <c r="A16" s="37">
        <v>2022</v>
      </c>
      <c r="B16" s="37"/>
      <c r="C16" s="31">
        <f>B$29*(BaselineExisting+(SUM(C$5:C15)))</f>
        <v>2277.9888186228627</v>
      </c>
      <c r="D16" s="31">
        <f>D15+(NewGrowthRate*(BaselineExisting+(SUM(C$5:C15))))</f>
        <v>25869.387091371093</v>
      </c>
      <c r="E16" s="31">
        <f t="shared" si="6"/>
        <v>818.65034237952136</v>
      </c>
      <c r="F16" s="31">
        <f t="shared" si="8"/>
        <v>25050.73674899157</v>
      </c>
      <c r="G16" s="61">
        <f t="shared" si="9"/>
        <v>-0.25666666666666671</v>
      </c>
      <c r="H16" s="32">
        <f t="shared" si="7"/>
        <v>16933050.218429945</v>
      </c>
      <c r="I16" s="61">
        <f t="shared" ref="I16:I28" si="10">I15+((I$29-I$14)/(A$29-A$14))</f>
        <v>-0.40666666666666673</v>
      </c>
      <c r="J16" s="36">
        <f>(E16-E15)*(BaselineUsePerUnit*(1+(AVERAGE(G$5:G16))))</f>
        <v>1158683.829555732</v>
      </c>
      <c r="K16" s="32">
        <f t="shared" si="5"/>
        <v>815603.44700314489</v>
      </c>
      <c r="L16" s="32">
        <f t="shared" si="2"/>
        <v>16589969.835877359</v>
      </c>
      <c r="M16" s="33">
        <f>SUM(L$5:L16)</f>
        <v>215635051.09787261</v>
      </c>
      <c r="N16" s="30"/>
      <c r="O16" s="38"/>
    </row>
    <row r="17" spans="1:15" x14ac:dyDescent="0.25">
      <c r="A17" s="37">
        <v>2023</v>
      </c>
      <c r="B17" s="37"/>
      <c r="C17" s="31">
        <f>B$29*(BaselineExisting+(SUM(C$5:C16)))</f>
        <v>2301.1973726989936</v>
      </c>
      <c r="D17" s="31">
        <f>D16+(NewGrowthRate*(BaselineExisting+(SUM(C$5:C16))))</f>
        <v>28170.584464070085</v>
      </c>
      <c r="E17" s="31">
        <f t="shared" si="6"/>
        <v>968.95476287347083</v>
      </c>
      <c r="F17" s="31">
        <f t="shared" si="8"/>
        <v>27201.629701196616</v>
      </c>
      <c r="G17" s="61">
        <f t="shared" si="9"/>
        <v>-0.26000000000000006</v>
      </c>
      <c r="H17" s="32">
        <f t="shared" si="7"/>
        <v>17028860.557972554</v>
      </c>
      <c r="I17" s="61">
        <f t="shared" si="10"/>
        <v>-0.41000000000000009</v>
      </c>
      <c r="J17" s="36">
        <f>(E17-E16)*(BaselineUsePerUnit*(1+(AVERAGE(G$5:G17))))</f>
        <v>1255041.9111244781</v>
      </c>
      <c r="K17" s="32">
        <f t="shared" si="5"/>
        <v>886796.08091430156</v>
      </c>
      <c r="L17" s="32">
        <f t="shared" si="2"/>
        <v>16660614.727762377</v>
      </c>
      <c r="M17" s="33">
        <f>SUM(L$5:L17)</f>
        <v>232295665.82563499</v>
      </c>
      <c r="N17" s="30"/>
      <c r="O17" s="38"/>
    </row>
    <row r="18" spans="1:15" x14ac:dyDescent="0.25">
      <c r="A18" s="37">
        <v>2024</v>
      </c>
      <c r="B18" s="37"/>
      <c r="C18" s="31">
        <f>B$29*(BaselineExisting+(SUM(C$5:C17)))</f>
        <v>2324.6423796399945</v>
      </c>
      <c r="D18" s="31">
        <f>D17+(NewGrowthRate*(BaselineExisting+(SUM(C$5:C17))))</f>
        <v>30495.226843710079</v>
      </c>
      <c r="E18" s="31">
        <f t="shared" si="6"/>
        <v>1132.1645410806505</v>
      </c>
      <c r="F18" s="31">
        <f t="shared" si="8"/>
        <v>29363.062302629427</v>
      </c>
      <c r="G18" s="61">
        <f t="shared" si="9"/>
        <v>-0.26333333333333342</v>
      </c>
      <c r="H18" s="32">
        <f t="shared" si="7"/>
        <v>17124865.530014623</v>
      </c>
      <c r="I18" s="61">
        <f t="shared" si="10"/>
        <v>-0.41333333333333344</v>
      </c>
      <c r="J18" s="36">
        <f>(E18-E17)*(BaselineUsePerUnit*(1+(AVERAGE(G$5:G18))))</f>
        <v>1351338.1040844456</v>
      </c>
      <c r="K18" s="32">
        <f t="shared" si="5"/>
        <v>957497.36548212031</v>
      </c>
      <c r="L18" s="32">
        <f t="shared" si="2"/>
        <v>16731024.791412298</v>
      </c>
      <c r="M18" s="33">
        <f>SUM(L$5:L18)</f>
        <v>249026690.61704728</v>
      </c>
      <c r="N18" s="30"/>
      <c r="O18" s="38"/>
    </row>
    <row r="19" spans="1:15" x14ac:dyDescent="0.25">
      <c r="A19" s="37">
        <v>2025</v>
      </c>
      <c r="B19" s="37"/>
      <c r="C19" s="31">
        <f>B$29*(BaselineExisting+(SUM(C$5:C18)))</f>
        <v>2348.3262484695861</v>
      </c>
      <c r="D19" s="31">
        <f>D18+(NewGrowthRate*(BaselineExisting+(SUM(C$5:C18))))</f>
        <v>32843.553092179667</v>
      </c>
      <c r="E19" s="31">
        <f t="shared" si="6"/>
        <v>1308.3429148964269</v>
      </c>
      <c r="F19" s="31">
        <f t="shared" si="8"/>
        <v>31535.210177283239</v>
      </c>
      <c r="G19" s="61">
        <f t="shared" si="9"/>
        <v>-0.26666666666666677</v>
      </c>
      <c r="H19" s="32">
        <f t="shared" si="7"/>
        <v>17221059.155443627</v>
      </c>
      <c r="I19" s="61">
        <f t="shared" si="10"/>
        <v>-0.4166666666666668</v>
      </c>
      <c r="J19" s="36">
        <f>(E19-E18)*(BaselineUsePerUnit*(1+(AVERAGE(G$5:G19))))</f>
        <v>1447598.9715196299</v>
      </c>
      <c r="K19" s="32">
        <f t="shared" si="5"/>
        <v>1027707.1805920294</v>
      </c>
      <c r="L19" s="32">
        <f t="shared" si="2"/>
        <v>16801167.364516027</v>
      </c>
      <c r="M19" s="33">
        <f>SUM(L$5:L19)</f>
        <v>265827857.9815633</v>
      </c>
      <c r="N19" s="30"/>
      <c r="O19" s="38"/>
    </row>
    <row r="20" spans="1:15" x14ac:dyDescent="0.25">
      <c r="A20" s="37">
        <v>2026</v>
      </c>
      <c r="B20" s="37"/>
      <c r="C20" s="31">
        <f>B$29*(BaselineExisting+(SUM(C$5:C19)))</f>
        <v>2372.2514127550508</v>
      </c>
      <c r="D20" s="31">
        <f>D19+(NewGrowthRate*(BaselineExisting+(SUM(C$5:C19))))</f>
        <v>35215.80450493472</v>
      </c>
      <c r="E20" s="31">
        <f t="shared" si="6"/>
        <v>1497.5541759601265</v>
      </c>
      <c r="F20" s="31">
        <f t="shared" si="8"/>
        <v>33718.250328974595</v>
      </c>
      <c r="G20" s="61">
        <f t="shared" si="9"/>
        <v>-0.27000000000000013</v>
      </c>
      <c r="H20" s="32">
        <f t="shared" si="7"/>
        <v>17317435.313111868</v>
      </c>
      <c r="I20" s="61">
        <f t="shared" si="10"/>
        <v>-0.42000000000000015</v>
      </c>
      <c r="J20" s="36">
        <f>(E20-E19)*(BaselineUsePerUnit*(1+(AVERAGE(G$5:G20))))</f>
        <v>1543845.6332416236</v>
      </c>
      <c r="K20" s="32">
        <f t="shared" si="5"/>
        <v>1097425.3141694572</v>
      </c>
      <c r="L20" s="32">
        <f t="shared" si="2"/>
        <v>16871014.994039699</v>
      </c>
      <c r="M20" s="33">
        <f>SUM(L$5:L20)</f>
        <v>282698872.97560298</v>
      </c>
      <c r="N20" s="30"/>
      <c r="O20" s="38"/>
    </row>
    <row r="21" spans="1:15" x14ac:dyDescent="0.25">
      <c r="A21" s="37">
        <v>2027</v>
      </c>
      <c r="B21" s="37"/>
      <c r="C21" s="31">
        <f>B$29*(BaselineExisting+(SUM(C$5:C20)))</f>
        <v>2396.420330857286</v>
      </c>
      <c r="D21" s="31">
        <f>D20+(NewGrowthRate*(BaselineExisting+(SUM(C$5:C20))))</f>
        <v>37612.224835792003</v>
      </c>
      <c r="E21" s="31">
        <f t="shared" si="6"/>
        <v>1699.863677933974</v>
      </c>
      <c r="F21" s="31">
        <f t="shared" si="8"/>
        <v>35912.361157858031</v>
      </c>
      <c r="G21" s="61">
        <f t="shared" si="9"/>
        <v>-0.27333333333333348</v>
      </c>
      <c r="H21" s="32">
        <f t="shared" si="7"/>
        <v>17413987.737562943</v>
      </c>
      <c r="I21" s="61">
        <f t="shared" si="10"/>
        <v>-0.42333333333333351</v>
      </c>
      <c r="J21" s="36">
        <f>(E21-E20)*(BaselineUsePerUnit*(1+(AVERAGE(G$5:G21))))</f>
        <v>1640095.3645311228</v>
      </c>
      <c r="K21" s="32">
        <f t="shared" si="5"/>
        <v>1166651.4613825204</v>
      </c>
      <c r="L21" s="32">
        <f t="shared" si="2"/>
        <v>16940543.834414341</v>
      </c>
      <c r="M21" s="33">
        <f>SUM(L$5:L21)</f>
        <v>299639416.81001735</v>
      </c>
      <c r="N21" s="30"/>
      <c r="O21" s="38"/>
    </row>
    <row r="22" spans="1:15" x14ac:dyDescent="0.25">
      <c r="A22" s="37">
        <v>2028</v>
      </c>
      <c r="B22" s="37"/>
      <c r="C22" s="31">
        <f>B$29*(BaselineExisting+(SUM(C$5:C21)))</f>
        <v>2420.8354861834055</v>
      </c>
      <c r="D22" s="31">
        <f>D21+(NewGrowthRate*(BaselineExisting+(SUM(C$5:C21))))</f>
        <v>40033.060321975412</v>
      </c>
      <c r="E22" s="31">
        <f t="shared" si="6"/>
        <v>1915.3378448811222</v>
      </c>
      <c r="F22" s="31">
        <f t="shared" si="8"/>
        <v>38117.722477094292</v>
      </c>
      <c r="G22" s="61">
        <f t="shared" si="9"/>
        <v>-0.27666666666666684</v>
      </c>
      <c r="H22" s="32">
        <f t="shared" si="7"/>
        <v>17510710.016726628</v>
      </c>
      <c r="I22" s="61">
        <f t="shared" si="10"/>
        <v>-0.42666666666666686</v>
      </c>
      <c r="J22" s="36">
        <f>(E22-E21)*(BaselineUsePerUnit*(1+(AVERAGE(G$5:G22))))</f>
        <v>1736362.661982436</v>
      </c>
      <c r="K22" s="32">
        <f t="shared" si="5"/>
        <v>1235385.223830316</v>
      </c>
      <c r="L22" s="32">
        <f t="shared" si="2"/>
        <v>17009732.578574508</v>
      </c>
      <c r="M22" s="33">
        <f>SUM(L$5:L22)</f>
        <v>316649149.38859189</v>
      </c>
      <c r="N22" s="30"/>
      <c r="O22" s="38"/>
    </row>
    <row r="23" spans="1:15" x14ac:dyDescent="0.25">
      <c r="A23" s="37">
        <v>2029</v>
      </c>
      <c r="B23" s="37"/>
      <c r="C23" s="31">
        <f>B$29*(BaselineExisting+(SUM(C$5:C22)))</f>
        <v>2445.4993874419156</v>
      </c>
      <c r="D23" s="31">
        <f>D22+(NewGrowthRate*(BaselineExisting+(SUM(C$5:C22))))</f>
        <v>42478.559709417328</v>
      </c>
      <c r="E23" s="31">
        <f t="shared" si="6"/>
        <v>2144.0441797436879</v>
      </c>
      <c r="F23" s="31">
        <f t="shared" si="8"/>
        <v>40334.515529673641</v>
      </c>
      <c r="G23" s="61">
        <f t="shared" si="9"/>
        <v>-0.28000000000000019</v>
      </c>
      <c r="H23" s="32">
        <f t="shared" si="7"/>
        <v>17607595.589581788</v>
      </c>
      <c r="I23" s="61">
        <f t="shared" si="10"/>
        <v>-0.43000000000000022</v>
      </c>
      <c r="J23" s="36">
        <f>(E23-E22)*(BaselineUsePerUnit*(1+(AVERAGE(G$5:G23))))</f>
        <v>1832659.9727802956</v>
      </c>
      <c r="K23" s="32">
        <f t="shared" si="5"/>
        <v>1303626.1087166239</v>
      </c>
      <c r="L23" s="32">
        <f t="shared" si="2"/>
        <v>17078561.725518115</v>
      </c>
      <c r="M23" s="33">
        <f>SUM(L$5:L23)</f>
        <v>333727711.11410999</v>
      </c>
      <c r="N23" s="30"/>
      <c r="O23" s="38"/>
    </row>
    <row r="24" spans="1:15" x14ac:dyDescent="0.25">
      <c r="A24" s="37">
        <v>2030</v>
      </c>
      <c r="B24" s="37"/>
      <c r="C24" s="31">
        <f>B$29*(BaselineExisting+(SUM(C$5:C23)))</f>
        <v>2470.414568900489</v>
      </c>
      <c r="D24" s="31">
        <f>D23+(NewGrowthRate*(BaselineExisting+(SUM(C$5:C23))))</f>
        <v>44948.974278317815</v>
      </c>
      <c r="E24" s="31">
        <f t="shared" si="6"/>
        <v>2386.0512729217298</v>
      </c>
      <c r="F24" s="31">
        <f t="shared" si="8"/>
        <v>42562.923005396086</v>
      </c>
      <c r="G24" s="61">
        <f t="shared" si="9"/>
        <v>-0.28333333333333355</v>
      </c>
      <c r="H24" s="32">
        <f t="shared" si="7"/>
        <v>17704637.743786834</v>
      </c>
      <c r="I24" s="61">
        <f t="shared" si="10"/>
        <v>-0.43333333333333357</v>
      </c>
      <c r="J24" s="36">
        <f>(E24-E23)*(BaselineUsePerUnit*(1+(AVERAGE(G$5:G24))))</f>
        <v>1928998.2052066424</v>
      </c>
      <c r="K24" s="32">
        <f t="shared" si="5"/>
        <v>1371373.5280089036</v>
      </c>
      <c r="L24" s="32">
        <f t="shared" si="2"/>
        <v>17147013.066589095</v>
      </c>
      <c r="M24" s="33">
        <f>SUM(L$5:L24)</f>
        <v>350874724.18069911</v>
      </c>
      <c r="N24" s="30"/>
      <c r="O24" s="38"/>
    </row>
    <row r="25" spans="1:15" x14ac:dyDescent="0.25">
      <c r="A25" s="37">
        <v>2031</v>
      </c>
      <c r="B25" s="37"/>
      <c r="C25" s="31">
        <f>B$29*(BaselineExisting+(SUM(C$5:C24)))</f>
        <v>2495.5835906463685</v>
      </c>
      <c r="D25" s="31">
        <f>D24+(NewGrowthRate*(BaselineExisting+(SUM(C$5:C24))))</f>
        <v>47444.557868964184</v>
      </c>
      <c r="E25" s="31">
        <f t="shared" si="6"/>
        <v>2641.4288109541062</v>
      </c>
      <c r="F25" s="31">
        <f t="shared" si="8"/>
        <v>44803.129058010076</v>
      </c>
      <c r="G25" s="61">
        <f t="shared" si="9"/>
        <v>-0.2866666666666669</v>
      </c>
      <c r="H25" s="32">
        <f t="shared" si="7"/>
        <v>17801829.613277424</v>
      </c>
      <c r="I25" s="61">
        <f t="shared" si="10"/>
        <v>-0.43666666666666692</v>
      </c>
      <c r="J25" s="36">
        <f>(E25-E24)*(BaselineUsePerUnit*(1+(AVERAGE(G$5:G25))))</f>
        <v>2025387.0932996327</v>
      </c>
      <c r="K25" s="32">
        <f t="shared" si="5"/>
        <v>1438626.7975823863</v>
      </c>
      <c r="L25" s="32">
        <f t="shared" si="2"/>
        <v>17215069.317560177</v>
      </c>
      <c r="M25" s="33">
        <f>SUM(L$5:L25)</f>
        <v>368089793.49825931</v>
      </c>
      <c r="N25" s="30"/>
      <c r="O25" s="38"/>
    </row>
    <row r="26" spans="1:15" x14ac:dyDescent="0.25">
      <c r="A26" s="37">
        <v>2032</v>
      </c>
      <c r="B26" s="37"/>
      <c r="C26" s="31">
        <f>B$29*(BaselineExisting+(SUM(C$5:C25)))</f>
        <v>2521.0090388494177</v>
      </c>
      <c r="D26" s="31">
        <f>D25+(NewGrowthRate*(BaselineExisting+(SUM(C$5:C25))))</f>
        <v>49965.566907813605</v>
      </c>
      <c r="E26" s="31">
        <f t="shared" si="6"/>
        <v>2910.2475853021665</v>
      </c>
      <c r="F26" s="31">
        <f t="shared" si="8"/>
        <v>47055.319322511437</v>
      </c>
      <c r="G26" s="61">
        <f t="shared" si="9"/>
        <v>-0.29000000000000026</v>
      </c>
      <c r="H26" s="32">
        <f t="shared" si="7"/>
        <v>17899164.17583086</v>
      </c>
      <c r="I26" s="61">
        <f t="shared" si="10"/>
        <v>-0.44000000000000028</v>
      </c>
      <c r="J26" s="36">
        <f>(E26-E25)*(BaselineUsePerUnit*(1+(AVERAGE(G$5:G26))))</f>
        <v>2121835.4620700302</v>
      </c>
      <c r="K26" s="32">
        <f t="shared" si="5"/>
        <v>1505385.1363491367</v>
      </c>
      <c r="L26" s="32">
        <f t="shared" si="2"/>
        <v>17282713.850109968</v>
      </c>
      <c r="M26" s="33">
        <f>SUM(L$5:L26)</f>
        <v>385372507.3483693</v>
      </c>
      <c r="N26" s="30"/>
      <c r="O26" s="38"/>
    </row>
    <row r="27" spans="1:15" x14ac:dyDescent="0.25">
      <c r="A27" s="37">
        <v>2033</v>
      </c>
      <c r="B27" s="37"/>
      <c r="C27" s="31">
        <f>B$29*(BaselineExisting+(SUM(C$5:C26)))</f>
        <v>2546.6935260278588</v>
      </c>
      <c r="D27" s="31">
        <f>D26+(NewGrowthRate*(BaselineExisting+(SUM(C$5:C26))))</f>
        <v>52512.260433841468</v>
      </c>
      <c r="E27" s="31">
        <f t="shared" si="6"/>
        <v>3192.579501237235</v>
      </c>
      <c r="F27" s="31">
        <f t="shared" si="8"/>
        <v>49319.680932604235</v>
      </c>
      <c r="G27" s="61">
        <f t="shared" si="9"/>
        <v>-0.29333333333333361</v>
      </c>
      <c r="H27" s="32">
        <f t="shared" si="7"/>
        <v>17996634.250596859</v>
      </c>
      <c r="I27" s="61">
        <f t="shared" si="10"/>
        <v>-0.44333333333333363</v>
      </c>
      <c r="J27" s="36">
        <f>(E27-E26)*(BaselineUsePerUnit*(1+(AVERAGE(G$5:G27))))</f>
        <v>2218351.4235390928</v>
      </c>
      <c r="K27" s="32">
        <f t="shared" si="5"/>
        <v>1571647.6653718809</v>
      </c>
      <c r="L27" s="32">
        <f t="shared" si="2"/>
        <v>17349930.492429648</v>
      </c>
      <c r="M27" s="33">
        <f>SUM(L$5:L27)</f>
        <v>402722437.84079897</v>
      </c>
      <c r="N27" s="30"/>
      <c r="O27" s="38"/>
    </row>
    <row r="28" spans="1:15" x14ac:dyDescent="0.25">
      <c r="A28" s="37">
        <v>2034</v>
      </c>
      <c r="B28" s="37"/>
      <c r="C28" s="31">
        <f>B$29*(BaselineExisting+(SUM(C$5:C27)))</f>
        <v>2572.6396913167127</v>
      </c>
      <c r="D28" s="31">
        <f>D27+(NewGrowthRate*(BaselineExisting+(SUM(C$5:C27))))</f>
        <v>55084.900125158179</v>
      </c>
      <c r="E28" s="31">
        <f t="shared" si="6"/>
        <v>3488.4975868328606</v>
      </c>
      <c r="F28" s="31">
        <f t="shared" si="8"/>
        <v>51596.402538325317</v>
      </c>
      <c r="G28" s="61">
        <f t="shared" si="9"/>
        <v>-0.29666666666666697</v>
      </c>
      <c r="H28" s="32">
        <f t="shared" si="7"/>
        <v>18094232.495594203</v>
      </c>
      <c r="I28" s="61">
        <f t="shared" si="10"/>
        <v>-0.44666666666666699</v>
      </c>
      <c r="J28" s="36">
        <f>(E28-E27)*(BaselineUsePerUnit*(1+(AVERAGE(G$5:G28))))</f>
        <v>2314942.5237741126</v>
      </c>
      <c r="K28" s="32">
        <f t="shared" si="5"/>
        <v>1637413.4069624606</v>
      </c>
      <c r="L28" s="32">
        <f t="shared" si="2"/>
        <v>17416703.378782552</v>
      </c>
      <c r="M28" s="33">
        <f>SUM(L$5:L28)</f>
        <v>420139141.21958154</v>
      </c>
      <c r="N28" s="30"/>
      <c r="O28" s="38"/>
    </row>
    <row r="29" spans="1:15" x14ac:dyDescent="0.25">
      <c r="A29" s="62">
        <v>2035</v>
      </c>
      <c r="B29" s="94">
        <f>NewGrowthRate</f>
        <v>1.0188177345910487E-2</v>
      </c>
      <c r="C29" s="45">
        <f>B$29*(BaselineExisting+(SUM(C$5:C28)))</f>
        <v>2598.8502007389761</v>
      </c>
      <c r="D29" s="45">
        <f>D28+(NewGrowthRate*(BaselineExisting+(SUM(C$5:C28))))</f>
        <v>57683.750325897156</v>
      </c>
      <c r="E29" s="45">
        <f t="shared" si="6"/>
        <v>3798.0760020628127</v>
      </c>
      <c r="F29" s="45">
        <f t="shared" si="8"/>
        <v>53885.674323834341</v>
      </c>
      <c r="G29" s="80">
        <f>Inputs!N35</f>
        <v>-0.3</v>
      </c>
      <c r="H29" s="46">
        <f t="shared" si="7"/>
        <v>18191951.405172832</v>
      </c>
      <c r="I29" s="80">
        <f>Inputs!N38</f>
        <v>-0.44999999999999996</v>
      </c>
      <c r="J29" s="47">
        <f>(E29-E28)*(BaselineUsePerUnit*(1+(AVERAGE(G$5:G29))))</f>
        <v>2411615.8546413262</v>
      </c>
      <c r="K29" s="46">
        <f t="shared" si="5"/>
        <v>1702681.2837647365</v>
      </c>
      <c r="L29" s="46">
        <f t="shared" si="2"/>
        <v>17483016.834296241</v>
      </c>
      <c r="M29" s="73">
        <f>SUM(L$5:L29)</f>
        <v>437622158.05387777</v>
      </c>
      <c r="N29" s="50">
        <f>(M29-(D29*H$3))/(D29*H$3)</f>
        <v>-0.241342396114271</v>
      </c>
      <c r="O29" s="38"/>
    </row>
    <row r="30" spans="1:15" x14ac:dyDescent="0.25">
      <c r="A30" s="37">
        <v>2036</v>
      </c>
      <c r="B30" s="37"/>
      <c r="C30" s="31">
        <f>B$44*(BaselineExisting+(SUM(C$5:C29)))</f>
        <v>2625.3277474795595</v>
      </c>
      <c r="D30" s="31">
        <f>D29+(NewGrowthRate*(BaselineExisting+(SUM(C$5:C29))))</f>
        <v>60309.078073376717</v>
      </c>
      <c r="E30" s="31">
        <f t="shared" si="6"/>
        <v>4121.3900480058192</v>
      </c>
      <c r="F30" s="31">
        <f t="shared" si="8"/>
        <v>56187.688025370895</v>
      </c>
      <c r="G30" s="61">
        <f t="shared" ref="G30:G43" si="11">G29+((G$44-G$14)/(A$44-A$14))</f>
        <v>-0.30333333333333334</v>
      </c>
      <c r="H30" s="32">
        <f t="shared" si="7"/>
        <v>18289783.307440929</v>
      </c>
      <c r="I30" s="61">
        <f>I29+((I$44-I$29)/(A$44-A$29))</f>
        <v>-0.45333333333333331</v>
      </c>
      <c r="J30" s="36">
        <f>(E30-E29)*(BaselineUsePerUnit*(1+(AVERAGE(G$5:G30))))</f>
        <v>2508378.139774492</v>
      </c>
      <c r="K30" s="32">
        <f t="shared" si="5"/>
        <v>1767450.1178217686</v>
      </c>
      <c r="L30" s="32">
        <f t="shared" si="2"/>
        <v>17548855.285488207</v>
      </c>
      <c r="M30" s="33">
        <f>SUM(L$5:L30)</f>
        <v>455171013.33936596</v>
      </c>
      <c r="N30" s="30"/>
      <c r="O30" s="38"/>
    </row>
    <row r="31" spans="1:15" x14ac:dyDescent="0.25">
      <c r="A31" s="37">
        <v>2037</v>
      </c>
      <c r="B31" s="37"/>
      <c r="C31" s="31">
        <f>B$44*(BaselineExisting+(SUM(C$5:C30)))</f>
        <v>2652.0750521620212</v>
      </c>
      <c r="D31" s="31">
        <f>D30+(NewGrowthRate*(BaselineExisting+(SUM(C$5:C30))))</f>
        <v>62961.153125538738</v>
      </c>
      <c r="E31" s="31">
        <f t="shared" si="6"/>
        <v>4458.5161761580448</v>
      </c>
      <c r="F31" s="31">
        <f t="shared" si="8"/>
        <v>58502.636949380692</v>
      </c>
      <c r="G31" s="61">
        <f t="shared" si="11"/>
        <v>-0.3066666666666667</v>
      </c>
      <c r="H31" s="32">
        <f t="shared" si="7"/>
        <v>18387720.361656681</v>
      </c>
      <c r="I31" s="61">
        <f t="shared" ref="I31:I43" si="12">I30+((I$44-I$29)/(A$44-A$29))</f>
        <v>-0.45666666666666667</v>
      </c>
      <c r="J31" s="36">
        <f>(E31-E30)*(BaselineUsePerUnit*(1+(AVERAGE(G$5:G31))))</f>
        <v>2605235.801443032</v>
      </c>
      <c r="K31" s="32">
        <f t="shared" si="5"/>
        <v>1831718.6296270925</v>
      </c>
      <c r="L31" s="32">
        <f t="shared" si="2"/>
        <v>17614203.189840741</v>
      </c>
      <c r="M31" s="33">
        <f>SUM(L$5:L31)</f>
        <v>472785216.52920669</v>
      </c>
      <c r="N31" s="30"/>
      <c r="O31" s="38"/>
    </row>
    <row r="32" spans="1:15" x14ac:dyDescent="0.25">
      <c r="A32" s="37">
        <v>2038</v>
      </c>
      <c r="B32" s="37"/>
      <c r="C32" s="31">
        <f>B$44*(BaselineExisting+(SUM(C$5:C31)))</f>
        <v>2679.0948631281126</v>
      </c>
      <c r="D32" s="31">
        <f>D31+(NewGrowthRate*(BaselineExisting+(SUM(C$5:C31))))</f>
        <v>65640.247988666844</v>
      </c>
      <c r="E32" s="31">
        <f t="shared" si="6"/>
        <v>4809.5319978543293</v>
      </c>
      <c r="F32" s="31">
        <f t="shared" si="8"/>
        <v>60830.715990812518</v>
      </c>
      <c r="G32" s="61">
        <f t="shared" si="11"/>
        <v>-0.31000000000000005</v>
      </c>
      <c r="H32" s="32">
        <f t="shared" si="7"/>
        <v>18485754.555583976</v>
      </c>
      <c r="I32" s="61">
        <f t="shared" si="12"/>
        <v>-0.46</v>
      </c>
      <c r="J32" s="36">
        <f>(E32-E31)*(BaselineUsePerUnit*(1+(AVERAGE(G$5:G32))))</f>
        <v>2702195.013094076</v>
      </c>
      <c r="K32" s="32">
        <f t="shared" si="5"/>
        <v>1895485.4371599366</v>
      </c>
      <c r="L32" s="32">
        <f t="shared" si="2"/>
        <v>17679044.979649838</v>
      </c>
      <c r="M32" s="33">
        <f>SUM(L$5:L32)</f>
        <v>490464261.50885653</v>
      </c>
      <c r="N32" s="30"/>
      <c r="O32" s="38"/>
    </row>
    <row r="33" spans="1:15" x14ac:dyDescent="0.25">
      <c r="A33" s="37">
        <v>2039</v>
      </c>
      <c r="B33" s="37"/>
      <c r="C33" s="31">
        <f>B$44*(BaselineExisting+(SUM(C$5:C32)))</f>
        <v>2706.3899567201797</v>
      </c>
      <c r="D33" s="31">
        <f>D32+(NewGrowthRate*(BaselineExisting+(SUM(C$5:C32))))</f>
        <v>68346.637945387018</v>
      </c>
      <c r="E33" s="31">
        <f t="shared" si="6"/>
        <v>5174.5162937992045</v>
      </c>
      <c r="F33" s="31">
        <f t="shared" si="8"/>
        <v>63172.121651587811</v>
      </c>
      <c r="G33" s="61">
        <f t="shared" si="11"/>
        <v>-0.31333333333333341</v>
      </c>
      <c r="H33" s="32">
        <f t="shared" si="7"/>
        <v>18583877.702811897</v>
      </c>
      <c r="I33" s="61">
        <f t="shared" si="12"/>
        <v>-0.46333333333333337</v>
      </c>
      <c r="J33" s="36">
        <f>(E33-E32)*(BaselineUsePerUnit*(1+(AVERAGE(G$5:G33))))</f>
        <v>2799261.7410254935</v>
      </c>
      <c r="K33" s="32">
        <f t="shared" si="5"/>
        <v>1958749.0549041631</v>
      </c>
      <c r="L33" s="32">
        <f t="shared" si="2"/>
        <v>17743365.016690567</v>
      </c>
      <c r="M33" s="33">
        <f>SUM(L$5:L33)</f>
        <v>508207626.52554709</v>
      </c>
      <c r="N33" s="30"/>
      <c r="O33" s="38"/>
    </row>
    <row r="34" spans="1:15" x14ac:dyDescent="0.25">
      <c r="A34" s="37">
        <v>2040</v>
      </c>
      <c r="B34" s="37"/>
      <c r="C34" s="31">
        <f>B$44*(BaselineExisting+(SUM(C$5:C33)))</f>
        <v>2733.9631375664358</v>
      </c>
      <c r="D34" s="31">
        <f>D33+(NewGrowthRate*(BaselineExisting+(SUM(C$5:C33))))</f>
        <v>71080.60108295345</v>
      </c>
      <c r="E34" s="31">
        <f t="shared" si="6"/>
        <v>5553.5490237087315</v>
      </c>
      <c r="F34" s="31">
        <f t="shared" si="8"/>
        <v>65527.052059244721</v>
      </c>
      <c r="G34" s="61">
        <f t="shared" si="11"/>
        <v>-0.31666666666666676</v>
      </c>
      <c r="H34" s="32">
        <f t="shared" si="7"/>
        <v>18682081.440037306</v>
      </c>
      <c r="I34" s="61">
        <f t="shared" si="12"/>
        <v>-0.46666666666666673</v>
      </c>
      <c r="J34" s="36">
        <f>(E34-E33)*(BaselineUsePerUnit*(1+(AVERAGE(G$5:G34))))</f>
        <v>2896441.7777253021</v>
      </c>
      <c r="K34" s="32">
        <f t="shared" si="5"/>
        <v>2021507.8928508104</v>
      </c>
      <c r="L34" s="32">
        <f t="shared" si="2"/>
        <v>17807147.555162814</v>
      </c>
      <c r="M34" s="33">
        <f>SUM(L$5:L34)</f>
        <v>526014774.08070987</v>
      </c>
      <c r="N34" s="30"/>
      <c r="O34" s="38"/>
    </row>
    <row r="35" spans="1:15" x14ac:dyDescent="0.25">
      <c r="A35" s="37">
        <v>2041</v>
      </c>
      <c r="B35" s="37"/>
      <c r="C35" s="31">
        <f>B$44*(BaselineExisting+(SUM(C$5:C34)))</f>
        <v>2761.8172388691441</v>
      </c>
      <c r="D35" s="31">
        <f>D34+(NewGrowthRate*(BaselineExisting+(SUM(C$5:C34))))</f>
        <v>73842.418321822595</v>
      </c>
      <c r="E35" s="31">
        <f t="shared" si="6"/>
        <v>5946.7113360641997</v>
      </c>
      <c r="F35" s="31">
        <f t="shared" si="8"/>
        <v>67895.706985758399</v>
      </c>
      <c r="G35" s="61">
        <f t="shared" si="11"/>
        <v>-0.32000000000000012</v>
      </c>
      <c r="H35" s="32">
        <f t="shared" si="7"/>
        <v>18780357.224310178</v>
      </c>
      <c r="I35" s="61">
        <f t="shared" si="12"/>
        <v>-0.47000000000000008</v>
      </c>
      <c r="J35" s="36">
        <f>(E35-E34)*(BaselineUsePerUnit*(1+(AVERAGE(G$5:G35))))</f>
        <v>2993740.768758331</v>
      </c>
      <c r="K35" s="32">
        <f t="shared" si="5"/>
        <v>2083760.255483981</v>
      </c>
      <c r="L35" s="32">
        <f t="shared" si="2"/>
        <v>17870376.711035829</v>
      </c>
      <c r="M35" s="33">
        <f>SUM(L$5:L35)</f>
        <v>543885150.79174566</v>
      </c>
      <c r="N35" s="30"/>
      <c r="O35" s="38"/>
    </row>
    <row r="36" spans="1:15" x14ac:dyDescent="0.25">
      <c r="A36" s="37">
        <v>2042</v>
      </c>
      <c r="B36" s="37"/>
      <c r="C36" s="31">
        <f>B$44*(BaselineExisting+(SUM(C$5:C35)))</f>
        <v>2789.955122695736</v>
      </c>
      <c r="D36" s="31">
        <f>D35+(NewGrowthRate*(BaselineExisting+(SUM(C$5:C35))))</f>
        <v>76632.373444518336</v>
      </c>
      <c r="E36" s="31">
        <f t="shared" si="6"/>
        <v>6354.0855779787498</v>
      </c>
      <c r="F36" s="31">
        <f t="shared" si="8"/>
        <v>70278.287866539584</v>
      </c>
      <c r="G36" s="61">
        <f t="shared" si="11"/>
        <v>-0.32333333333333347</v>
      </c>
      <c r="H36" s="32">
        <f t="shared" si="7"/>
        <v>18878696.330241144</v>
      </c>
      <c r="I36" s="61">
        <f t="shared" si="12"/>
        <v>-0.47333333333333344</v>
      </c>
      <c r="J36" s="36">
        <f>(E36-E35)*(BaselineUsePerUnit*(1+(AVERAGE(G$5:G36))))</f>
        <v>3091164.2346109794</v>
      </c>
      <c r="K36" s="32">
        <f t="shared" si="5"/>
        <v>2145504.3407499637</v>
      </c>
      <c r="L36" s="32">
        <f t="shared" si="2"/>
        <v>17933036.436380129</v>
      </c>
      <c r="M36" s="33">
        <f>SUM(L$5:L36)</f>
        <v>561818187.22812581</v>
      </c>
      <c r="N36" s="30"/>
      <c r="O36" s="38"/>
    </row>
    <row r="37" spans="1:15" x14ac:dyDescent="0.25">
      <c r="A37" s="37">
        <v>2043</v>
      </c>
      <c r="B37" s="37"/>
      <c r="C37" s="31">
        <f>B$44*(BaselineExisting+(SUM(C$5:C36)))</f>
        <v>2818.3796802728912</v>
      </c>
      <c r="D37" s="31">
        <f>D36+(NewGrowthRate*(BaselineExisting+(SUM(C$5:C36))))</f>
        <v>79450.753124791227</v>
      </c>
      <c r="E37" s="31">
        <f t="shared" si="6"/>
        <v>6775.7553051779869</v>
      </c>
      <c r="F37" s="31">
        <f t="shared" si="8"/>
        <v>72674.997819613243</v>
      </c>
      <c r="G37" s="61">
        <f t="shared" si="11"/>
        <v>-0.32666666666666683</v>
      </c>
      <c r="H37" s="32">
        <f t="shared" si="7"/>
        <v>18977089.847170793</v>
      </c>
      <c r="I37" s="61">
        <f t="shared" si="12"/>
        <v>-0.47666666666666679</v>
      </c>
      <c r="J37" s="36">
        <f>(E37-E36)*(BaselineUsePerUnit*(1+(AVERAGE(G$5:G37))))</f>
        <v>3188717.5885627149</v>
      </c>
      <c r="K37" s="32">
        <f t="shared" si="5"/>
        <v>2206738.2390093398</v>
      </c>
      <c r="L37" s="32">
        <f t="shared" si="2"/>
        <v>17995110.497617416</v>
      </c>
      <c r="M37" s="33">
        <f>SUM(L$5:L37)</f>
        <v>579813297.72574317</v>
      </c>
      <c r="N37" s="30"/>
      <c r="O37" s="38"/>
    </row>
    <row r="38" spans="1:15" x14ac:dyDescent="0.25">
      <c r="A38" s="37">
        <v>2044</v>
      </c>
      <c r="B38" s="37"/>
      <c r="C38" s="31">
        <f>B$44*(BaselineExisting+(SUM(C$5:C37)))</f>
        <v>2847.0938322836219</v>
      </c>
      <c r="D38" s="31">
        <f>D37+(NewGrowthRate*(BaselineExisting+(SUM(C$5:C37))))</f>
        <v>82297.846957074842</v>
      </c>
      <c r="E38" s="31">
        <f t="shared" si="6"/>
        <v>7211.8052920956661</v>
      </c>
      <c r="F38" s="31">
        <f t="shared" si="8"/>
        <v>75086.041664979173</v>
      </c>
      <c r="G38" s="61">
        <f t="shared" si="11"/>
        <v>-0.33000000000000018</v>
      </c>
      <c r="H38" s="32">
        <f t="shared" si="7"/>
        <v>19075528.676300261</v>
      </c>
      <c r="I38" s="61">
        <f t="shared" si="12"/>
        <v>-0.48000000000000015</v>
      </c>
      <c r="J38" s="36">
        <f>(E38-E37)*(BaselineUsePerUnit*(1+(AVERAGE(G$5:G38))))</f>
        <v>3286406.1514016269</v>
      </c>
      <c r="K38" s="32">
        <f t="shared" si="5"/>
        <v>2267459.9319719309</v>
      </c>
      <c r="L38" s="32">
        <f t="shared" si="2"/>
        <v>18056582.456870563</v>
      </c>
      <c r="M38" s="33">
        <f>SUM(L$5:L38)</f>
        <v>597869880.18261373</v>
      </c>
      <c r="N38" s="30"/>
      <c r="O38" s="38"/>
    </row>
    <row r="39" spans="1:15" x14ac:dyDescent="0.25">
      <c r="A39" s="37">
        <v>2045</v>
      </c>
      <c r="B39" s="37"/>
      <c r="C39" s="31">
        <f>B$44*(BaselineExisting+(SUM(C$5:C38)))</f>
        <v>2876.1005291673755</v>
      </c>
      <c r="D39" s="31">
        <f>D38+(NewGrowthRate*(BaselineExisting+(SUM(C$5:C38))))</f>
        <v>85173.947486242221</v>
      </c>
      <c r="E39" s="31">
        <f t="shared" si="6"/>
        <v>7662.3215420855413</v>
      </c>
      <c r="F39" s="31">
        <f t="shared" si="8"/>
        <v>77511.62594415668</v>
      </c>
      <c r="G39" s="61">
        <f t="shared" si="11"/>
        <v>-0.33333333333333354</v>
      </c>
      <c r="H39" s="32">
        <f t="shared" si="7"/>
        <v>19174003.5277825</v>
      </c>
      <c r="I39" s="61">
        <f t="shared" si="12"/>
        <v>-0.4833333333333335</v>
      </c>
      <c r="J39" s="36">
        <f>(E39-E38)*(BaselineUsePerUnit*(1+(AVERAGE(G$5:G39))))</f>
        <v>3384235.1636144193</v>
      </c>
      <c r="K39" s="32">
        <f t="shared" si="5"/>
        <v>2327667.2916143546</v>
      </c>
      <c r="L39" s="32">
        <f t="shared" si="2"/>
        <v>18117435.655782435</v>
      </c>
      <c r="M39" s="33">
        <f>SUM(L$5:L39)</f>
        <v>615987315.83839619</v>
      </c>
      <c r="N39" s="30"/>
      <c r="O39" s="38"/>
    </row>
    <row r="40" spans="1:15" x14ac:dyDescent="0.25">
      <c r="A40" s="37">
        <v>2046</v>
      </c>
      <c r="B40" s="37"/>
      <c r="C40" s="31">
        <f>B$44*(BaselineExisting+(SUM(C$5:C39)))</f>
        <v>2905.4027514231998</v>
      </c>
      <c r="D40" s="31">
        <f>D39+(NewGrowthRate*(BaselineExisting+(SUM(C$5:C39))))</f>
        <v>88079.350237665421</v>
      </c>
      <c r="E40" s="31">
        <f t="shared" si="6"/>
        <v>8127.3912977504815</v>
      </c>
      <c r="F40" s="31">
        <f t="shared" si="8"/>
        <v>79951.958939914941</v>
      </c>
      <c r="G40" s="61">
        <f t="shared" si="11"/>
        <v>-0.33666666666666689</v>
      </c>
      <c r="H40" s="32">
        <f t="shared" si="7"/>
        <v>19272504.917773888</v>
      </c>
      <c r="I40" s="61">
        <f t="shared" si="12"/>
        <v>-0.48666666666666686</v>
      </c>
      <c r="J40" s="36">
        <f>(E40-E39)*(BaselineUsePerUnit*(1+(AVERAGE(G$5:G40))))</f>
        <v>3482209.7955412399</v>
      </c>
      <c r="K40" s="32">
        <f t="shared" si="5"/>
        <v>2387358.0790800257</v>
      </c>
      <c r="L40" s="32">
        <f t="shared" si="2"/>
        <v>18177653.201312672</v>
      </c>
      <c r="M40" s="33">
        <f>SUM(L$5:L40)</f>
        <v>634164969.03970885</v>
      </c>
      <c r="N40" s="30"/>
      <c r="O40" s="38"/>
    </row>
    <row r="41" spans="1:15" x14ac:dyDescent="0.25">
      <c r="A41" s="37">
        <v>2047</v>
      </c>
      <c r="B41" s="37"/>
      <c r="C41" s="31">
        <f>B$44*(BaselineExisting+(SUM(C$5:C40)))</f>
        <v>2935.0035099159959</v>
      </c>
      <c r="D41" s="31">
        <f>D40+(NewGrowthRate*(BaselineExisting+(SUM(C$5:C40))))</f>
        <v>91014.353747581423</v>
      </c>
      <c r="E41" s="31">
        <f t="shared" si="6"/>
        <v>8607.1030513899714</v>
      </c>
      <c r="F41" s="31">
        <f t="shared" si="8"/>
        <v>82407.250696191448</v>
      </c>
      <c r="G41" s="61">
        <f t="shared" si="11"/>
        <v>-0.34000000000000025</v>
      </c>
      <c r="H41" s="32">
        <f t="shared" si="7"/>
        <v>19371023.165445566</v>
      </c>
      <c r="I41" s="61">
        <f t="shared" si="12"/>
        <v>-0.49000000000000021</v>
      </c>
      <c r="J41" s="36">
        <f>(E41-E40)*(BaselineUsePerUnit*(1+(AVERAGE(G$5:G41))))</f>
        <v>3580335.1558795981</v>
      </c>
      <c r="K41" s="32">
        <f t="shared" si="5"/>
        <v>2446529.9435613975</v>
      </c>
      <c r="L41" s="32">
        <f t="shared" si="2"/>
        <v>18237217.953127366</v>
      </c>
      <c r="M41" s="33">
        <f>SUM(L$5:L41)</f>
        <v>652402186.99283624</v>
      </c>
      <c r="N41" s="30"/>
      <c r="O41" s="38"/>
    </row>
    <row r="42" spans="1:15" x14ac:dyDescent="0.25">
      <c r="A42" s="37">
        <v>2048</v>
      </c>
      <c r="B42" s="37"/>
      <c r="C42" s="31">
        <f>B$44*(BaselineExisting+(SUM(C$5:C41)))</f>
        <v>2964.9058461858899</v>
      </c>
      <c r="D42" s="31">
        <f>D41+(NewGrowthRate*(BaselineExisting+(SUM(C$5:C41))))</f>
        <v>93979.259593767318</v>
      </c>
      <c r="E42" s="31">
        <f t="shared" si="6"/>
        <v>9101.5465555671199</v>
      </c>
      <c r="F42" s="31">
        <f t="shared" si="8"/>
        <v>84877.713038200192</v>
      </c>
      <c r="G42" s="61">
        <f t="shared" si="11"/>
        <v>-0.3433333333333336</v>
      </c>
      <c r="H42" s="32">
        <f t="shared" si="7"/>
        <v>19469548.389954001</v>
      </c>
      <c r="I42" s="61">
        <f t="shared" si="12"/>
        <v>-0.49333333333333357</v>
      </c>
      <c r="J42" s="36">
        <f>(E42-E41)*(BaselineUsePerUnit*(1+(AVERAGE(G$5:G42))))</f>
        <v>3678616.2988407761</v>
      </c>
      <c r="K42" s="32">
        <f t="shared" si="5"/>
        <v>2505180.4211642174</v>
      </c>
      <c r="L42" s="32">
        <f t="shared" si="2"/>
        <v>18296112.512277443</v>
      </c>
      <c r="M42" s="33">
        <f>SUM(L$5:L42)</f>
        <v>670698299.50511372</v>
      </c>
      <c r="N42" s="30"/>
      <c r="O42" s="38"/>
    </row>
    <row r="43" spans="1:15" x14ac:dyDescent="0.25">
      <c r="A43" s="37">
        <v>2049</v>
      </c>
      <c r="B43" s="37"/>
      <c r="C43" s="31">
        <f>B$44*(BaselineExisting+(SUM(C$5:C42)))</f>
        <v>2995.1128327607589</v>
      </c>
      <c r="D43" s="31">
        <f>D42+(NewGrowthRate*(BaselineExisting+(SUM(C$5:C42))))</f>
        <v>96974.372426528076</v>
      </c>
      <c r="E43" s="31">
        <f t="shared" si="6"/>
        <v>9610.8128337963208</v>
      </c>
      <c r="F43" s="31">
        <f t="shared" si="8"/>
        <v>87363.559592731763</v>
      </c>
      <c r="G43" s="61">
        <f t="shared" si="11"/>
        <v>-0.34666666666666696</v>
      </c>
      <c r="H43" s="32">
        <f t="shared" si="7"/>
        <v>19568070.507370286</v>
      </c>
      <c r="I43" s="61">
        <f t="shared" si="12"/>
        <v>-0.49666666666666692</v>
      </c>
      <c r="J43" s="36">
        <f>(E43-E42)*(BaselineUsePerUnit*(1+(AVERAGE(G$5:G43))))</f>
        <v>3777058.2301999065</v>
      </c>
      <c r="K43" s="32">
        <f t="shared" si="5"/>
        <v>2563306.9337536432</v>
      </c>
      <c r="L43" s="32">
        <f t="shared" si="2"/>
        <v>18354319.210924022</v>
      </c>
      <c r="M43" s="33">
        <f>SUM(L$5:L43)</f>
        <v>689052618.71603775</v>
      </c>
      <c r="N43" s="30"/>
      <c r="O43" s="38"/>
    </row>
    <row r="44" spans="1:15" x14ac:dyDescent="0.25">
      <c r="A44" s="62">
        <v>2050</v>
      </c>
      <c r="B44" s="94">
        <f>NewGrowthRate</f>
        <v>1.0188177345910487E-2</v>
      </c>
      <c r="C44" s="45">
        <f>B$44*(BaselineExisting+(SUM(C$5:C43)))</f>
        <v>3025.6275734719375</v>
      </c>
      <c r="D44" s="45">
        <f>D43+(NewGrowthRate*(BaselineExisting+(SUM(C$5:C43))))</f>
        <v>100000.00000000001</v>
      </c>
      <c r="E44" s="45">
        <f t="shared" si="6"/>
        <v>10134.994191352711</v>
      </c>
      <c r="F44" s="45">
        <f t="shared" si="8"/>
        <v>89865.0058086473</v>
      </c>
      <c r="G44" s="80">
        <f>Inputs!N36</f>
        <v>-0.35</v>
      </c>
      <c r="H44" s="46">
        <f t="shared" si="7"/>
        <v>19666579.227567594</v>
      </c>
      <c r="I44" s="80">
        <f>Inputs!N39</f>
        <v>-0.5</v>
      </c>
      <c r="J44" s="47">
        <f>(E44-E43)*(BaselineUsePerUnit*(1+(AVERAGE(G$5:G44))))</f>
        <v>3875665.9124325593</v>
      </c>
      <c r="K44" s="46">
        <f t="shared" si="5"/>
        <v>2620906.7877819506</v>
      </c>
      <c r="L44" s="46">
        <f>(H44-J44)+K44</f>
        <v>18411820.102916986</v>
      </c>
      <c r="M44" s="73">
        <f>SUM(L$5:L44)</f>
        <v>707464438.81895471</v>
      </c>
      <c r="N44" s="50">
        <f>(M44-(NewUnits2050*BaselineUsePerUnit))/(NewUnits2050*BaselineUsePerUnit)</f>
        <v>-0.29253556118104529</v>
      </c>
      <c r="O44" s="63" t="s">
        <v>60</v>
      </c>
    </row>
    <row r="45" spans="1:15" x14ac:dyDescent="0.25">
      <c r="A45" s="41"/>
      <c r="B45" s="41"/>
      <c r="C45" s="41"/>
      <c r="D45" s="42"/>
      <c r="E45" s="43"/>
      <c r="F45" s="43"/>
      <c r="G45" s="44"/>
      <c r="H45" s="41"/>
      <c r="I45" s="44"/>
      <c r="J45" s="44"/>
      <c r="K45" s="41"/>
      <c r="L45" s="41"/>
      <c r="M45" s="69" t="s">
        <v>66</v>
      </c>
      <c r="O45" s="68" t="s">
        <v>59</v>
      </c>
    </row>
    <row r="46" spans="1:15" x14ac:dyDescent="0.25">
      <c r="E46" s="13"/>
      <c r="F46" s="13"/>
      <c r="G46" s="9"/>
      <c r="I46" s="9"/>
      <c r="J46" s="9"/>
      <c r="M46" s="33">
        <f>SUM(M4:M44)</f>
        <v>14500382442.396208</v>
      </c>
      <c r="O46" s="64">
        <f>(1+N44)*BaselineUsePerUnit*NewUnits2050</f>
        <v>707464438.81895471</v>
      </c>
    </row>
    <row r="47" spans="1:15" x14ac:dyDescent="0.25">
      <c r="M47" s="6"/>
      <c r="O47" s="65" t="str">
        <f>IF((M44-O46)&lt;0.1,"true","false")</f>
        <v>true</v>
      </c>
    </row>
    <row r="48" spans="1:15" x14ac:dyDescent="0.25">
      <c r="E48" s="8"/>
      <c r="F48" s="8"/>
    </row>
    <row r="50" spans="5:6" x14ac:dyDescent="0.25">
      <c r="E50" s="11"/>
      <c r="F50" s="11"/>
    </row>
    <row r="51" spans="5:6" x14ac:dyDescent="0.25">
      <c r="E51" s="8"/>
      <c r="F51" s="8"/>
    </row>
    <row r="52" spans="5:6" x14ac:dyDescent="0.25">
      <c r="E52" s="8"/>
      <c r="F52" s="8"/>
    </row>
    <row r="53" spans="5:6" x14ac:dyDescent="0.25">
      <c r="E53" s="8"/>
      <c r="F53" s="8"/>
    </row>
    <row r="56" spans="5:6" x14ac:dyDescent="0.25">
      <c r="E56" s="12"/>
      <c r="F56" s="12"/>
    </row>
  </sheetData>
  <pageMargins left="0.7" right="0.7" top="0.75" bottom="0.75" header="0.3" footer="0.3"/>
  <ignoredErrors>
    <ignoredError sqref="I5:I13" formula="1"/>
  </ignoredErrors>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8"/>
  <sheetViews>
    <sheetView workbookViewId="0">
      <pane ySplit="5" topLeftCell="A6" activePane="bottomLeft" state="frozen"/>
      <selection pane="bottomLeft" activeCell="J6" sqref="J6"/>
    </sheetView>
  </sheetViews>
  <sheetFormatPr defaultRowHeight="15" x14ac:dyDescent="0.25"/>
  <cols>
    <col min="2" max="2" width="17.42578125" customWidth="1"/>
    <col min="3" max="3" width="12.5703125" customWidth="1"/>
    <col min="4" max="4" width="15.7109375" customWidth="1"/>
    <col min="5" max="5" width="18.28515625" bestFit="1" customWidth="1"/>
    <col min="6" max="6" width="19.28515625" customWidth="1"/>
    <col min="7" max="7" width="13.85546875" customWidth="1"/>
    <col min="8" max="8" width="15.7109375" customWidth="1"/>
    <col min="9" max="9" width="18.28515625" customWidth="1"/>
    <col min="10" max="10" width="18.42578125" style="54" customWidth="1"/>
    <col min="11" max="12" width="15.7109375" style="54" customWidth="1"/>
    <col min="13" max="14" width="12.85546875" hidden="1" customWidth="1"/>
    <col min="15" max="15" width="18.28515625" customWidth="1"/>
    <col min="16" max="16" width="17.5703125" customWidth="1"/>
    <col min="17" max="17" width="16" style="37" bestFit="1" customWidth="1"/>
  </cols>
  <sheetData>
    <row r="1" spans="1:17" ht="23.25" customHeight="1" x14ac:dyDescent="0.3">
      <c r="A1" s="66" t="s">
        <v>44</v>
      </c>
      <c r="B1" s="39"/>
      <c r="C1" s="39"/>
      <c r="D1" s="39"/>
      <c r="E1" s="39"/>
      <c r="F1" s="39"/>
      <c r="G1" s="39"/>
      <c r="H1" s="39"/>
      <c r="I1" s="39"/>
      <c r="J1" s="52"/>
      <c r="K1" s="52"/>
      <c r="L1" s="52"/>
      <c r="M1" s="39"/>
      <c r="N1" s="39"/>
      <c r="O1" s="39"/>
      <c r="P1" s="39"/>
    </row>
    <row r="2" spans="1:17" ht="102.75" x14ac:dyDescent="0.25">
      <c r="A2" s="37" t="s">
        <v>33</v>
      </c>
      <c r="B2" s="7" t="s">
        <v>78</v>
      </c>
      <c r="C2" s="7" t="s">
        <v>56</v>
      </c>
      <c r="D2" s="53" t="s">
        <v>82</v>
      </c>
      <c r="E2" s="7" t="s">
        <v>45</v>
      </c>
      <c r="F2" s="7" t="s">
        <v>47</v>
      </c>
      <c r="G2" s="7" t="s">
        <v>53</v>
      </c>
      <c r="H2" s="53" t="s">
        <v>46</v>
      </c>
      <c r="I2" s="7" t="s">
        <v>48</v>
      </c>
      <c r="J2" s="53" t="s">
        <v>54</v>
      </c>
      <c r="K2" s="53" t="s">
        <v>49</v>
      </c>
      <c r="L2" s="53" t="s">
        <v>50</v>
      </c>
      <c r="M2" s="7" t="s">
        <v>51</v>
      </c>
      <c r="N2" s="7" t="s">
        <v>52</v>
      </c>
      <c r="O2" s="7" t="s">
        <v>55</v>
      </c>
      <c r="P2" s="7" t="s">
        <v>57</v>
      </c>
    </row>
    <row r="3" spans="1:17" x14ac:dyDescent="0.25">
      <c r="A3" s="37"/>
      <c r="B3" s="86">
        <f>Inputs!H14</f>
        <v>2.9000000000000001E-2</v>
      </c>
      <c r="C3" s="77">
        <f>Inputs!H5</f>
        <v>200000</v>
      </c>
      <c r="D3" s="53"/>
      <c r="E3" s="40">
        <v>10000</v>
      </c>
      <c r="F3" s="79">
        <f>Inputs!H15</f>
        <v>9.4999999999999998E-3</v>
      </c>
      <c r="G3" s="7"/>
      <c r="H3" s="53"/>
      <c r="I3" s="7"/>
      <c r="J3" s="53"/>
      <c r="K3" s="53"/>
      <c r="L3" s="53"/>
      <c r="M3" s="7"/>
      <c r="N3" s="7"/>
      <c r="O3" s="7"/>
      <c r="P3" s="7"/>
    </row>
    <row r="4" spans="1:17" x14ac:dyDescent="0.25">
      <c r="B4" s="88">
        <v>0.22</v>
      </c>
      <c r="C4" s="78">
        <f>Inputs!H8</f>
        <v>20000</v>
      </c>
      <c r="D4" s="59"/>
      <c r="H4" s="59"/>
    </row>
    <row r="5" spans="1:17" x14ac:dyDescent="0.25">
      <c r="A5" s="62">
        <v>2010</v>
      </c>
      <c r="B5" s="45">
        <v>0</v>
      </c>
      <c r="C5" s="45">
        <f>BaselineExisting</f>
        <v>200000</v>
      </c>
      <c r="D5" s="60">
        <v>0</v>
      </c>
      <c r="E5" s="46">
        <v>0</v>
      </c>
      <c r="F5" s="45">
        <v>0</v>
      </c>
      <c r="G5" s="45">
        <f>SUM(F$5:F5)</f>
        <v>0</v>
      </c>
      <c r="H5" s="60">
        <v>0</v>
      </c>
      <c r="I5" s="46">
        <v>0</v>
      </c>
      <c r="J5" s="55">
        <f>C3</f>
        <v>200000</v>
      </c>
      <c r="K5" s="55">
        <f t="shared" ref="K5:K45" si="0">IF(J5&gt;0,J5*BaselineUsePerUnit,0)</f>
        <v>2000000000</v>
      </c>
      <c r="L5" s="55">
        <f>SUM(I$5:I5)+K5</f>
        <v>2000000000</v>
      </c>
      <c r="M5" s="49"/>
      <c r="N5" s="49"/>
      <c r="O5" s="46">
        <f>SUM(E$5:E5,I$5:I5,K5)</f>
        <v>2000000000</v>
      </c>
      <c r="P5" s="49"/>
    </row>
    <row r="6" spans="1:17" x14ac:dyDescent="0.25">
      <c r="A6" s="37">
        <v>2011</v>
      </c>
      <c r="B6" s="31">
        <f t="shared" ref="B6:B45" si="1">IF(((C5/BaselineExisting)&gt;ReplacementThreshold),ReplacementRate*(C5-(Redeveloped/(A$45-A$5))),0)</f>
        <v>5785.5</v>
      </c>
      <c r="C6" s="31">
        <f t="shared" ref="C6:C45" si="2">C5-(Redeveloped/(A$45-A$5))-B6</f>
        <v>193714.5</v>
      </c>
      <c r="D6" s="61">
        <f t="shared" ref="D6:D14" si="3">D5+((D$15-D$5)/(A$15-A$5))</f>
        <v>-2.5000000000000001E-2</v>
      </c>
      <c r="E6" s="32">
        <f t="shared" ref="E6:E45" si="4">BaselineUsePerUnit*B6*(1+D6)</f>
        <v>56408625</v>
      </c>
      <c r="F6" s="31">
        <f t="shared" ref="F6:F45" si="5">C5*ExistingRetrofitRate</f>
        <v>1900</v>
      </c>
      <c r="G6" s="31">
        <f>SUM(F$5:F6)</f>
        <v>1900</v>
      </c>
      <c r="H6" s="61">
        <f t="shared" ref="H6:H14" si="6">H5+((H$15-H$5)/(A$15-A$5))</f>
        <v>-1.4999999999999999E-2</v>
      </c>
      <c r="I6" s="32">
        <f t="shared" ref="I6:I45" si="7">(F6*$E$3)*(1+H6)</f>
        <v>18715000</v>
      </c>
      <c r="J6" s="56">
        <f>C6-SUM(F$5:F6)</f>
        <v>191814.5</v>
      </c>
      <c r="K6" s="56">
        <f t="shared" si="0"/>
        <v>1918145000</v>
      </c>
      <c r="L6" s="56">
        <f>SUM(I$5:I6)+K6</f>
        <v>1936860000</v>
      </c>
      <c r="M6" s="30"/>
      <c r="N6" s="30"/>
      <c r="O6" s="32">
        <f>SUM(E$5:E6,I$5:I6,K6)</f>
        <v>1993268625</v>
      </c>
      <c r="P6" s="10"/>
      <c r="Q6" s="38"/>
    </row>
    <row r="7" spans="1:17" x14ac:dyDescent="0.25">
      <c r="A7" s="37">
        <v>2012</v>
      </c>
      <c r="B7" s="31">
        <f t="shared" si="1"/>
        <v>5603.2205000000004</v>
      </c>
      <c r="C7" s="31">
        <f t="shared" si="2"/>
        <v>187611.2795</v>
      </c>
      <c r="D7" s="61">
        <f t="shared" si="3"/>
        <v>-0.05</v>
      </c>
      <c r="E7" s="32">
        <f t="shared" si="4"/>
        <v>53230594.75</v>
      </c>
      <c r="F7" s="31">
        <f t="shared" si="5"/>
        <v>1840.28775</v>
      </c>
      <c r="G7" s="31">
        <f>SUM(F$5:F7)</f>
        <v>3740.28775</v>
      </c>
      <c r="H7" s="61">
        <f t="shared" si="6"/>
        <v>-0.03</v>
      </c>
      <c r="I7" s="32">
        <f t="shared" si="7"/>
        <v>17850791.175000001</v>
      </c>
      <c r="J7" s="56">
        <f>C7-SUM(F$5:F7)</f>
        <v>183870.99175000002</v>
      </c>
      <c r="K7" s="56">
        <f t="shared" si="0"/>
        <v>1838709917.5000002</v>
      </c>
      <c r="L7" s="56">
        <f>SUM(I$5:I7)+K7</f>
        <v>1875275708.6750002</v>
      </c>
      <c r="M7" s="30"/>
      <c r="N7" s="30"/>
      <c r="O7" s="32">
        <f>SUM(E$5:E7,I$5:I7,K7)</f>
        <v>1984914928.4250002</v>
      </c>
      <c r="P7" s="30"/>
      <c r="Q7" s="38"/>
    </row>
    <row r="8" spans="1:17" x14ac:dyDescent="0.25">
      <c r="A8" s="37">
        <v>2013</v>
      </c>
      <c r="B8" s="31">
        <f t="shared" si="1"/>
        <v>5426.2271055000001</v>
      </c>
      <c r="C8" s="31">
        <f t="shared" si="2"/>
        <v>181685.0523945</v>
      </c>
      <c r="D8" s="61">
        <f t="shared" si="3"/>
        <v>-7.5000000000000011E-2</v>
      </c>
      <c r="E8" s="32">
        <f t="shared" si="4"/>
        <v>50192600.725875005</v>
      </c>
      <c r="F8" s="31">
        <f t="shared" si="5"/>
        <v>1782.3071552500001</v>
      </c>
      <c r="G8" s="31">
        <f>SUM(F$5:F8)</f>
        <v>5522.59490525</v>
      </c>
      <c r="H8" s="61">
        <f t="shared" si="6"/>
        <v>-4.4999999999999998E-2</v>
      </c>
      <c r="I8" s="32">
        <f t="shared" si="7"/>
        <v>17021033.3326375</v>
      </c>
      <c r="J8" s="56">
        <f>C8-SUM(F$5:F8)</f>
        <v>176162.45748924999</v>
      </c>
      <c r="K8" s="56">
        <f t="shared" si="0"/>
        <v>1761624574.8924999</v>
      </c>
      <c r="L8" s="56">
        <f>SUM(I$5:I8)+K8</f>
        <v>1815211399.4001374</v>
      </c>
      <c r="M8" s="30"/>
      <c r="N8" s="30"/>
      <c r="O8" s="32">
        <f>SUM(E$5:E8,I$5:I8,K8)</f>
        <v>1975043219.8760123</v>
      </c>
      <c r="P8" s="30"/>
      <c r="Q8" s="38"/>
    </row>
    <row r="9" spans="1:17" x14ac:dyDescent="0.25">
      <c r="A9" s="37">
        <v>2014</v>
      </c>
      <c r="B9" s="31">
        <f t="shared" si="1"/>
        <v>5254.3665194405003</v>
      </c>
      <c r="C9" s="31">
        <f t="shared" si="2"/>
        <v>175930.68587505951</v>
      </c>
      <c r="D9" s="61">
        <f t="shared" si="3"/>
        <v>-0.1</v>
      </c>
      <c r="E9" s="32">
        <f t="shared" si="4"/>
        <v>47289298.674964502</v>
      </c>
      <c r="F9" s="31">
        <f t="shared" si="5"/>
        <v>1726.0079977477499</v>
      </c>
      <c r="G9" s="31">
        <f>SUM(F$5:F9)</f>
        <v>7248.6029029977499</v>
      </c>
      <c r="H9" s="61">
        <f t="shared" si="6"/>
        <v>-0.06</v>
      </c>
      <c r="I9" s="32">
        <f t="shared" si="7"/>
        <v>16224475.178828847</v>
      </c>
      <c r="J9" s="56">
        <f>C9-SUM(F$5:F9)</f>
        <v>168682.08297206176</v>
      </c>
      <c r="K9" s="56">
        <f t="shared" si="0"/>
        <v>1686820829.7206175</v>
      </c>
      <c r="L9" s="56">
        <f>SUM(I$5:I9)+K9</f>
        <v>1756632129.407084</v>
      </c>
      <c r="M9" s="30"/>
      <c r="N9" s="30"/>
      <c r="O9" s="32">
        <f>SUM(E$5:E9,I$5:I9,K9)</f>
        <v>1963753248.5579233</v>
      </c>
      <c r="P9" s="30"/>
      <c r="Q9" s="38"/>
    </row>
    <row r="10" spans="1:17" x14ac:dyDescent="0.25">
      <c r="A10" s="37">
        <v>2015</v>
      </c>
      <c r="B10" s="31">
        <f t="shared" si="1"/>
        <v>5087.4898903767262</v>
      </c>
      <c r="C10" s="31">
        <f t="shared" si="2"/>
        <v>170343.1959846828</v>
      </c>
      <c r="D10" s="61">
        <f t="shared" si="3"/>
        <v>-0.125</v>
      </c>
      <c r="E10" s="32">
        <f t="shared" si="4"/>
        <v>44515536.540796354</v>
      </c>
      <c r="F10" s="31">
        <f t="shared" si="5"/>
        <v>1671.3415158130654</v>
      </c>
      <c r="G10" s="31">
        <f>SUM(F$5:F10)</f>
        <v>8919.9444188108155</v>
      </c>
      <c r="H10" s="61">
        <f t="shared" si="6"/>
        <v>-7.4999999999999997E-2</v>
      </c>
      <c r="I10" s="32">
        <f t="shared" si="7"/>
        <v>15459909.021270854</v>
      </c>
      <c r="J10" s="56">
        <f>C10-SUM(F$5:F10)</f>
        <v>161423.25156587199</v>
      </c>
      <c r="K10" s="56">
        <f t="shared" si="0"/>
        <v>1614232515.65872</v>
      </c>
      <c r="L10" s="56">
        <f>SUM(I$5:I10)+K10</f>
        <v>1699503724.3664572</v>
      </c>
      <c r="M10" s="30"/>
      <c r="N10" s="30"/>
      <c r="O10" s="32">
        <f>SUM(E$5:E10,I$5:I10,K10)</f>
        <v>1951140380.0580931</v>
      </c>
      <c r="P10" s="30"/>
      <c r="Q10" s="38"/>
    </row>
    <row r="11" spans="1:17" x14ac:dyDescent="0.25">
      <c r="A11" s="37">
        <v>2016</v>
      </c>
      <c r="B11" s="31">
        <f t="shared" si="1"/>
        <v>4925.4526835558017</v>
      </c>
      <c r="C11" s="31">
        <f t="shared" si="2"/>
        <v>164917.74330112699</v>
      </c>
      <c r="D11" s="61">
        <f t="shared" si="3"/>
        <v>-0.15</v>
      </c>
      <c r="E11" s="32">
        <f t="shared" si="4"/>
        <v>41866347.810224317</v>
      </c>
      <c r="F11" s="31">
        <f t="shared" si="5"/>
        <v>1618.2603618544865</v>
      </c>
      <c r="G11" s="31">
        <f>SUM(F$5:F11)</f>
        <v>10538.204780665303</v>
      </c>
      <c r="H11" s="61">
        <f t="shared" si="6"/>
        <v>-0.09</v>
      </c>
      <c r="I11" s="32">
        <f t="shared" si="7"/>
        <v>14726169.292875828</v>
      </c>
      <c r="J11" s="56">
        <f>C11-SUM(F$5:F11)</f>
        <v>154379.53852046168</v>
      </c>
      <c r="K11" s="56">
        <f t="shared" si="0"/>
        <v>1543795385.2046168</v>
      </c>
      <c r="L11" s="56">
        <f>SUM(I$5:I11)+K11</f>
        <v>1643792763.2052298</v>
      </c>
      <c r="M11" s="30"/>
      <c r="N11" s="30"/>
      <c r="O11" s="32">
        <f>SUM(E$5:E11,I$5:I11,K11)</f>
        <v>1937295766.7070899</v>
      </c>
      <c r="P11" s="30"/>
      <c r="Q11" s="38"/>
    </row>
    <row r="12" spans="1:17" x14ac:dyDescent="0.25">
      <c r="A12" s="37">
        <v>2017</v>
      </c>
      <c r="B12" s="31">
        <f t="shared" si="1"/>
        <v>4768.1145557326827</v>
      </c>
      <c r="C12" s="31">
        <f t="shared" si="2"/>
        <v>159649.62874539429</v>
      </c>
      <c r="D12" s="61">
        <f t="shared" si="3"/>
        <v>-0.17499999999999999</v>
      </c>
      <c r="E12" s="32">
        <f t="shared" si="4"/>
        <v>39336945.084794626</v>
      </c>
      <c r="F12" s="31">
        <f t="shared" si="5"/>
        <v>1566.7185613607064</v>
      </c>
      <c r="G12" s="31">
        <f>SUM(F$5:F12)</f>
        <v>12104.92334202601</v>
      </c>
      <c r="H12" s="61">
        <f t="shared" si="6"/>
        <v>-0.105</v>
      </c>
      <c r="I12" s="32">
        <f t="shared" si="7"/>
        <v>14022131.124178322</v>
      </c>
      <c r="J12" s="56">
        <f>C12-SUM(F$5:F12)</f>
        <v>147544.70540336828</v>
      </c>
      <c r="K12" s="56">
        <f t="shared" si="0"/>
        <v>1475447054.0336828</v>
      </c>
      <c r="L12" s="56">
        <f>SUM(I$5:I12)+K12</f>
        <v>1589466563.1584742</v>
      </c>
      <c r="M12" s="30"/>
      <c r="N12" s="30"/>
      <c r="O12" s="32">
        <f>SUM(E$5:E12,I$5:I12,K12)</f>
        <v>1922306511.7451291</v>
      </c>
      <c r="P12" s="30"/>
      <c r="Q12" s="38"/>
    </row>
    <row r="13" spans="1:17" x14ac:dyDescent="0.25">
      <c r="A13" s="37">
        <v>2018</v>
      </c>
      <c r="B13" s="31">
        <f t="shared" si="1"/>
        <v>4615.3392336164343</v>
      </c>
      <c r="C13" s="31">
        <f t="shared" si="2"/>
        <v>154534.28951177787</v>
      </c>
      <c r="D13" s="61">
        <f t="shared" si="3"/>
        <v>-0.19999999999999998</v>
      </c>
      <c r="E13" s="32">
        <f t="shared" si="4"/>
        <v>36922713.868931472</v>
      </c>
      <c r="F13" s="31">
        <f t="shared" si="5"/>
        <v>1516.6714730812457</v>
      </c>
      <c r="G13" s="31">
        <f>SUM(F$5:F13)</f>
        <v>13621.594815107255</v>
      </c>
      <c r="H13" s="61">
        <f t="shared" si="6"/>
        <v>-0.12</v>
      </c>
      <c r="I13" s="32">
        <f t="shared" si="7"/>
        <v>13346708.963114962</v>
      </c>
      <c r="J13" s="56">
        <f>C13-SUM(F$5:F13)</f>
        <v>140912.6946966706</v>
      </c>
      <c r="K13" s="56">
        <f t="shared" si="0"/>
        <v>1409126946.966706</v>
      </c>
      <c r="L13" s="56">
        <f>SUM(I$5:I13)+K13</f>
        <v>1536493165.0546124</v>
      </c>
      <c r="M13" s="30"/>
      <c r="N13" s="30"/>
      <c r="O13" s="32">
        <f>SUM(E$5:E13,I$5:I13,K13)</f>
        <v>1906255827.5101986</v>
      </c>
      <c r="P13" s="30"/>
      <c r="Q13" s="38"/>
    </row>
    <row r="14" spans="1:17" x14ac:dyDescent="0.25">
      <c r="A14" s="37">
        <v>2019</v>
      </c>
      <c r="B14" s="31">
        <f t="shared" si="1"/>
        <v>4466.9943958415588</v>
      </c>
      <c r="C14" s="31">
        <f t="shared" si="2"/>
        <v>149567.29511593631</v>
      </c>
      <c r="D14" s="61">
        <f t="shared" si="3"/>
        <v>-0.22499999999999998</v>
      </c>
      <c r="E14" s="32">
        <f t="shared" si="4"/>
        <v>34619206.567772083</v>
      </c>
      <c r="F14" s="31">
        <f t="shared" si="5"/>
        <v>1468.0757503618897</v>
      </c>
      <c r="G14" s="31">
        <f>SUM(F$5:F14)</f>
        <v>15089.670565469145</v>
      </c>
      <c r="H14" s="61">
        <f t="shared" si="6"/>
        <v>-0.13500000000000001</v>
      </c>
      <c r="I14" s="32">
        <f t="shared" si="7"/>
        <v>12698855.240630347</v>
      </c>
      <c r="J14" s="56">
        <f>C14-SUM(F$5:F14)</f>
        <v>134477.62455046718</v>
      </c>
      <c r="K14" s="56">
        <f t="shared" si="0"/>
        <v>1344776245.5046718</v>
      </c>
      <c r="L14" s="56">
        <f>SUM(I$5:I14)+K14</f>
        <v>1484841318.8332086</v>
      </c>
      <c r="M14" s="30"/>
      <c r="N14" s="30"/>
      <c r="O14" s="32">
        <f>SUM(E$5:E14,I$5:I14,K14)</f>
        <v>1889223187.8565669</v>
      </c>
      <c r="P14" s="30"/>
      <c r="Q14" s="38"/>
    </row>
    <row r="15" spans="1:17" x14ac:dyDescent="0.25">
      <c r="A15" s="62">
        <v>2020</v>
      </c>
      <c r="B15" s="45">
        <f t="shared" si="1"/>
        <v>4322.9515583621533</v>
      </c>
      <c r="C15" s="45">
        <f t="shared" si="2"/>
        <v>144744.34355757418</v>
      </c>
      <c r="D15" s="80">
        <f>Inputs!N34</f>
        <v>-0.25</v>
      </c>
      <c r="E15" s="46">
        <f t="shared" si="4"/>
        <v>32422136.687716149</v>
      </c>
      <c r="F15" s="45">
        <f t="shared" si="5"/>
        <v>1420.8893036013949</v>
      </c>
      <c r="G15" s="45">
        <f>SUM(F$5:F15)</f>
        <v>16510.559869070541</v>
      </c>
      <c r="H15" s="80">
        <f>Inputs!N40</f>
        <v>-0.15</v>
      </c>
      <c r="I15" s="46">
        <f t="shared" si="7"/>
        <v>12077559.080611857</v>
      </c>
      <c r="J15" s="55">
        <f>C15-SUM(F$5:F15)</f>
        <v>128233.78368850364</v>
      </c>
      <c r="K15" s="55">
        <f t="shared" si="0"/>
        <v>1282337836.8850365</v>
      </c>
      <c r="L15" s="55">
        <f>SUM(I$5:I15)+K15</f>
        <v>1434480469.2941849</v>
      </c>
      <c r="M15" s="50">
        <f>(L15-(C15*BaselineUsePerUnit))/(C15*BaselineUsePerUnit)</f>
        <v>-8.9557670876448687E-3</v>
      </c>
      <c r="N15" s="50">
        <f>(SUM(I$5:I15)-(BaselineUsePerUnit*(SUM(F$5:F15))))/(BaselineUsePerUnit*(SUM(F$5:F15)))</f>
        <v>-7.8513184194562699E-2</v>
      </c>
      <c r="O15" s="46">
        <f>SUM(E$5:E15,I$5:I15,K15)</f>
        <v>1871284475.0052595</v>
      </c>
      <c r="P15" s="50">
        <f>(O15-(BaselineUsePerUnit*(C15+SUM(B$5:B15))))/(BaselineUsePerUnit*(C15+SUM(B$5:B15)))</f>
        <v>-4.0366935894738831E-2</v>
      </c>
      <c r="Q15" s="38"/>
    </row>
    <row r="16" spans="1:17" x14ac:dyDescent="0.25">
      <c r="A16" s="37">
        <v>2021</v>
      </c>
      <c r="B16" s="31">
        <f t="shared" si="1"/>
        <v>4183.0859631696512</v>
      </c>
      <c r="C16" s="31">
        <f t="shared" si="2"/>
        <v>140061.25759440451</v>
      </c>
      <c r="D16" s="61">
        <f t="shared" ref="D16:D29" si="8">D15+((D$30-D$15)/(A$30-A$15))</f>
        <v>-0.25333333333333335</v>
      </c>
      <c r="E16" s="32">
        <f t="shared" si="4"/>
        <v>31233708.525000062</v>
      </c>
      <c r="F16" s="31">
        <f t="shared" si="5"/>
        <v>1375.0712637969546</v>
      </c>
      <c r="G16" s="31">
        <f>SUM(F$5:F16)</f>
        <v>17885.631132867496</v>
      </c>
      <c r="H16" s="61">
        <f t="shared" ref="H16:H29" si="9">H15+((H$30-H$15)/(A$30-A$15))</f>
        <v>-0.15333333333333332</v>
      </c>
      <c r="I16" s="32">
        <f t="shared" si="7"/>
        <v>11642270.033480883</v>
      </c>
      <c r="J16" s="56">
        <f>C16-SUM(F$5:F16)</f>
        <v>122175.62646153702</v>
      </c>
      <c r="K16" s="56">
        <f t="shared" si="0"/>
        <v>1221756264.6153703</v>
      </c>
      <c r="L16" s="56">
        <f>SUM(I$5:I16)+K16</f>
        <v>1385541167.0579996</v>
      </c>
      <c r="M16" s="30"/>
      <c r="N16" s="30"/>
      <c r="O16" s="32">
        <f>SUM(E$5:E16,I$5:I16,K16)</f>
        <v>1853578881.2940743</v>
      </c>
      <c r="P16" s="30"/>
      <c r="Q16" s="38"/>
    </row>
    <row r="17" spans="1:17" x14ac:dyDescent="0.25">
      <c r="A17" s="37">
        <v>2022</v>
      </c>
      <c r="B17" s="31">
        <f t="shared" si="1"/>
        <v>4047.2764702377308</v>
      </c>
      <c r="C17" s="31">
        <f t="shared" si="2"/>
        <v>135513.98112416678</v>
      </c>
      <c r="D17" s="61">
        <f t="shared" si="8"/>
        <v>-0.25666666666666671</v>
      </c>
      <c r="E17" s="32">
        <f t="shared" si="4"/>
        <v>30084755.095433794</v>
      </c>
      <c r="F17" s="31">
        <f t="shared" si="5"/>
        <v>1330.5819471468428</v>
      </c>
      <c r="G17" s="31">
        <f>SUM(F$5:F17)</f>
        <v>19216.213080014339</v>
      </c>
      <c r="H17" s="61">
        <f t="shared" si="9"/>
        <v>-0.15666666666666665</v>
      </c>
      <c r="I17" s="32">
        <f t="shared" si="7"/>
        <v>11221241.087605042</v>
      </c>
      <c r="J17" s="56">
        <f>C17-SUM(F$5:F17)</f>
        <v>116297.76804415244</v>
      </c>
      <c r="K17" s="56">
        <f t="shared" si="0"/>
        <v>1162977680.4415245</v>
      </c>
      <c r="L17" s="56">
        <f>SUM(I$5:I17)+K17</f>
        <v>1337983823.9717588</v>
      </c>
      <c r="M17" s="30"/>
      <c r="N17" s="30"/>
      <c r="O17" s="32">
        <f>SUM(E$5:E17,I$5:I17,K17)</f>
        <v>1836106293.3032672</v>
      </c>
      <c r="P17" s="30"/>
      <c r="Q17" s="38"/>
    </row>
    <row r="18" spans="1:17" x14ac:dyDescent="0.25">
      <c r="A18" s="37">
        <v>2023</v>
      </c>
      <c r="B18" s="31">
        <f t="shared" si="1"/>
        <v>3915.4054526008367</v>
      </c>
      <c r="C18" s="31">
        <f t="shared" si="2"/>
        <v>131098.57567156595</v>
      </c>
      <c r="D18" s="61">
        <f t="shared" si="8"/>
        <v>-0.26000000000000006</v>
      </c>
      <c r="E18" s="32">
        <f t="shared" si="4"/>
        <v>28974000.349246193</v>
      </c>
      <c r="F18" s="31">
        <f t="shared" si="5"/>
        <v>1287.3828206795843</v>
      </c>
      <c r="G18" s="31">
        <f>SUM(F$5:F18)</f>
        <v>20503.595900693923</v>
      </c>
      <c r="H18" s="61">
        <f t="shared" si="9"/>
        <v>-0.15999999999999998</v>
      </c>
      <c r="I18" s="32">
        <f t="shared" si="7"/>
        <v>10814015.693708509</v>
      </c>
      <c r="J18" s="56">
        <f>C18-SUM(F$5:F18)</f>
        <v>110594.97977087203</v>
      </c>
      <c r="K18" s="56">
        <f t="shared" si="0"/>
        <v>1105949797.7087202</v>
      </c>
      <c r="L18" s="56">
        <f>SUM(I$5:I18)+K18</f>
        <v>1291769956.9326632</v>
      </c>
      <c r="M18" s="30"/>
      <c r="N18" s="30"/>
      <c r="O18" s="32">
        <f>SUM(E$5:E18,I$5:I18,K18)</f>
        <v>1818866426.6134176</v>
      </c>
      <c r="P18" s="30"/>
      <c r="Q18" s="38"/>
    </row>
    <row r="19" spans="1:17" x14ac:dyDescent="0.25">
      <c r="A19" s="37">
        <v>2024</v>
      </c>
      <c r="B19" s="31">
        <f t="shared" si="1"/>
        <v>3787.3586944754129</v>
      </c>
      <c r="C19" s="31">
        <f t="shared" si="2"/>
        <v>126811.21697709055</v>
      </c>
      <c r="D19" s="61">
        <f t="shared" si="8"/>
        <v>-0.26333333333333342</v>
      </c>
      <c r="E19" s="32">
        <f t="shared" si="4"/>
        <v>27900209.049302205</v>
      </c>
      <c r="F19" s="31">
        <f t="shared" si="5"/>
        <v>1245.4364688798764</v>
      </c>
      <c r="G19" s="31">
        <f>SUM(F$5:F19)</f>
        <v>21749.032369573801</v>
      </c>
      <c r="H19" s="61">
        <f t="shared" si="9"/>
        <v>-0.1633333333333333</v>
      </c>
      <c r="I19" s="32">
        <f t="shared" si="7"/>
        <v>10420151.789628299</v>
      </c>
      <c r="J19" s="56">
        <f>C19-SUM(F$5:F19)</f>
        <v>105062.18460751674</v>
      </c>
      <c r="K19" s="56">
        <f t="shared" si="0"/>
        <v>1050621846.0751674</v>
      </c>
      <c r="L19" s="56">
        <f>SUM(I$5:I19)+K19</f>
        <v>1246862157.0887387</v>
      </c>
      <c r="M19" s="30"/>
      <c r="N19" s="30"/>
      <c r="O19" s="32">
        <f>SUM(E$5:E19,I$5:I19,K19)</f>
        <v>1801858835.8187952</v>
      </c>
      <c r="P19" s="30"/>
      <c r="Q19" s="38"/>
    </row>
    <row r="20" spans="1:17" x14ac:dyDescent="0.25">
      <c r="A20" s="37">
        <v>2025</v>
      </c>
      <c r="B20" s="31">
        <f t="shared" si="1"/>
        <v>3663.0252923356261</v>
      </c>
      <c r="C20" s="31">
        <f t="shared" si="2"/>
        <v>122648.19168475491</v>
      </c>
      <c r="D20" s="61">
        <f t="shared" si="8"/>
        <v>-0.26666666666666677</v>
      </c>
      <c r="E20" s="32">
        <f t="shared" si="4"/>
        <v>26862185.477127917</v>
      </c>
      <c r="F20" s="31">
        <f t="shared" si="5"/>
        <v>1204.7065612823601</v>
      </c>
      <c r="G20" s="31">
        <f>SUM(F$5:F20)</f>
        <v>22953.738930856161</v>
      </c>
      <c r="H20" s="61">
        <f t="shared" si="9"/>
        <v>-0.16666666666666663</v>
      </c>
      <c r="I20" s="32">
        <f t="shared" si="7"/>
        <v>10039221.344019668</v>
      </c>
      <c r="J20" s="56">
        <f>C20-SUM(F$5:F20)</f>
        <v>99694.452753898746</v>
      </c>
      <c r="K20" s="56">
        <f t="shared" si="0"/>
        <v>996944527.53898752</v>
      </c>
      <c r="L20" s="56">
        <f>SUM(I$5:I20)+K20</f>
        <v>1203224059.8965783</v>
      </c>
      <c r="M20" s="30"/>
      <c r="N20" s="30"/>
      <c r="O20" s="32">
        <f>SUM(E$5:E20,I$5:I20,K20)</f>
        <v>1785082924.1037631</v>
      </c>
      <c r="P20" s="30"/>
      <c r="Q20" s="38"/>
    </row>
    <row r="21" spans="1:17" x14ac:dyDescent="0.25">
      <c r="A21" s="37">
        <v>2026</v>
      </c>
      <c r="B21" s="31">
        <f t="shared" si="1"/>
        <v>3542.2975588578929</v>
      </c>
      <c r="C21" s="31">
        <f t="shared" si="2"/>
        <v>118605.89412589702</v>
      </c>
      <c r="D21" s="61">
        <f t="shared" si="8"/>
        <v>-0.27000000000000013</v>
      </c>
      <c r="E21" s="32">
        <f t="shared" si="4"/>
        <v>25858772.179662615</v>
      </c>
      <c r="F21" s="31">
        <f t="shared" si="5"/>
        <v>1165.1578210051716</v>
      </c>
      <c r="G21" s="31">
        <f>SUM(F$5:F21)</f>
        <v>24118.896751861332</v>
      </c>
      <c r="H21" s="61">
        <f t="shared" si="9"/>
        <v>-0.16999999999999996</v>
      </c>
      <c r="I21" s="32">
        <f t="shared" si="7"/>
        <v>9670809.914342925</v>
      </c>
      <c r="J21" s="56">
        <f>C21-SUM(F$5:F21)</f>
        <v>94486.99737403568</v>
      </c>
      <c r="K21" s="56">
        <f t="shared" si="0"/>
        <v>944869973.7403568</v>
      </c>
      <c r="L21" s="56">
        <f>SUM(I$5:I21)+K21</f>
        <v>1160820316.0122907</v>
      </c>
      <c r="M21" s="30"/>
      <c r="N21" s="30"/>
      <c r="O21" s="32">
        <f>SUM(E$5:E21,I$5:I21,K21)</f>
        <v>1768537952.3991377</v>
      </c>
      <c r="P21" s="30"/>
      <c r="Q21" s="38"/>
    </row>
    <row r="22" spans="1:17" x14ac:dyDescent="0.25">
      <c r="A22" s="37">
        <v>2027</v>
      </c>
      <c r="B22" s="31">
        <f t="shared" si="1"/>
        <v>3425.0709296510136</v>
      </c>
      <c r="C22" s="31">
        <f t="shared" si="2"/>
        <v>114680.823196246</v>
      </c>
      <c r="D22" s="61">
        <f t="shared" si="8"/>
        <v>-0.27333333333333348</v>
      </c>
      <c r="E22" s="32">
        <f t="shared" si="4"/>
        <v>24888848.755464029</v>
      </c>
      <c r="F22" s="31">
        <f t="shared" si="5"/>
        <v>1126.7559941960217</v>
      </c>
      <c r="G22" s="31">
        <f>SUM(F$5:F22)</f>
        <v>25245.652746057352</v>
      </c>
      <c r="H22" s="61">
        <f t="shared" si="9"/>
        <v>-0.17333333333333328</v>
      </c>
      <c r="I22" s="32">
        <f t="shared" si="7"/>
        <v>9314516.2186871134</v>
      </c>
      <c r="J22" s="56">
        <f>C22-SUM(F$5:F22)</f>
        <v>89435.170450188642</v>
      </c>
      <c r="K22" s="56">
        <f t="shared" si="0"/>
        <v>894351704.50188637</v>
      </c>
      <c r="L22" s="56">
        <f>SUM(I$5:I22)+K22</f>
        <v>1119616562.9925075</v>
      </c>
      <c r="M22" s="30"/>
      <c r="N22" s="30"/>
      <c r="O22" s="32">
        <f>SUM(E$5:E22,I$5:I22,K22)</f>
        <v>1752223048.1348186</v>
      </c>
      <c r="P22" s="30"/>
      <c r="Q22" s="38"/>
    </row>
    <row r="23" spans="1:17" x14ac:dyDescent="0.25">
      <c r="A23" s="37">
        <v>2028</v>
      </c>
      <c r="B23" s="31">
        <f t="shared" si="1"/>
        <v>3311.2438726911341</v>
      </c>
      <c r="C23" s="31">
        <f t="shared" si="2"/>
        <v>110869.57932355486</v>
      </c>
      <c r="D23" s="61">
        <f t="shared" si="8"/>
        <v>-0.27666666666666684</v>
      </c>
      <c r="E23" s="32">
        <f t="shared" si="4"/>
        <v>23951330.679132529</v>
      </c>
      <c r="F23" s="31">
        <f t="shared" si="5"/>
        <v>1089.4678203643371</v>
      </c>
      <c r="G23" s="31">
        <f>SUM(F$5:F23)</f>
        <v>26335.12056642169</v>
      </c>
      <c r="H23" s="61">
        <f t="shared" si="9"/>
        <v>-0.17666666666666661</v>
      </c>
      <c r="I23" s="32">
        <f t="shared" si="7"/>
        <v>8969951.7209997084</v>
      </c>
      <c r="J23" s="56">
        <f>C23-SUM(F$5:F23)</f>
        <v>84534.458757133165</v>
      </c>
      <c r="K23" s="56">
        <f t="shared" si="0"/>
        <v>845344587.57133162</v>
      </c>
      <c r="L23" s="56">
        <f>SUM(I$5:I23)+K23</f>
        <v>1079579397.7829523</v>
      </c>
      <c r="M23" s="30"/>
      <c r="N23" s="30"/>
      <c r="O23" s="32">
        <f>SUM(E$5:E23,I$5:I23,K23)</f>
        <v>1736137213.6043959</v>
      </c>
      <c r="P23" s="30"/>
      <c r="Q23" s="38"/>
    </row>
    <row r="24" spans="1:17" x14ac:dyDescent="0.25">
      <c r="A24" s="37">
        <v>2029</v>
      </c>
      <c r="B24" s="31">
        <f t="shared" si="1"/>
        <v>3200.7178003830913</v>
      </c>
      <c r="C24" s="31">
        <f t="shared" si="2"/>
        <v>107168.86152317177</v>
      </c>
      <c r="D24" s="61">
        <f t="shared" si="8"/>
        <v>-0.28000000000000019</v>
      </c>
      <c r="E24" s="32">
        <f t="shared" si="4"/>
        <v>23045168.16275825</v>
      </c>
      <c r="F24" s="31">
        <f t="shared" si="5"/>
        <v>1053.2610035737712</v>
      </c>
      <c r="G24" s="31">
        <f>SUM(F$5:F24)</f>
        <v>27388.381569995461</v>
      </c>
      <c r="H24" s="61">
        <f t="shared" si="9"/>
        <v>-0.17999999999999994</v>
      </c>
      <c r="I24" s="32">
        <f t="shared" si="7"/>
        <v>8636740.2293049246</v>
      </c>
      <c r="J24" s="56">
        <f>C24-SUM(F$5:F24)</f>
        <v>79780.479953176313</v>
      </c>
      <c r="K24" s="56">
        <f t="shared" si="0"/>
        <v>797804799.53176308</v>
      </c>
      <c r="L24" s="56">
        <f>SUM(I$5:I24)+K24</f>
        <v>1040676349.9726887</v>
      </c>
      <c r="M24" s="30"/>
      <c r="N24" s="30"/>
      <c r="O24" s="32">
        <f>SUM(E$5:E24,I$5:I24,K24)</f>
        <v>1720279333.9568906</v>
      </c>
      <c r="P24" s="30"/>
      <c r="Q24" s="38"/>
    </row>
    <row r="25" spans="1:17" x14ac:dyDescent="0.25">
      <c r="A25" s="37">
        <v>2030</v>
      </c>
      <c r="B25" s="31">
        <f t="shared" si="1"/>
        <v>3093.3969841719813</v>
      </c>
      <c r="C25" s="31">
        <f t="shared" si="2"/>
        <v>103575.46453899979</v>
      </c>
      <c r="D25" s="61">
        <f t="shared" si="8"/>
        <v>-0.28333333333333355</v>
      </c>
      <c r="E25" s="32">
        <f t="shared" si="4"/>
        <v>22169345.053232528</v>
      </c>
      <c r="F25" s="31">
        <f t="shared" si="5"/>
        <v>1018.1041844701318</v>
      </c>
      <c r="G25" s="31">
        <f>SUM(F$5:F25)</f>
        <v>28406.485754465593</v>
      </c>
      <c r="H25" s="61">
        <f t="shared" si="9"/>
        <v>-0.18333333333333326</v>
      </c>
      <c r="I25" s="32">
        <f t="shared" si="7"/>
        <v>8314517.506506077</v>
      </c>
      <c r="J25" s="56">
        <f>C25-SUM(F$5:F25)</f>
        <v>75168.978784534193</v>
      </c>
      <c r="K25" s="56">
        <f t="shared" si="0"/>
        <v>751689787.84534192</v>
      </c>
      <c r="L25" s="56">
        <f>SUM(I$5:I25)+K25</f>
        <v>1002875855.7927736</v>
      </c>
      <c r="M25" s="30"/>
      <c r="N25" s="30"/>
      <c r="O25" s="32">
        <f>SUM(E$5:E25,I$5:I25,K25)</f>
        <v>1704648184.8302081</v>
      </c>
      <c r="P25" s="30"/>
      <c r="Q25" s="38"/>
    </row>
    <row r="26" spans="1:17" x14ac:dyDescent="0.25">
      <c r="A26" s="37">
        <v>2031</v>
      </c>
      <c r="B26" s="31">
        <f t="shared" si="1"/>
        <v>2989.1884716309942</v>
      </c>
      <c r="C26" s="31">
        <f t="shared" si="2"/>
        <v>100086.2760673688</v>
      </c>
      <c r="D26" s="61">
        <f t="shared" si="8"/>
        <v>-0.2866666666666669</v>
      </c>
      <c r="E26" s="32">
        <f t="shared" si="4"/>
        <v>21322877.764301088</v>
      </c>
      <c r="F26" s="31">
        <f t="shared" si="5"/>
        <v>983.96691312049802</v>
      </c>
      <c r="G26" s="31">
        <f>SUM(F$5:F26)</f>
        <v>29390.452667586091</v>
      </c>
      <c r="H26" s="61">
        <f t="shared" si="9"/>
        <v>-0.18666666666666659</v>
      </c>
      <c r="I26" s="32">
        <f t="shared" si="7"/>
        <v>8002930.8933800515</v>
      </c>
      <c r="J26" s="56">
        <f>C26-SUM(F$5:F26)</f>
        <v>70695.823399782705</v>
      </c>
      <c r="K26" s="56">
        <f t="shared" si="0"/>
        <v>706958233.99782705</v>
      </c>
      <c r="L26" s="56">
        <f>SUM(I$5:I26)+K26</f>
        <v>966147232.83863878</v>
      </c>
      <c r="M26" s="30"/>
      <c r="N26" s="30"/>
      <c r="O26" s="32">
        <f>SUM(E$5:E26,I$5:I26,K26)</f>
        <v>1689242439.6403742</v>
      </c>
      <c r="P26" s="30"/>
      <c r="Q26" s="38"/>
    </row>
    <row r="27" spans="1:17" x14ac:dyDescent="0.25">
      <c r="A27" s="37">
        <v>2032</v>
      </c>
      <c r="B27" s="31">
        <f t="shared" si="1"/>
        <v>2888.0020059536955</v>
      </c>
      <c r="C27" s="31">
        <f t="shared" si="2"/>
        <v>96698.274061415112</v>
      </c>
      <c r="D27" s="61">
        <f t="shared" si="8"/>
        <v>-0.29000000000000026</v>
      </c>
      <c r="E27" s="32">
        <f t="shared" si="4"/>
        <v>20504814.242271233</v>
      </c>
      <c r="F27" s="31">
        <f t="shared" si="5"/>
        <v>950.81962264000356</v>
      </c>
      <c r="G27" s="31">
        <f>SUM(F$5:F27)</f>
        <v>30341.272290226094</v>
      </c>
      <c r="H27" s="61">
        <f t="shared" si="9"/>
        <v>-0.18999999999999992</v>
      </c>
      <c r="I27" s="32">
        <f t="shared" si="7"/>
        <v>7701638.9433840299</v>
      </c>
      <c r="J27" s="56">
        <f>C27-SUM(F$5:F27)</f>
        <v>66357.00177118901</v>
      </c>
      <c r="K27" s="56">
        <f t="shared" si="0"/>
        <v>663570017.7118901</v>
      </c>
      <c r="L27" s="56">
        <f>SUM(I$5:I27)+K27</f>
        <v>930460655.49608588</v>
      </c>
      <c r="M27" s="30"/>
      <c r="N27" s="30"/>
      <c r="O27" s="32">
        <f>SUM(E$5:E27,I$5:I27,K27)</f>
        <v>1674060676.5400925</v>
      </c>
      <c r="P27" s="30"/>
      <c r="Q27" s="38"/>
    </row>
    <row r="28" spans="1:17" x14ac:dyDescent="0.25">
      <c r="A28" s="37">
        <v>2033</v>
      </c>
      <c r="B28" s="31">
        <f t="shared" si="1"/>
        <v>2789.7499477810384</v>
      </c>
      <c r="C28" s="31">
        <f t="shared" si="2"/>
        <v>93408.524113634077</v>
      </c>
      <c r="D28" s="61">
        <f t="shared" si="8"/>
        <v>-0.29333333333333361</v>
      </c>
      <c r="E28" s="32">
        <f t="shared" si="4"/>
        <v>19714232.96431933</v>
      </c>
      <c r="F28" s="31">
        <f t="shared" si="5"/>
        <v>918.63360358344357</v>
      </c>
      <c r="G28" s="31">
        <f>SUM(F$5:F28)</f>
        <v>31259.905893809537</v>
      </c>
      <c r="H28" s="61">
        <f t="shared" si="9"/>
        <v>-0.19333333333333325</v>
      </c>
      <c r="I28" s="32">
        <f t="shared" si="7"/>
        <v>7410311.0689064451</v>
      </c>
      <c r="J28" s="56">
        <f>C28-SUM(F$5:F28)</f>
        <v>62148.618219824537</v>
      </c>
      <c r="K28" s="56">
        <f t="shared" si="0"/>
        <v>621486182.19824541</v>
      </c>
      <c r="L28" s="56">
        <f>SUM(I$5:I28)+K28</f>
        <v>895787131.05134761</v>
      </c>
      <c r="M28" s="30"/>
      <c r="N28" s="30"/>
      <c r="O28" s="32">
        <f>SUM(E$5:E28,I$5:I28,K28)</f>
        <v>1659101385.0596738</v>
      </c>
      <c r="P28" s="30"/>
      <c r="Q28" s="38"/>
    </row>
    <row r="29" spans="1:17" x14ac:dyDescent="0.25">
      <c r="A29" s="37">
        <v>2034</v>
      </c>
      <c r="B29" s="31">
        <f t="shared" si="1"/>
        <v>2694.3471992953882</v>
      </c>
      <c r="C29" s="31">
        <f t="shared" si="2"/>
        <v>90214.176914338692</v>
      </c>
      <c r="D29" s="61">
        <f t="shared" si="8"/>
        <v>-0.29666666666666697</v>
      </c>
      <c r="E29" s="32">
        <f t="shared" si="4"/>
        <v>18950241.968377557</v>
      </c>
      <c r="F29" s="31">
        <f t="shared" si="5"/>
        <v>887.38097907952374</v>
      </c>
      <c r="G29" s="31">
        <f>SUM(F$5:F29)</f>
        <v>32147.286872889061</v>
      </c>
      <c r="H29" s="61">
        <f t="shared" si="9"/>
        <v>-0.19666666666666657</v>
      </c>
      <c r="I29" s="32">
        <f t="shared" si="7"/>
        <v>7128627.1986055076</v>
      </c>
      <c r="J29" s="56">
        <f>C29-SUM(F$5:F29)</f>
        <v>58066.890041449631</v>
      </c>
      <c r="K29" s="56">
        <f t="shared" si="0"/>
        <v>580668900.4144963</v>
      </c>
      <c r="L29" s="56">
        <f>SUM(I$5:I29)+K29</f>
        <v>862098476.46620405</v>
      </c>
      <c r="M29" s="30"/>
      <c r="N29" s="30"/>
      <c r="O29" s="32">
        <f>SUM(E$5:E29,I$5:I29,K29)</f>
        <v>1644362972.4429078</v>
      </c>
      <c r="P29" s="30"/>
      <c r="Q29" s="38"/>
    </row>
    <row r="30" spans="1:17" x14ac:dyDescent="0.25">
      <c r="A30" s="62">
        <v>2035</v>
      </c>
      <c r="B30" s="45">
        <f t="shared" si="1"/>
        <v>2601.7111305158223</v>
      </c>
      <c r="C30" s="45">
        <f t="shared" si="2"/>
        <v>87112.465783822874</v>
      </c>
      <c r="D30" s="80">
        <f>Inputs!N35</f>
        <v>-0.3</v>
      </c>
      <c r="E30" s="46">
        <f t="shared" si="4"/>
        <v>18211977.913610756</v>
      </c>
      <c r="F30" s="45">
        <f t="shared" si="5"/>
        <v>857.0346806862176</v>
      </c>
      <c r="G30" s="45">
        <f>SUM(F$5:F30)</f>
        <v>33004.321553575275</v>
      </c>
      <c r="H30" s="80">
        <f>Inputs!N41</f>
        <v>-0.2</v>
      </c>
      <c r="I30" s="46">
        <f t="shared" si="7"/>
        <v>6856277.4454897409</v>
      </c>
      <c r="J30" s="55">
        <f>C30-SUM(F$5:F30)</f>
        <v>54108.144230247599</v>
      </c>
      <c r="K30" s="55">
        <f t="shared" si="0"/>
        <v>541081442.30247605</v>
      </c>
      <c r="L30" s="55">
        <f>SUM(I$5:I30)+K30</f>
        <v>829367295.79967356</v>
      </c>
      <c r="M30" s="50">
        <f>(L30-(C30*BaselineUsePerUnit))/(C30*BaselineUsePerUnit)</f>
        <v>-4.7935001796619622E-2</v>
      </c>
      <c r="N30" s="50">
        <f>(SUM(I$5:I30)-(BaselineUsePerUnit*(SUM(F$5:F30))))/(BaselineUsePerUnit*(SUM(F$5:F30)))</f>
        <v>-0.12652089203158243</v>
      </c>
      <c r="O30" s="46">
        <f>SUM(E$5:E30,I$5:I30,K30)</f>
        <v>1629843769.6899881</v>
      </c>
      <c r="P30" s="50">
        <f>(O30-(BaselineUsePerUnit*(C30+SUM(B$5:B30))))/(BaselineUsePerUnit*(C30+SUM(B$5:B30)))</f>
        <v>-0.13074998949867311</v>
      </c>
      <c r="Q30" s="38"/>
    </row>
    <row r="31" spans="1:17" x14ac:dyDescent="0.25">
      <c r="A31" s="37">
        <v>2036</v>
      </c>
      <c r="B31" s="31">
        <f t="shared" si="1"/>
        <v>2511.7615077308633</v>
      </c>
      <c r="C31" s="31">
        <f t="shared" si="2"/>
        <v>84100.704276092016</v>
      </c>
      <c r="D31" s="61">
        <f t="shared" ref="D31:D44" si="10">D30+((D$45-D$15)/(A$45-A$15))</f>
        <v>-0.30333333333333334</v>
      </c>
      <c r="E31" s="32">
        <f t="shared" si="4"/>
        <v>17498605.170525014</v>
      </c>
      <c r="F31" s="31">
        <f t="shared" si="5"/>
        <v>827.56842494631724</v>
      </c>
      <c r="G31" s="31">
        <f>SUM(F$5:F31)</f>
        <v>33831.889978521591</v>
      </c>
      <c r="H31" s="61">
        <f t="shared" ref="H31:H44" si="11">H30+((H$45-H$30)/(A$45-A$30))</f>
        <v>-0.20666666666666667</v>
      </c>
      <c r="I31" s="32">
        <f t="shared" si="7"/>
        <v>6565376.1712407833</v>
      </c>
      <c r="J31" s="56">
        <f>C31-SUM(F$5:F31)</f>
        <v>50268.814297570425</v>
      </c>
      <c r="K31" s="56">
        <f t="shared" si="0"/>
        <v>502688142.97570425</v>
      </c>
      <c r="L31" s="56">
        <f>SUM(I$5:I31)+K31</f>
        <v>797539372.64414263</v>
      </c>
      <c r="M31" s="30"/>
      <c r="N31" s="30"/>
      <c r="O31" s="32">
        <f>SUM(E$5:E31,I$5:I31,K31)</f>
        <v>1615514451.704982</v>
      </c>
      <c r="P31" s="30"/>
      <c r="Q31" s="38"/>
    </row>
    <row r="32" spans="1:17" x14ac:dyDescent="0.25">
      <c r="A32" s="37">
        <v>2037</v>
      </c>
      <c r="B32" s="31">
        <f t="shared" si="1"/>
        <v>2424.4204240066688</v>
      </c>
      <c r="C32" s="31">
        <f t="shared" si="2"/>
        <v>81176.28385208534</v>
      </c>
      <c r="D32" s="61">
        <f t="shared" si="10"/>
        <v>-0.3066666666666667</v>
      </c>
      <c r="E32" s="32">
        <f t="shared" si="4"/>
        <v>16809314.939779572</v>
      </c>
      <c r="F32" s="31">
        <f t="shared" si="5"/>
        <v>798.95669062287413</v>
      </c>
      <c r="G32" s="31">
        <f>SUM(F$5:F32)</f>
        <v>34630.846669144463</v>
      </c>
      <c r="H32" s="61">
        <f t="shared" si="11"/>
        <v>-0.21333333333333332</v>
      </c>
      <c r="I32" s="32">
        <f t="shared" si="7"/>
        <v>6285125.9662332768</v>
      </c>
      <c r="J32" s="56">
        <f>C32-SUM(F$5:F32)</f>
        <v>46545.437182940877</v>
      </c>
      <c r="K32" s="56">
        <f t="shared" si="0"/>
        <v>465454371.82940876</v>
      </c>
      <c r="L32" s="56">
        <f>SUM(I$5:I32)+K32</f>
        <v>766590727.46408033</v>
      </c>
      <c r="M32" s="30"/>
      <c r="N32" s="30"/>
      <c r="O32" s="32">
        <f>SUM(E$5:E32,I$5:I32,K32)</f>
        <v>1601375121.4646993</v>
      </c>
      <c r="P32" s="30"/>
      <c r="Q32" s="38"/>
    </row>
    <row r="33" spans="1:17" x14ac:dyDescent="0.25">
      <c r="A33" s="37">
        <v>2038</v>
      </c>
      <c r="B33" s="31">
        <f t="shared" si="1"/>
        <v>2339.612231710475</v>
      </c>
      <c r="C33" s="31">
        <f t="shared" si="2"/>
        <v>78336.671620374866</v>
      </c>
      <c r="D33" s="61">
        <f t="shared" si="10"/>
        <v>-0.31000000000000005</v>
      </c>
      <c r="E33" s="32">
        <f t="shared" si="4"/>
        <v>16143324.398802277</v>
      </c>
      <c r="F33" s="31">
        <f t="shared" si="5"/>
        <v>771.17469659481071</v>
      </c>
      <c r="G33" s="31">
        <f>SUM(F$5:F33)</f>
        <v>35402.021365739274</v>
      </c>
      <c r="H33" s="61">
        <f t="shared" si="11"/>
        <v>-0.21999999999999997</v>
      </c>
      <c r="I33" s="32">
        <f t="shared" si="7"/>
        <v>6015162.6334395232</v>
      </c>
      <c r="J33" s="56">
        <f>C33-SUM(F$5:F33)</f>
        <v>42934.650254635591</v>
      </c>
      <c r="K33" s="56">
        <f t="shared" si="0"/>
        <v>429346502.5463559</v>
      </c>
      <c r="L33" s="56">
        <f>SUM(I$5:I33)+K33</f>
        <v>736498020.81446695</v>
      </c>
      <c r="M33" s="30"/>
      <c r="N33" s="30"/>
      <c r="O33" s="32">
        <f>SUM(E$5:E33,I$5:I33,K33)</f>
        <v>1587425739.2138884</v>
      </c>
      <c r="P33" s="30"/>
      <c r="Q33" s="38"/>
    </row>
    <row r="34" spans="1:17" x14ac:dyDescent="0.25">
      <c r="A34" s="37">
        <v>2039</v>
      </c>
      <c r="B34" s="31">
        <f t="shared" si="1"/>
        <v>2257.2634769908714</v>
      </c>
      <c r="C34" s="31">
        <f t="shared" si="2"/>
        <v>75579.408143383989</v>
      </c>
      <c r="D34" s="61">
        <f t="shared" si="10"/>
        <v>-0.31333333333333341</v>
      </c>
      <c r="E34" s="32">
        <f t="shared" si="4"/>
        <v>15499875.875337314</v>
      </c>
      <c r="F34" s="31">
        <f t="shared" si="5"/>
        <v>744.19838039356125</v>
      </c>
      <c r="G34" s="31">
        <f>SUM(F$5:F34)</f>
        <v>36146.219746132832</v>
      </c>
      <c r="H34" s="61">
        <f t="shared" si="11"/>
        <v>-0.22666666666666663</v>
      </c>
      <c r="I34" s="32">
        <f t="shared" si="7"/>
        <v>5755134.1417102078</v>
      </c>
      <c r="J34" s="56">
        <f>C34-SUM(F$5:F34)</f>
        <v>39433.188397251157</v>
      </c>
      <c r="K34" s="56">
        <f t="shared" si="0"/>
        <v>394331883.97251159</v>
      </c>
      <c r="L34" s="56">
        <f>SUM(I$5:I34)+K34</f>
        <v>707238536.38233292</v>
      </c>
      <c r="M34" s="30"/>
      <c r="N34" s="30"/>
      <c r="O34" s="32">
        <f>SUM(E$5:E34,I$5:I34,K34)</f>
        <v>1573666130.6570916</v>
      </c>
      <c r="P34" s="30"/>
      <c r="Q34" s="38"/>
    </row>
    <row r="35" spans="1:17" x14ac:dyDescent="0.25">
      <c r="A35" s="37">
        <v>2040</v>
      </c>
      <c r="B35" s="31">
        <f t="shared" si="1"/>
        <v>2177.302836158136</v>
      </c>
      <c r="C35" s="31">
        <f t="shared" si="2"/>
        <v>72902.105307225851</v>
      </c>
      <c r="D35" s="61">
        <f t="shared" si="10"/>
        <v>-0.31666666666666676</v>
      </c>
      <c r="E35" s="32">
        <f t="shared" si="4"/>
        <v>14878236.047080593</v>
      </c>
      <c r="F35" s="31">
        <f t="shared" si="5"/>
        <v>718.00437736214792</v>
      </c>
      <c r="G35" s="31">
        <f>SUM(F$5:F35)</f>
        <v>36864.224123494983</v>
      </c>
      <c r="H35" s="61">
        <f t="shared" si="11"/>
        <v>-0.23333333333333328</v>
      </c>
      <c r="I35" s="32">
        <f t="shared" si="7"/>
        <v>5504700.2264431342</v>
      </c>
      <c r="J35" s="56">
        <f>C35-SUM(F$5:F35)</f>
        <v>36037.881183730868</v>
      </c>
      <c r="K35" s="56">
        <f t="shared" si="0"/>
        <v>360378811.8373087</v>
      </c>
      <c r="L35" s="56">
        <f>SUM(I$5:I35)+K35</f>
        <v>678790164.47357321</v>
      </c>
      <c r="M35" s="30"/>
      <c r="N35" s="30"/>
      <c r="O35" s="32">
        <f>SUM(E$5:E35,I$5:I35,K35)</f>
        <v>1560095994.7954125</v>
      </c>
      <c r="P35" s="30"/>
      <c r="Q35" s="38"/>
    </row>
    <row r="36" spans="1:17" x14ac:dyDescent="0.25">
      <c r="A36" s="37">
        <v>2041</v>
      </c>
      <c r="B36" s="31">
        <f t="shared" si="1"/>
        <v>2099.66105390955</v>
      </c>
      <c r="C36" s="31">
        <f t="shared" si="2"/>
        <v>70302.444253316295</v>
      </c>
      <c r="D36" s="61">
        <f t="shared" si="10"/>
        <v>-0.32000000000000012</v>
      </c>
      <c r="E36" s="32">
        <f t="shared" si="4"/>
        <v>14277695.166584937</v>
      </c>
      <c r="F36" s="31">
        <f t="shared" si="5"/>
        <v>692.57000041864558</v>
      </c>
      <c r="G36" s="31">
        <f>SUM(F$5:F36)</f>
        <v>37556.794123913627</v>
      </c>
      <c r="H36" s="61">
        <f t="shared" si="11"/>
        <v>-0.23999999999999994</v>
      </c>
      <c r="I36" s="32">
        <f t="shared" si="7"/>
        <v>5263532.0031817071</v>
      </c>
      <c r="J36" s="56">
        <f>C36-SUM(F$5:F36)</f>
        <v>32745.650129402668</v>
      </c>
      <c r="K36" s="56">
        <f t="shared" si="0"/>
        <v>327456501.29402667</v>
      </c>
      <c r="L36" s="56">
        <f>SUM(I$5:I36)+K36</f>
        <v>651131385.93347287</v>
      </c>
      <c r="M36" s="30"/>
      <c r="N36" s="30"/>
      <c r="O36" s="32">
        <f>SUM(E$5:E36,I$5:I36,K36)</f>
        <v>1546714911.4218969</v>
      </c>
      <c r="P36" s="30"/>
      <c r="Q36" s="38"/>
    </row>
    <row r="37" spans="1:17" x14ac:dyDescent="0.25">
      <c r="A37" s="37">
        <v>2042</v>
      </c>
      <c r="B37" s="31">
        <f t="shared" si="1"/>
        <v>2024.2708833461727</v>
      </c>
      <c r="C37" s="31">
        <f t="shared" si="2"/>
        <v>67778.173369970129</v>
      </c>
      <c r="D37" s="61">
        <f t="shared" si="10"/>
        <v>-0.32333333333333347</v>
      </c>
      <c r="E37" s="32">
        <f t="shared" si="4"/>
        <v>13697566.310642432</v>
      </c>
      <c r="F37" s="31">
        <f t="shared" si="5"/>
        <v>667.87322040650474</v>
      </c>
      <c r="G37" s="31">
        <f>SUM(F$5:F37)</f>
        <v>38224.667344320129</v>
      </c>
      <c r="H37" s="61">
        <f t="shared" si="11"/>
        <v>-0.24666666666666659</v>
      </c>
      <c r="I37" s="32">
        <f t="shared" si="7"/>
        <v>5031311.5937290024</v>
      </c>
      <c r="J37" s="56">
        <f>C37-SUM(F$5:F37)</f>
        <v>29553.50602565</v>
      </c>
      <c r="K37" s="56">
        <f t="shared" si="0"/>
        <v>295535060.25650001</v>
      </c>
      <c r="L37" s="56">
        <f>SUM(I$5:I37)+K37</f>
        <v>624241256.48967516</v>
      </c>
      <c r="M37" s="30"/>
      <c r="N37" s="30"/>
      <c r="O37" s="32">
        <f>SUM(E$5:E37,I$5:I37,K37)</f>
        <v>1533522348.2887418</v>
      </c>
      <c r="P37" s="30"/>
      <c r="Q37" s="38"/>
    </row>
    <row r="38" spans="1:17" x14ac:dyDescent="0.25">
      <c r="A38" s="37">
        <v>2043</v>
      </c>
      <c r="B38" s="31">
        <f t="shared" si="1"/>
        <v>1951.0670277291338</v>
      </c>
      <c r="C38" s="31">
        <f t="shared" si="2"/>
        <v>65327.106342240993</v>
      </c>
      <c r="D38" s="61">
        <f t="shared" si="10"/>
        <v>-0.32666666666666683</v>
      </c>
      <c r="E38" s="32">
        <f t="shared" si="4"/>
        <v>13137184.653376164</v>
      </c>
      <c r="F38" s="31">
        <f t="shared" si="5"/>
        <v>643.8926470147162</v>
      </c>
      <c r="G38" s="31">
        <f>SUM(F$5:F38)</f>
        <v>38868.559991334841</v>
      </c>
      <c r="H38" s="61">
        <f t="shared" si="11"/>
        <v>-0.25333333333333324</v>
      </c>
      <c r="I38" s="32">
        <f t="shared" si="7"/>
        <v>4807731.7643765481</v>
      </c>
      <c r="J38" s="56">
        <f>C38-SUM(F$5:F38)</f>
        <v>26458.546350906152</v>
      </c>
      <c r="K38" s="56">
        <f t="shared" si="0"/>
        <v>264585463.50906152</v>
      </c>
      <c r="L38" s="56">
        <f>SUM(I$5:I38)+K38</f>
        <v>598099391.50661325</v>
      </c>
      <c r="M38" s="30"/>
      <c r="N38" s="30"/>
      <c r="O38" s="32">
        <f>SUM(E$5:E38,I$5:I38,K38)</f>
        <v>1520517667.9590564</v>
      </c>
      <c r="P38" s="30"/>
      <c r="Q38" s="38"/>
    </row>
    <row r="39" spans="1:17" x14ac:dyDescent="0.25">
      <c r="A39" s="37">
        <v>2044</v>
      </c>
      <c r="B39" s="31">
        <f t="shared" si="1"/>
        <v>1879.9860839249889</v>
      </c>
      <c r="C39" s="31">
        <f t="shared" si="2"/>
        <v>62947.120258316005</v>
      </c>
      <c r="D39" s="61">
        <f t="shared" si="10"/>
        <v>-0.33000000000000018</v>
      </c>
      <c r="E39" s="32">
        <f t="shared" si="4"/>
        <v>12595906.762297424</v>
      </c>
      <c r="F39" s="31">
        <f t="shared" si="5"/>
        <v>620.60751025128945</v>
      </c>
      <c r="G39" s="31">
        <f>SUM(F$5:F39)</f>
        <v>39489.167501586133</v>
      </c>
      <c r="H39" s="61">
        <f t="shared" si="11"/>
        <v>-0.2599999999999999</v>
      </c>
      <c r="I39" s="32">
        <f t="shared" si="7"/>
        <v>4592495.575859542</v>
      </c>
      <c r="J39" s="56">
        <f>C39-SUM(F$5:F39)</f>
        <v>23457.952756729872</v>
      </c>
      <c r="K39" s="56">
        <f t="shared" si="0"/>
        <v>234579527.56729871</v>
      </c>
      <c r="L39" s="56">
        <f>SUM(I$5:I39)+K39</f>
        <v>572685951.14070988</v>
      </c>
      <c r="M39" s="30"/>
      <c r="N39" s="30"/>
      <c r="O39" s="32">
        <f>SUM(E$5:E39,I$5:I39,K39)</f>
        <v>1507700134.3554504</v>
      </c>
      <c r="P39" s="30"/>
      <c r="Q39" s="38"/>
    </row>
    <row r="40" spans="1:17" x14ac:dyDescent="0.25">
      <c r="A40" s="37">
        <v>2045</v>
      </c>
      <c r="B40" s="31">
        <f t="shared" si="1"/>
        <v>1810.9664874911641</v>
      </c>
      <c r="C40" s="31">
        <f t="shared" si="2"/>
        <v>60636.153770824843</v>
      </c>
      <c r="D40" s="61">
        <f t="shared" si="10"/>
        <v>-0.33333333333333354</v>
      </c>
      <c r="E40" s="32">
        <f t="shared" si="4"/>
        <v>12073109.916607758</v>
      </c>
      <c r="F40" s="31">
        <f t="shared" si="5"/>
        <v>597.99764245400206</v>
      </c>
      <c r="G40" s="31">
        <f>SUM(F$5:F40)</f>
        <v>40087.165144040133</v>
      </c>
      <c r="H40" s="61">
        <f t="shared" si="11"/>
        <v>-0.26666666666666655</v>
      </c>
      <c r="I40" s="32">
        <f t="shared" si="7"/>
        <v>4385316.0446626823</v>
      </c>
      <c r="J40" s="56">
        <f>C40-SUM(F$5:F40)</f>
        <v>20548.988626784711</v>
      </c>
      <c r="K40" s="56">
        <f t="shared" si="0"/>
        <v>205489886.26784709</v>
      </c>
      <c r="L40" s="56">
        <f>SUM(I$5:I40)+K40</f>
        <v>547981625.885921</v>
      </c>
      <c r="M40" s="30"/>
      <c r="N40" s="30"/>
      <c r="O40" s="32">
        <f>SUM(E$5:E40,I$5:I40,K40)</f>
        <v>1495068919.0172691</v>
      </c>
      <c r="P40" s="30"/>
      <c r="Q40" s="38"/>
    </row>
    <row r="41" spans="1:17" x14ac:dyDescent="0.25">
      <c r="A41" s="37">
        <v>2046</v>
      </c>
      <c r="B41" s="31">
        <f t="shared" si="1"/>
        <v>1743.9484593539205</v>
      </c>
      <c r="C41" s="31">
        <f t="shared" si="2"/>
        <v>58392.20531147092</v>
      </c>
      <c r="D41" s="61">
        <f t="shared" si="10"/>
        <v>-0.33666666666666689</v>
      </c>
      <c r="E41" s="32">
        <f t="shared" si="4"/>
        <v>11568191.447047668</v>
      </c>
      <c r="F41" s="31">
        <f t="shared" si="5"/>
        <v>576.04346082283598</v>
      </c>
      <c r="G41" s="31">
        <f>SUM(F$5:F41)</f>
        <v>40663.208604862972</v>
      </c>
      <c r="H41" s="61">
        <f t="shared" si="11"/>
        <v>-0.27333333333333321</v>
      </c>
      <c r="I41" s="32">
        <f t="shared" si="7"/>
        <v>4185915.8153126086</v>
      </c>
      <c r="J41" s="56">
        <f>C41-SUM(F$5:F41)</f>
        <v>17728.996706607948</v>
      </c>
      <c r="K41" s="56">
        <f t="shared" si="0"/>
        <v>177289967.06607947</v>
      </c>
      <c r="L41" s="56">
        <f>SUM(I$5:I41)+K41</f>
        <v>523967622.49946594</v>
      </c>
      <c r="M41" s="30"/>
      <c r="N41" s="30"/>
      <c r="O41" s="32">
        <f>SUM(E$5:E41,I$5:I41,K41)</f>
        <v>1482623107.0778618</v>
      </c>
      <c r="P41" s="30"/>
      <c r="Q41" s="38"/>
    </row>
    <row r="42" spans="1:17" x14ac:dyDescent="0.25">
      <c r="A42" s="37">
        <v>2047</v>
      </c>
      <c r="B42" s="31">
        <f t="shared" si="1"/>
        <v>1678.8739540326567</v>
      </c>
      <c r="C42" s="31">
        <f t="shared" si="2"/>
        <v>56213.331357438263</v>
      </c>
      <c r="D42" s="61">
        <f t="shared" si="10"/>
        <v>-0.34000000000000025</v>
      </c>
      <c r="E42" s="32">
        <f t="shared" si="4"/>
        <v>11080568.096615529</v>
      </c>
      <c r="F42" s="31">
        <f t="shared" si="5"/>
        <v>554.72595045897367</v>
      </c>
      <c r="G42" s="31">
        <f>SUM(F$5:F42)</f>
        <v>41217.934555321946</v>
      </c>
      <c r="H42" s="61">
        <f t="shared" si="11"/>
        <v>-0.27999999999999986</v>
      </c>
      <c r="I42" s="32">
        <f t="shared" si="7"/>
        <v>3994026.8433046113</v>
      </c>
      <c r="J42" s="56">
        <f>C42-SUM(F$5:F42)</f>
        <v>14995.396802116316</v>
      </c>
      <c r="K42" s="56">
        <f t="shared" si="0"/>
        <v>149953968.02116317</v>
      </c>
      <c r="L42" s="56">
        <f>SUM(I$5:I42)+K42</f>
        <v>500625650.2978543</v>
      </c>
      <c r="M42" s="30"/>
      <c r="N42" s="30"/>
      <c r="O42" s="32">
        <f>SUM(E$5:E42,I$5:I42,K42)</f>
        <v>1470361702.9728661</v>
      </c>
      <c r="P42" s="30"/>
      <c r="Q42" s="38"/>
    </row>
    <row r="43" spans="1:17" x14ac:dyDescent="0.25">
      <c r="A43" s="37">
        <v>2048</v>
      </c>
      <c r="B43" s="31">
        <f t="shared" si="1"/>
        <v>1615.6866093657097</v>
      </c>
      <c r="C43" s="31">
        <f t="shared" si="2"/>
        <v>54097.644748072555</v>
      </c>
      <c r="D43" s="61">
        <f t="shared" si="10"/>
        <v>-0.3433333333333336</v>
      </c>
      <c r="E43" s="32">
        <f t="shared" si="4"/>
        <v>10609675.40150149</v>
      </c>
      <c r="F43" s="31">
        <f t="shared" si="5"/>
        <v>534.02664789566347</v>
      </c>
      <c r="G43" s="31">
        <f>SUM(F$5:F43)</f>
        <v>41751.961203217608</v>
      </c>
      <c r="H43" s="61">
        <f t="shared" si="11"/>
        <v>-0.28666666666666651</v>
      </c>
      <c r="I43" s="32">
        <f t="shared" si="7"/>
        <v>3809390.0883224006</v>
      </c>
      <c r="J43" s="56">
        <f>C43-SUM(F$5:F43)</f>
        <v>12345.683544854946</v>
      </c>
      <c r="K43" s="56">
        <f t="shared" si="0"/>
        <v>123456835.44854946</v>
      </c>
      <c r="L43" s="56">
        <f>SUM(I$5:I43)+K43</f>
        <v>477937907.81356299</v>
      </c>
      <c r="M43" s="30"/>
      <c r="N43" s="30"/>
      <c r="O43" s="32">
        <f>SUM(E$5:E43,I$5:I43,K43)</f>
        <v>1458283635.8900762</v>
      </c>
      <c r="P43" s="30"/>
      <c r="Q43" s="38"/>
    </row>
    <row r="44" spans="1:17" x14ac:dyDescent="0.25">
      <c r="A44" s="37">
        <v>2049</v>
      </c>
      <c r="B44" s="31">
        <f t="shared" si="1"/>
        <v>1554.3316976941042</v>
      </c>
      <c r="C44" s="31">
        <f t="shared" si="2"/>
        <v>52043.313050378449</v>
      </c>
      <c r="D44" s="61">
        <f t="shared" si="10"/>
        <v>-0.34666666666666696</v>
      </c>
      <c r="E44" s="32">
        <f t="shared" si="4"/>
        <v>10154967.091601476</v>
      </c>
      <c r="F44" s="31">
        <f t="shared" si="5"/>
        <v>513.92762510668922</v>
      </c>
      <c r="G44" s="31">
        <f>SUM(F$5:F44)</f>
        <v>42265.8888283243</v>
      </c>
      <c r="H44" s="61">
        <f t="shared" si="11"/>
        <v>-0.29333333333333317</v>
      </c>
      <c r="I44" s="32">
        <f t="shared" si="7"/>
        <v>3631755.2174206045</v>
      </c>
      <c r="J44" s="56">
        <f>C44-SUM(F$5:F44)</f>
        <v>9777.4242220541491</v>
      </c>
      <c r="K44" s="56">
        <f t="shared" si="0"/>
        <v>97774242.220541492</v>
      </c>
      <c r="L44" s="56">
        <f>SUM(I$5:I44)+K44</f>
        <v>455887069.80297559</v>
      </c>
      <c r="M44" s="30"/>
      <c r="N44" s="30"/>
      <c r="O44" s="32">
        <f>SUM(E$5:E44,I$5:I44,K44)</f>
        <v>1446387764.9710901</v>
      </c>
      <c r="P44" s="30"/>
      <c r="Q44" s="38"/>
    </row>
    <row r="45" spans="1:17" x14ac:dyDescent="0.25">
      <c r="A45" s="62">
        <v>2050</v>
      </c>
      <c r="B45" s="45">
        <f t="shared" si="1"/>
        <v>1494.756078460975</v>
      </c>
      <c r="C45" s="45">
        <f t="shared" si="2"/>
        <v>50048.556971917475</v>
      </c>
      <c r="D45" s="80">
        <f>Inputs!N36</f>
        <v>-0.35</v>
      </c>
      <c r="E45" s="46">
        <f t="shared" si="4"/>
        <v>9715914.5099963378</v>
      </c>
      <c r="F45" s="45">
        <f t="shared" si="5"/>
        <v>494.41147397859527</v>
      </c>
      <c r="G45" s="45">
        <f>SUM(F$5:F45)</f>
        <v>42760.300302302894</v>
      </c>
      <c r="H45" s="80">
        <f>Inputs!N42</f>
        <v>-0.3</v>
      </c>
      <c r="I45" s="46">
        <f t="shared" si="7"/>
        <v>3460880.3178501665</v>
      </c>
      <c r="J45" s="55">
        <f>C45-SUM(F$5:F45)</f>
        <v>7288.2566696145805</v>
      </c>
      <c r="K45" s="55">
        <f t="shared" si="0"/>
        <v>72882566.696145803</v>
      </c>
      <c r="L45" s="55">
        <f>SUM(I$5:I45)+K45</f>
        <v>434456274.59643006</v>
      </c>
      <c r="M45" s="50">
        <f>(L45-(C45*BaselineUsePerUnit))/(C45*BaselineUsePerUnit)</f>
        <v>-0.13193046736551084</v>
      </c>
      <c r="N45" s="50">
        <f>(SUM(I$5:I45)-(BaselineUsePerUnit*(SUM(F$5:F45))))/(BaselineUsePerUnit*(SUM(F$5:F45)))</f>
        <v>-0.15441728579064401</v>
      </c>
      <c r="O45" s="46">
        <f>SUM(E$5:E45,I$5:I45,K45)</f>
        <v>1434672884.2745409</v>
      </c>
      <c r="P45" s="50">
        <f>(O45-(BaselineUsePerUnit*(C45+SUM(B$5:B45))))/(BaselineUsePerUnit*(C45+SUM(B$5:B45)))</f>
        <v>-0.20295950873636628</v>
      </c>
      <c r="Q45" s="63" t="s">
        <v>58</v>
      </c>
    </row>
    <row r="46" spans="1:17" x14ac:dyDescent="0.25">
      <c r="A46" s="41"/>
      <c r="B46" s="43"/>
      <c r="C46" s="41"/>
      <c r="D46" s="44"/>
      <c r="E46" s="41"/>
      <c r="F46" s="89"/>
      <c r="G46" s="43"/>
      <c r="H46" s="44"/>
      <c r="I46" s="41"/>
      <c r="J46" s="57"/>
      <c r="K46" s="57"/>
      <c r="L46" s="57"/>
      <c r="M46" s="44"/>
      <c r="N46" s="44"/>
      <c r="O46" s="69" t="s">
        <v>66</v>
      </c>
      <c r="Q46" s="68" t="s">
        <v>59</v>
      </c>
    </row>
    <row r="47" spans="1:17" x14ac:dyDescent="0.25">
      <c r="B47" s="13"/>
      <c r="D47" s="9"/>
      <c r="F47" s="6"/>
      <c r="G47" s="90"/>
      <c r="H47" s="9"/>
      <c r="J47" s="58"/>
      <c r="K47" s="58"/>
      <c r="L47" s="58"/>
      <c r="M47" s="9"/>
      <c r="N47" s="9"/>
      <c r="O47" s="33">
        <f>SUM(O5:O45)</f>
        <v>70302347022.238007</v>
      </c>
      <c r="Q47" s="64">
        <f>(1+P45)*BaselineUsePerUnit*(BaselineExisting-Redeveloped)</f>
        <v>1434672884.2745407</v>
      </c>
    </row>
    <row r="48" spans="1:17" x14ac:dyDescent="0.25">
      <c r="G48" s="90"/>
      <c r="Q48" s="65" t="b">
        <f>O45=Q47</f>
        <v>1</v>
      </c>
    </row>
    <row r="49" spans="2:15" x14ac:dyDescent="0.25">
      <c r="B49" s="8"/>
      <c r="F49" s="8"/>
      <c r="G49" s="90"/>
      <c r="H49" s="6"/>
    </row>
    <row r="50" spans="2:15" x14ac:dyDescent="0.25">
      <c r="F50" s="81"/>
      <c r="H50" s="9"/>
      <c r="O50" s="6"/>
    </row>
    <row r="51" spans="2:15" x14ac:dyDescent="0.25">
      <c r="B51" s="11"/>
      <c r="F51" s="11"/>
      <c r="G51" s="11"/>
    </row>
    <row r="52" spans="2:15" x14ac:dyDescent="0.25">
      <c r="B52" s="8"/>
      <c r="F52" s="8"/>
      <c r="G52" s="8"/>
    </row>
    <row r="53" spans="2:15" x14ac:dyDescent="0.25">
      <c r="B53" s="8"/>
      <c r="F53" s="8"/>
      <c r="G53" s="8"/>
    </row>
    <row r="54" spans="2:15" x14ac:dyDescent="0.25">
      <c r="B54" s="8"/>
      <c r="F54" s="8"/>
      <c r="G54" s="8"/>
    </row>
    <row r="57" spans="2:15" x14ac:dyDescent="0.25">
      <c r="B57" s="12"/>
      <c r="F57" s="12"/>
      <c r="G57" s="12"/>
    </row>
    <row r="58" spans="2:15" x14ac:dyDescent="0.25">
      <c r="F58" s="81"/>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zoomScale="85" zoomScaleNormal="85" workbookViewId="0">
      <selection activeCell="B30" sqref="B30"/>
    </sheetView>
  </sheetViews>
  <sheetFormatPr defaultRowHeight="15" x14ac:dyDescent="0.25"/>
  <cols>
    <col min="1" max="1" width="23.85546875" customWidth="1"/>
    <col min="2" max="5" width="18.28515625" customWidth="1"/>
  </cols>
  <sheetData>
    <row r="1" spans="1:11" ht="28.5" customHeight="1" x14ac:dyDescent="0.3">
      <c r="A1" s="165" t="s">
        <v>94</v>
      </c>
    </row>
    <row r="2" spans="1:11" ht="26.25" customHeight="1" x14ac:dyDescent="0.25">
      <c r="A2" s="163" t="s">
        <v>91</v>
      </c>
      <c r="B2" s="17"/>
      <c r="C2" s="17"/>
      <c r="D2" s="17"/>
      <c r="E2" s="17"/>
    </row>
    <row r="3" spans="1:11" s="156" customFormat="1" ht="48" customHeight="1" x14ac:dyDescent="0.25">
      <c r="A3" s="158" t="s">
        <v>89</v>
      </c>
      <c r="B3" s="157" t="s">
        <v>92</v>
      </c>
      <c r="C3" s="157" t="s">
        <v>93</v>
      </c>
      <c r="D3" s="157" t="s">
        <v>88</v>
      </c>
      <c r="E3" s="157" t="s">
        <v>87</v>
      </c>
      <c r="F3"/>
      <c r="G3"/>
      <c r="H3"/>
    </row>
    <row r="4" spans="1:11" x14ac:dyDescent="0.25">
      <c r="A4" s="155">
        <v>1</v>
      </c>
      <c r="B4" s="166">
        <v>7665</v>
      </c>
      <c r="C4" s="166">
        <v>6245</v>
      </c>
      <c r="D4" s="166">
        <v>3344</v>
      </c>
      <c r="E4" s="166">
        <v>3573</v>
      </c>
      <c r="J4" s="156"/>
      <c r="K4" s="156"/>
    </row>
    <row r="5" spans="1:11" x14ac:dyDescent="0.25">
      <c r="A5" s="155">
        <v>2</v>
      </c>
      <c r="B5" s="166">
        <v>8783</v>
      </c>
      <c r="C5" s="166">
        <v>6652</v>
      </c>
      <c r="D5" s="166">
        <v>4145</v>
      </c>
      <c r="E5" s="166">
        <v>3186</v>
      </c>
      <c r="J5" s="156"/>
      <c r="K5" s="156"/>
    </row>
    <row r="6" spans="1:11" x14ac:dyDescent="0.25">
      <c r="A6" s="155">
        <v>3</v>
      </c>
      <c r="B6" s="166">
        <v>8161</v>
      </c>
      <c r="C6" s="166">
        <v>5166</v>
      </c>
      <c r="D6" s="166">
        <v>4612</v>
      </c>
      <c r="E6" s="166">
        <v>3606</v>
      </c>
      <c r="J6" s="156"/>
      <c r="K6" s="156"/>
    </row>
    <row r="7" spans="1:11" x14ac:dyDescent="0.25">
      <c r="A7" s="155">
        <v>4</v>
      </c>
      <c r="B7" s="166">
        <v>8735</v>
      </c>
      <c r="C7" s="166">
        <v>6911</v>
      </c>
      <c r="D7" s="166">
        <v>4807</v>
      </c>
      <c r="E7" s="166">
        <v>3730</v>
      </c>
      <c r="J7" s="156"/>
      <c r="K7" s="156"/>
    </row>
    <row r="8" spans="1:11" x14ac:dyDescent="0.25">
      <c r="A8" s="155">
        <v>5</v>
      </c>
      <c r="B8" s="166">
        <v>6576</v>
      </c>
      <c r="C8" s="166">
        <v>5249</v>
      </c>
      <c r="D8" s="166">
        <v>4189</v>
      </c>
      <c r="E8" s="166">
        <v>3423</v>
      </c>
      <c r="J8" s="156"/>
      <c r="K8" s="156"/>
    </row>
    <row r="9" spans="1:11" x14ac:dyDescent="0.25">
      <c r="A9" s="155">
        <v>6</v>
      </c>
      <c r="B9" s="166">
        <v>9742</v>
      </c>
      <c r="C9" s="166">
        <v>5727</v>
      </c>
      <c r="D9" s="166">
        <v>5578</v>
      </c>
      <c r="E9" s="166">
        <v>4030</v>
      </c>
      <c r="J9" s="156"/>
      <c r="K9" s="156"/>
    </row>
    <row r="10" spans="1:11" x14ac:dyDescent="0.25">
      <c r="A10" s="155">
        <v>7</v>
      </c>
      <c r="B10" s="166">
        <v>7852</v>
      </c>
      <c r="C10" s="166">
        <v>5499</v>
      </c>
      <c r="D10" s="166">
        <v>3732</v>
      </c>
      <c r="E10" s="166">
        <v>3134</v>
      </c>
      <c r="J10" s="156"/>
      <c r="K10" s="156"/>
    </row>
    <row r="11" spans="1:11" x14ac:dyDescent="0.25">
      <c r="A11" s="155">
        <v>8</v>
      </c>
      <c r="B11" s="166">
        <v>9287</v>
      </c>
      <c r="C11" s="166">
        <v>6513</v>
      </c>
      <c r="D11" s="166">
        <v>5148</v>
      </c>
      <c r="E11" s="166">
        <v>4068</v>
      </c>
      <c r="J11" s="156"/>
      <c r="K11" s="156"/>
    </row>
    <row r="12" spans="1:11" x14ac:dyDescent="0.25">
      <c r="A12" s="155">
        <v>9</v>
      </c>
      <c r="B12" s="166">
        <v>11343</v>
      </c>
      <c r="C12" s="166">
        <v>6723</v>
      </c>
      <c r="D12" s="166">
        <v>4873</v>
      </c>
      <c r="E12" s="166">
        <v>3908</v>
      </c>
      <c r="J12" s="156"/>
      <c r="K12" s="156"/>
    </row>
    <row r="13" spans="1:11" x14ac:dyDescent="0.25">
      <c r="A13" s="155">
        <v>10</v>
      </c>
      <c r="B13" s="166">
        <v>9618</v>
      </c>
      <c r="C13" s="166">
        <v>7148</v>
      </c>
      <c r="D13" s="166">
        <v>4873</v>
      </c>
      <c r="E13" s="166">
        <v>4042</v>
      </c>
      <c r="J13" s="156"/>
      <c r="K13" s="156"/>
    </row>
    <row r="14" spans="1:11" x14ac:dyDescent="0.25">
      <c r="A14" s="155">
        <v>11</v>
      </c>
      <c r="B14" s="166">
        <v>12297</v>
      </c>
      <c r="C14" s="166">
        <v>7490</v>
      </c>
      <c r="D14" s="166">
        <v>5787</v>
      </c>
      <c r="E14" s="166">
        <v>3974</v>
      </c>
      <c r="J14" s="156"/>
      <c r="K14" s="156"/>
    </row>
    <row r="15" spans="1:11" x14ac:dyDescent="0.25">
      <c r="A15" s="155">
        <v>12</v>
      </c>
      <c r="B15" s="166">
        <v>9742</v>
      </c>
      <c r="C15" s="166">
        <v>7767</v>
      </c>
      <c r="D15" s="166">
        <v>5762</v>
      </c>
      <c r="E15" s="166">
        <v>4190</v>
      </c>
      <c r="J15" s="156"/>
      <c r="K15" s="156"/>
    </row>
    <row r="16" spans="1:11" x14ac:dyDescent="0.25">
      <c r="A16" s="155">
        <v>13</v>
      </c>
      <c r="B16" s="166">
        <v>10406</v>
      </c>
      <c r="C16" s="166">
        <v>8237</v>
      </c>
      <c r="D16" s="166">
        <v>6198</v>
      </c>
      <c r="E16" s="166">
        <v>5101</v>
      </c>
      <c r="J16" s="156"/>
      <c r="K16" s="156"/>
    </row>
    <row r="17" spans="1:11" x14ac:dyDescent="0.25">
      <c r="A17" s="155">
        <v>14</v>
      </c>
      <c r="B17" s="166">
        <v>9988</v>
      </c>
      <c r="C17" s="166">
        <v>6768</v>
      </c>
      <c r="D17" s="166">
        <v>5186</v>
      </c>
      <c r="E17" s="166">
        <v>4771</v>
      </c>
      <c r="J17" s="156"/>
      <c r="K17" s="156"/>
    </row>
    <row r="18" spans="1:11" x14ac:dyDescent="0.25">
      <c r="A18" s="155">
        <v>15</v>
      </c>
      <c r="B18" s="166">
        <v>12529</v>
      </c>
      <c r="C18" s="166">
        <v>8516</v>
      </c>
      <c r="D18" s="166">
        <v>9275</v>
      </c>
      <c r="E18" s="166">
        <v>8229</v>
      </c>
      <c r="J18" s="156"/>
      <c r="K18" s="156"/>
    </row>
    <row r="19" spans="1:11" x14ac:dyDescent="0.25">
      <c r="A19" s="155">
        <v>16</v>
      </c>
      <c r="B19" s="166">
        <v>7361</v>
      </c>
      <c r="C19" s="166">
        <v>5434</v>
      </c>
      <c r="D19" s="166">
        <v>7653</v>
      </c>
      <c r="E19" s="166">
        <v>4142</v>
      </c>
      <c r="J19" s="156"/>
      <c r="K19" s="156"/>
    </row>
    <row r="20" spans="1:11" x14ac:dyDescent="0.25">
      <c r="B20" s="159"/>
      <c r="C20" s="159"/>
      <c r="D20" s="159"/>
      <c r="E20" s="159"/>
      <c r="F20" s="8"/>
      <c r="J20" s="156"/>
      <c r="K20" s="156"/>
    </row>
    <row r="21" spans="1:11" ht="26.25" customHeight="1" x14ac:dyDescent="0.25">
      <c r="A21" s="163" t="s">
        <v>90</v>
      </c>
      <c r="B21" s="164"/>
      <c r="C21" s="164"/>
      <c r="D21" s="164"/>
      <c r="E21" s="164"/>
      <c r="J21" s="156"/>
      <c r="K21" s="156"/>
    </row>
    <row r="22" spans="1:11" s="156" customFormat="1" ht="48" customHeight="1" x14ac:dyDescent="0.25">
      <c r="A22" s="158" t="s">
        <v>89</v>
      </c>
      <c r="B22" s="157" t="s">
        <v>92</v>
      </c>
      <c r="C22" s="157" t="s">
        <v>93</v>
      </c>
      <c r="D22" s="157" t="s">
        <v>88</v>
      </c>
      <c r="E22" s="157" t="s">
        <v>87</v>
      </c>
      <c r="F22" s="161"/>
      <c r="G22" s="161"/>
    </row>
    <row r="23" spans="1:11" x14ac:dyDescent="0.25">
      <c r="A23" s="155">
        <v>1</v>
      </c>
      <c r="B23" s="166">
        <v>1073</v>
      </c>
      <c r="C23" s="166">
        <v>838</v>
      </c>
      <c r="D23" s="166">
        <v>551</v>
      </c>
      <c r="E23" s="166">
        <v>547</v>
      </c>
      <c r="G23" s="8"/>
    </row>
    <row r="24" spans="1:11" x14ac:dyDescent="0.25">
      <c r="A24" s="155">
        <v>2</v>
      </c>
      <c r="B24" s="166">
        <v>485</v>
      </c>
      <c r="C24" s="166">
        <v>361</v>
      </c>
      <c r="D24" s="166">
        <v>290</v>
      </c>
      <c r="E24" s="166">
        <v>143</v>
      </c>
      <c r="G24" s="8"/>
    </row>
    <row r="25" spans="1:11" x14ac:dyDescent="0.25">
      <c r="A25" s="155">
        <v>3</v>
      </c>
      <c r="B25" s="166">
        <v>656</v>
      </c>
      <c r="C25" s="166">
        <v>417</v>
      </c>
      <c r="D25" s="166">
        <v>350</v>
      </c>
      <c r="E25" s="166">
        <v>268</v>
      </c>
      <c r="G25" s="8"/>
    </row>
    <row r="26" spans="1:11" x14ac:dyDescent="0.25">
      <c r="A26" s="155">
        <v>4</v>
      </c>
      <c r="B26" s="166">
        <v>501</v>
      </c>
      <c r="C26" s="166">
        <v>359</v>
      </c>
      <c r="D26" s="166">
        <v>337</v>
      </c>
      <c r="E26" s="166">
        <v>155</v>
      </c>
      <c r="G26" s="8"/>
    </row>
    <row r="27" spans="1:11" x14ac:dyDescent="0.25">
      <c r="A27" s="155">
        <v>5</v>
      </c>
      <c r="B27" s="166">
        <v>133</v>
      </c>
      <c r="C27" s="166">
        <v>348</v>
      </c>
      <c r="D27" s="166">
        <v>189</v>
      </c>
      <c r="E27" s="166">
        <v>335</v>
      </c>
      <c r="G27" s="8"/>
    </row>
    <row r="28" spans="1:11" x14ac:dyDescent="0.25">
      <c r="A28" s="155">
        <v>6</v>
      </c>
      <c r="B28" s="166">
        <v>538</v>
      </c>
      <c r="C28" s="166">
        <v>367</v>
      </c>
      <c r="D28" s="166">
        <v>317</v>
      </c>
      <c r="E28" s="167">
        <v>230</v>
      </c>
      <c r="G28" s="8"/>
    </row>
    <row r="29" spans="1:11" x14ac:dyDescent="0.25">
      <c r="A29" s="155">
        <v>7</v>
      </c>
      <c r="B29" s="166">
        <v>329</v>
      </c>
      <c r="C29" s="166">
        <v>293</v>
      </c>
      <c r="D29" s="166">
        <v>225</v>
      </c>
      <c r="E29" s="166">
        <v>144</v>
      </c>
      <c r="G29" s="8"/>
    </row>
    <row r="30" spans="1:11" x14ac:dyDescent="0.25">
      <c r="A30" s="155">
        <v>8</v>
      </c>
      <c r="B30" s="166">
        <v>366</v>
      </c>
      <c r="C30" s="166">
        <v>314</v>
      </c>
      <c r="D30" s="166">
        <v>350</v>
      </c>
      <c r="E30" s="167">
        <v>277</v>
      </c>
      <c r="G30" s="8"/>
    </row>
    <row r="31" spans="1:11" x14ac:dyDescent="0.25">
      <c r="A31" s="155">
        <v>9</v>
      </c>
      <c r="B31" s="166">
        <v>551</v>
      </c>
      <c r="C31" s="166">
        <v>440</v>
      </c>
      <c r="D31" s="166">
        <v>904</v>
      </c>
      <c r="E31" s="167">
        <v>210</v>
      </c>
      <c r="G31" s="8"/>
    </row>
    <row r="32" spans="1:11" x14ac:dyDescent="0.25">
      <c r="A32" s="155">
        <v>10</v>
      </c>
      <c r="B32" s="166">
        <v>494</v>
      </c>
      <c r="C32" s="166">
        <v>386</v>
      </c>
      <c r="D32" s="166">
        <v>411</v>
      </c>
      <c r="E32" s="167">
        <v>225</v>
      </c>
      <c r="G32" s="8"/>
    </row>
    <row r="33" spans="1:7" x14ac:dyDescent="0.25">
      <c r="A33" s="155">
        <v>11</v>
      </c>
      <c r="B33" s="166">
        <v>522</v>
      </c>
      <c r="C33" s="166">
        <v>326</v>
      </c>
      <c r="D33" s="166">
        <v>270</v>
      </c>
      <c r="E33" s="166">
        <v>218</v>
      </c>
      <c r="G33" s="8"/>
    </row>
    <row r="34" spans="1:7" x14ac:dyDescent="0.25">
      <c r="A34" s="155">
        <v>12</v>
      </c>
      <c r="B34" s="166">
        <v>544</v>
      </c>
      <c r="C34" s="166">
        <v>399</v>
      </c>
      <c r="D34" s="166">
        <v>278</v>
      </c>
      <c r="E34" s="166">
        <v>218</v>
      </c>
      <c r="G34" s="8"/>
    </row>
    <row r="35" spans="1:7" x14ac:dyDescent="0.25">
      <c r="A35" s="155">
        <v>13</v>
      </c>
      <c r="B35" s="166">
        <v>443</v>
      </c>
      <c r="C35" s="166">
        <v>356</v>
      </c>
      <c r="D35" s="166">
        <v>302</v>
      </c>
      <c r="E35" s="166">
        <v>347</v>
      </c>
      <c r="G35" s="8"/>
    </row>
    <row r="36" spans="1:7" x14ac:dyDescent="0.25">
      <c r="A36" s="155">
        <v>14</v>
      </c>
      <c r="B36" s="166">
        <v>637</v>
      </c>
      <c r="C36" s="166">
        <v>552</v>
      </c>
      <c r="D36" s="166">
        <v>197</v>
      </c>
      <c r="E36" s="167">
        <v>319</v>
      </c>
      <c r="G36" s="8"/>
    </row>
    <row r="37" spans="1:7" x14ac:dyDescent="0.25">
      <c r="A37" s="155">
        <v>15</v>
      </c>
      <c r="B37" s="166">
        <v>525</v>
      </c>
      <c r="C37" s="166">
        <v>375</v>
      </c>
      <c r="D37" s="166">
        <v>274</v>
      </c>
      <c r="E37" s="167">
        <v>219</v>
      </c>
      <c r="G37" s="8"/>
    </row>
    <row r="38" spans="1:7" x14ac:dyDescent="0.25">
      <c r="A38" s="155">
        <v>16</v>
      </c>
      <c r="B38" s="166">
        <v>768</v>
      </c>
      <c r="C38" s="166">
        <v>605</v>
      </c>
      <c r="D38" s="166">
        <v>453</v>
      </c>
      <c r="E38" s="167">
        <v>224</v>
      </c>
      <c r="G38" s="8"/>
    </row>
    <row r="39" spans="1:7" x14ac:dyDescent="0.25">
      <c r="F39" s="8"/>
    </row>
    <row r="40" spans="1:7" x14ac:dyDescent="0.25">
      <c r="E40" s="162"/>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14</vt:i4>
      </vt:variant>
    </vt:vector>
  </HeadingPairs>
  <TitlesOfParts>
    <vt:vector size="18" baseType="lpstr">
      <vt:lpstr>Inputs</vt:lpstr>
      <vt:lpstr>New Buildings</vt:lpstr>
      <vt:lpstr>Existing Buildings</vt:lpstr>
      <vt:lpstr>RASS Baselines</vt:lpstr>
      <vt:lpstr>BaselineExisting</vt:lpstr>
      <vt:lpstr>'Existing Buildings'!BaselineUsePerUnit</vt:lpstr>
      <vt:lpstr>BaselineUsePerUnit</vt:lpstr>
      <vt:lpstr>BaseYear</vt:lpstr>
      <vt:lpstr>EndYear</vt:lpstr>
      <vt:lpstr>ExistingRetrofitRate</vt:lpstr>
      <vt:lpstr>NewGrowthRate</vt:lpstr>
      <vt:lpstr>NewUnits2050</vt:lpstr>
      <vt:lpstr>Redeveloped</vt:lpstr>
      <vt:lpstr>ReplacementRate</vt:lpstr>
      <vt:lpstr>ReplacementThreshold</vt:lpstr>
      <vt:lpstr>'Existing Buildings'!RetrofitRate</vt:lpstr>
      <vt:lpstr>RetrofitRate</vt:lpstr>
      <vt:lpstr>RetrofitThreshold</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Erika Lew</dc:creator>
  <cp:lastModifiedBy>Roth, Nate</cp:lastModifiedBy>
  <dcterms:created xsi:type="dcterms:W3CDTF">2013-01-02T23:31:46Z</dcterms:created>
  <dcterms:modified xsi:type="dcterms:W3CDTF">2013-01-31T18:09:02Z</dcterms:modified>
</cp:coreProperties>
</file>