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enlimb/CloudStation/GitHub/Green-Wastewater-Treatment/inputs/"/>
    </mc:Choice>
  </mc:AlternateContent>
  <xr:revisionPtr revIDLastSave="0" documentId="13_ncr:1_{8BA1AB4D-B077-1B42-9C72-6E31E0DDEE12}" xr6:coauthVersionLast="47" xr6:coauthVersionMax="47" xr10:uidLastSave="{00000000-0000-0000-0000-000000000000}"/>
  <bookViews>
    <workbookView xWindow="0" yWindow="500" windowWidth="68800" windowHeight="28300" xr2:uid="{ACF55C59-A1CB-0649-A15E-6BC9DAA70822}"/>
  </bookViews>
  <sheets>
    <sheet name="Water Treatment Levels" sheetId="3" r:id="rId1"/>
    <sheet name="All Water Treatment Options" sheetId="14" r:id="rId2"/>
    <sheet name="Green Water Treatment Options" sheetId="5" r:id="rId3"/>
    <sheet name="Green Water Treatment Illinois" sheetId="7" r:id="rId4"/>
    <sheet name="Green Water Treatment Illin0" sheetId="15" r:id="rId5"/>
    <sheet name="Green Water Treatment Test" sheetId="12" r:id="rId6"/>
    <sheet name="Green Emissions - N" sheetId="8" r:id="rId7"/>
    <sheet name="Green Emissions - P" sheetId="9" r:id="rId8"/>
    <sheet name="Gray Water Treatment Options" sheetId="2" r:id="rId9"/>
    <sheet name="Gray Water Treatment eGrid" sheetId="6" r:id="rId10"/>
    <sheet name="Emissions Plot" sheetId="11" r:id="rId11"/>
    <sheet name="Dollar Conversion" sheetId="4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9" l="1"/>
  <c r="L19" i="8"/>
  <c r="G10" i="8"/>
  <c r="B23" i="8"/>
  <c r="B12" i="8"/>
  <c r="G48" i="8"/>
  <c r="G41" i="8"/>
  <c r="D39" i="8"/>
  <c r="C6" i="9"/>
  <c r="B3" i="9"/>
  <c r="J9" i="2"/>
  <c r="Y3" i="15" l="1"/>
  <c r="Y5" i="15"/>
  <c r="G26" i="8"/>
  <c r="G38" i="8" s="1"/>
  <c r="Y4" i="15"/>
  <c r="L6" i="9"/>
  <c r="L6" i="8"/>
  <c r="L7" i="8" s="1"/>
  <c r="Z9" i="15"/>
  <c r="I9" i="15"/>
  <c r="B9" i="15"/>
  <c r="Z8" i="15"/>
  <c r="J8" i="15"/>
  <c r="I8" i="15"/>
  <c r="B8" i="15"/>
  <c r="Z7" i="15"/>
  <c r="J7" i="15"/>
  <c r="I7" i="15"/>
  <c r="B7" i="15"/>
  <c r="Z6" i="15"/>
  <c r="K6" i="15"/>
  <c r="B6" i="15"/>
  <c r="Z5" i="15"/>
  <c r="J5" i="15"/>
  <c r="I5" i="15"/>
  <c r="B5" i="15"/>
  <c r="Z4" i="15"/>
  <c r="J4" i="15"/>
  <c r="I4" i="15"/>
  <c r="B4" i="15"/>
  <c r="Z3" i="15"/>
  <c r="J3" i="15"/>
  <c r="I3" i="15"/>
  <c r="B3" i="15"/>
  <c r="F3" i="2"/>
  <c r="G3" i="2" s="1"/>
  <c r="E2" i="14" s="1"/>
  <c r="P16" i="14"/>
  <c r="K12" i="14"/>
  <c r="L12" i="14"/>
  <c r="M12" i="14"/>
  <c r="N12" i="14"/>
  <c r="O12" i="14"/>
  <c r="K13" i="14"/>
  <c r="L13" i="14"/>
  <c r="M13" i="14"/>
  <c r="N13" i="14"/>
  <c r="O13" i="14"/>
  <c r="K14" i="14"/>
  <c r="L14" i="14"/>
  <c r="M14" i="14"/>
  <c r="N14" i="14"/>
  <c r="O14" i="14"/>
  <c r="K15" i="14"/>
  <c r="L15" i="14"/>
  <c r="M15" i="14"/>
  <c r="N15" i="14"/>
  <c r="O15" i="14"/>
  <c r="K16" i="14"/>
  <c r="L16" i="14"/>
  <c r="M16" i="14"/>
  <c r="N16" i="14"/>
  <c r="O16" i="14"/>
  <c r="K17" i="14"/>
  <c r="L17" i="14"/>
  <c r="M17" i="14"/>
  <c r="N17" i="14"/>
  <c r="O17" i="14"/>
  <c r="L11" i="14"/>
  <c r="M11" i="14"/>
  <c r="N11" i="14"/>
  <c r="O11" i="14"/>
  <c r="M1" i="14"/>
  <c r="N1" i="14"/>
  <c r="O1" i="14"/>
  <c r="L1" i="14"/>
  <c r="K11" i="14"/>
  <c r="K3" i="14"/>
  <c r="K4" i="14"/>
  <c r="K5" i="14"/>
  <c r="K6" i="14"/>
  <c r="K7" i="14"/>
  <c r="K8" i="14"/>
  <c r="K9" i="14"/>
  <c r="K10" i="14"/>
  <c r="K2" i="14"/>
  <c r="B12" i="14"/>
  <c r="C12" i="14"/>
  <c r="H12" i="14"/>
  <c r="I12" i="14"/>
  <c r="J12" i="14"/>
  <c r="B13" i="14"/>
  <c r="C13" i="14"/>
  <c r="H13" i="14"/>
  <c r="I13" i="14"/>
  <c r="J13" i="14"/>
  <c r="B14" i="14"/>
  <c r="C14" i="14"/>
  <c r="I14" i="14"/>
  <c r="J14" i="14"/>
  <c r="B15" i="14"/>
  <c r="C15" i="14"/>
  <c r="H15" i="14"/>
  <c r="I15" i="14"/>
  <c r="J15" i="14"/>
  <c r="B16" i="14"/>
  <c r="C16" i="14"/>
  <c r="I16" i="14"/>
  <c r="J16" i="14"/>
  <c r="B17" i="14"/>
  <c r="C17" i="14"/>
  <c r="E17" i="14"/>
  <c r="G17" i="14"/>
  <c r="I17" i="14"/>
  <c r="J17" i="14"/>
  <c r="J11" i="14"/>
  <c r="I11" i="14"/>
  <c r="F11" i="14"/>
  <c r="C11" i="14"/>
  <c r="B11" i="14"/>
  <c r="A12" i="14"/>
  <c r="A13" i="14"/>
  <c r="A14" i="14"/>
  <c r="A15" i="14"/>
  <c r="A16" i="14"/>
  <c r="A17" i="14"/>
  <c r="A11" i="14"/>
  <c r="A3" i="14"/>
  <c r="C3" i="14"/>
  <c r="I3" i="14"/>
  <c r="J3" i="14"/>
  <c r="A4" i="14"/>
  <c r="C4" i="14"/>
  <c r="I4" i="14"/>
  <c r="J4" i="14"/>
  <c r="A5" i="14"/>
  <c r="C5" i="14"/>
  <c r="I5" i="14"/>
  <c r="J5" i="14"/>
  <c r="A6" i="14"/>
  <c r="C6" i="14"/>
  <c r="I6" i="14"/>
  <c r="J6" i="14"/>
  <c r="A7" i="14"/>
  <c r="C7" i="14"/>
  <c r="I7" i="14"/>
  <c r="J7" i="14"/>
  <c r="A8" i="14"/>
  <c r="C8" i="14"/>
  <c r="I8" i="14"/>
  <c r="J8" i="14"/>
  <c r="A9" i="14"/>
  <c r="C9" i="14"/>
  <c r="I9" i="14"/>
  <c r="J9" i="14"/>
  <c r="A10" i="14"/>
  <c r="C10" i="14"/>
  <c r="I10" i="14"/>
  <c r="J10" i="14"/>
  <c r="J2" i="14"/>
  <c r="I2" i="14"/>
  <c r="C2" i="14"/>
  <c r="A2" i="14"/>
  <c r="Z9" i="7"/>
  <c r="P17" i="14" s="1"/>
  <c r="Z8" i="7"/>
  <c r="Z7" i="7"/>
  <c r="P15" i="14" s="1"/>
  <c r="Z6" i="7"/>
  <c r="P14" i="14" s="1"/>
  <c r="Z5" i="7"/>
  <c r="P13" i="14" s="1"/>
  <c r="Z4" i="7"/>
  <c r="P12" i="14" s="1"/>
  <c r="Z3" i="7"/>
  <c r="P11" i="14" s="1"/>
  <c r="B8" i="8"/>
  <c r="G9" i="12"/>
  <c r="B9" i="12"/>
  <c r="B8" i="12"/>
  <c r="H7" i="12"/>
  <c r="G7" i="12"/>
  <c r="B7" i="12"/>
  <c r="B6" i="12"/>
  <c r="H5" i="12"/>
  <c r="G5" i="12"/>
  <c r="B5" i="12"/>
  <c r="H4" i="12"/>
  <c r="G4" i="12"/>
  <c r="B4" i="12"/>
  <c r="B3" i="12"/>
  <c r="G12" i="9"/>
  <c r="G13" i="9"/>
  <c r="J9" i="7"/>
  <c r="F17" i="14" s="1"/>
  <c r="I9" i="7"/>
  <c r="J3" i="7"/>
  <c r="B9" i="7"/>
  <c r="D3" i="11"/>
  <c r="D4" i="11"/>
  <c r="D6" i="11"/>
  <c r="A9" i="11"/>
  <c r="A10" i="11"/>
  <c r="A11" i="11"/>
  <c r="A12" i="11"/>
  <c r="A13" i="11"/>
  <c r="A14" i="11"/>
  <c r="A15" i="11"/>
  <c r="A8" i="11"/>
  <c r="A3" i="11"/>
  <c r="A4" i="11"/>
  <c r="A5" i="11"/>
  <c r="A6" i="11"/>
  <c r="A7" i="11"/>
  <c r="A2" i="11"/>
  <c r="G17" i="8"/>
  <c r="G15" i="8" s="1"/>
  <c r="I7" i="12" s="1"/>
  <c r="L9" i="8"/>
  <c r="L53" i="8" s="1"/>
  <c r="G5" i="8"/>
  <c r="G5" i="9"/>
  <c r="I3" i="2"/>
  <c r="G2" i="14" s="1"/>
  <c r="L50" i="9"/>
  <c r="L49" i="9"/>
  <c r="L48" i="9"/>
  <c r="B17" i="9"/>
  <c r="G43" i="9"/>
  <c r="G42" i="9"/>
  <c r="G41" i="9"/>
  <c r="G40" i="9"/>
  <c r="L32" i="9"/>
  <c r="G33" i="9"/>
  <c r="L31" i="9"/>
  <c r="G23" i="9"/>
  <c r="G22" i="9"/>
  <c r="G21" i="9"/>
  <c r="G32" i="9" s="1"/>
  <c r="L7" i="9"/>
  <c r="L5" i="9"/>
  <c r="L19" i="9" s="1"/>
  <c r="L3" i="9"/>
  <c r="B46" i="8"/>
  <c r="L50" i="8"/>
  <c r="L49" i="8"/>
  <c r="L48" i="8"/>
  <c r="H3" i="2" l="1"/>
  <c r="F2" i="14" s="1"/>
  <c r="K7" i="15"/>
  <c r="G11" i="9"/>
  <c r="L9" i="9"/>
  <c r="G25" i="9"/>
  <c r="G35" i="9" s="1"/>
  <c r="L22" i="9" s="1"/>
  <c r="L51" i="8"/>
  <c r="G2" i="9"/>
  <c r="L8" i="15" s="1"/>
  <c r="L51" i="9"/>
  <c r="G28" i="9"/>
  <c r="G44" i="9"/>
  <c r="G47" i="9" s="1"/>
  <c r="L16" i="9" s="1"/>
  <c r="L26" i="9"/>
  <c r="L20" i="9"/>
  <c r="L21" i="9" s="1"/>
  <c r="L12" i="9"/>
  <c r="L33" i="9"/>
  <c r="L34" i="9" s="1"/>
  <c r="L52" i="9"/>
  <c r="L36" i="9" l="1"/>
  <c r="L29" i="9"/>
  <c r="G8" i="9"/>
  <c r="L9" i="15"/>
  <c r="J9" i="12"/>
  <c r="L14" i="9"/>
  <c r="L9" i="7"/>
  <c r="H17" i="14" s="1"/>
  <c r="I8" i="5"/>
  <c r="L8" i="7"/>
  <c r="L53" i="9"/>
  <c r="G30" i="9"/>
  <c r="L24" i="9"/>
  <c r="G37" i="9"/>
  <c r="D7" i="11" l="1"/>
  <c r="H16" i="14"/>
  <c r="L2" i="9"/>
  <c r="G19" i="9"/>
  <c r="L3" i="15" s="1"/>
  <c r="I3" i="5" l="1"/>
  <c r="L3" i="7"/>
  <c r="D2" i="11" l="1"/>
  <c r="H11" i="14"/>
  <c r="L31" i="8"/>
  <c r="L32" i="8"/>
  <c r="L5" i="8"/>
  <c r="G24" i="8"/>
  <c r="L3" i="8"/>
  <c r="G42" i="8"/>
  <c r="G44" i="8"/>
  <c r="G43" i="8"/>
  <c r="H7" i="5"/>
  <c r="G34" i="8"/>
  <c r="G23" i="8"/>
  <c r="G22" i="8"/>
  <c r="G33" i="8" s="1"/>
  <c r="G2" i="8"/>
  <c r="K8" i="15" s="1"/>
  <c r="K7" i="7"/>
  <c r="G9" i="8"/>
  <c r="G12" i="8"/>
  <c r="B17" i="8"/>
  <c r="B27" i="8"/>
  <c r="J11" i="2"/>
  <c r="J3" i="2"/>
  <c r="H2" i="14" s="1"/>
  <c r="I4" i="2"/>
  <c r="J4" i="2"/>
  <c r="J5" i="2"/>
  <c r="J6" i="2"/>
  <c r="J7" i="2"/>
  <c r="J8" i="2"/>
  <c r="J10" i="2"/>
  <c r="B3" i="7"/>
  <c r="H5" i="14" l="1"/>
  <c r="D10" i="11"/>
  <c r="H8" i="14"/>
  <c r="D13" i="11"/>
  <c r="H6" i="14"/>
  <c r="D11" i="11"/>
  <c r="H4" i="14"/>
  <c r="D9" i="11"/>
  <c r="D8" i="11"/>
  <c r="H3" i="14"/>
  <c r="C8" i="11"/>
  <c r="G3" i="14"/>
  <c r="D15" i="11"/>
  <c r="H10" i="14"/>
  <c r="H9" i="14"/>
  <c r="D14" i="11"/>
  <c r="H7" i="14"/>
  <c r="D12" i="11"/>
  <c r="C6" i="11"/>
  <c r="G15" i="14"/>
  <c r="L52" i="8"/>
  <c r="L33" i="8"/>
  <c r="L34" i="8" s="1"/>
  <c r="L26" i="8"/>
  <c r="L12" i="8"/>
  <c r="G45" i="8"/>
  <c r="B15" i="8"/>
  <c r="G29" i="8"/>
  <c r="G36" i="8"/>
  <c r="L22" i="8" s="1"/>
  <c r="G8" i="8"/>
  <c r="H6" i="5" s="1"/>
  <c r="B30" i="8"/>
  <c r="B21" i="8"/>
  <c r="H8" i="5"/>
  <c r="K8" i="7"/>
  <c r="B25" i="8"/>
  <c r="J4" i="7"/>
  <c r="F12" i="14" s="1"/>
  <c r="J5" i="7"/>
  <c r="F13" i="14" s="1"/>
  <c r="J6" i="7"/>
  <c r="J7" i="7"/>
  <c r="F15" i="14" s="1"/>
  <c r="J8" i="7"/>
  <c r="F16" i="14" s="1"/>
  <c r="I4" i="7"/>
  <c r="E12" i="14" s="1"/>
  <c r="I5" i="7"/>
  <c r="E13" i="14" s="1"/>
  <c r="I6" i="7"/>
  <c r="E14" i="14" s="1"/>
  <c r="I7" i="7"/>
  <c r="E15" i="14" s="1"/>
  <c r="I8" i="7"/>
  <c r="E16" i="14" s="1"/>
  <c r="I3" i="7"/>
  <c r="E11" i="14" s="1"/>
  <c r="B8" i="7"/>
  <c r="B7" i="7"/>
  <c r="B6" i="7"/>
  <c r="B5" i="7"/>
  <c r="B4" i="7"/>
  <c r="I5" i="2"/>
  <c r="I6" i="2"/>
  <c r="I7" i="2"/>
  <c r="I8" i="2"/>
  <c r="I9" i="2"/>
  <c r="I10" i="2"/>
  <c r="I11" i="2"/>
  <c r="G44" i="6"/>
  <c r="H42" i="6"/>
  <c r="H44" i="6" s="1"/>
  <c r="F41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G20" i="6"/>
  <c r="H20" i="6" s="1"/>
  <c r="G19" i="6"/>
  <c r="H19" i="6" s="1"/>
  <c r="K16" i="6"/>
  <c r="L14" i="6"/>
  <c r="H13" i="6"/>
  <c r="M12" i="6"/>
  <c r="L12" i="6"/>
  <c r="F11" i="6"/>
  <c r="F10" i="6"/>
  <c r="F9" i="6"/>
  <c r="F8" i="6"/>
  <c r="F7" i="6"/>
  <c r="F6" i="6"/>
  <c r="F5" i="6"/>
  <c r="F4" i="6"/>
  <c r="F3" i="6"/>
  <c r="C15" i="11" l="1"/>
  <c r="G10" i="14"/>
  <c r="C14" i="11"/>
  <c r="G9" i="14"/>
  <c r="C13" i="11"/>
  <c r="G8" i="14"/>
  <c r="G7" i="14"/>
  <c r="C12" i="11"/>
  <c r="G6" i="14"/>
  <c r="C11" i="11"/>
  <c r="G5" i="14"/>
  <c r="C10" i="11"/>
  <c r="C9" i="11"/>
  <c r="G4" i="14"/>
  <c r="F14" i="14"/>
  <c r="C7" i="11"/>
  <c r="G16" i="14"/>
  <c r="L20" i="8"/>
  <c r="L21" i="8" s="1"/>
  <c r="L24" i="8" s="1"/>
  <c r="K5" i="15"/>
  <c r="L36" i="8"/>
  <c r="L29" i="8"/>
  <c r="L16" i="8"/>
  <c r="L14" i="8"/>
  <c r="K6" i="7"/>
  <c r="G14" i="14" s="1"/>
  <c r="B32" i="8"/>
  <c r="B2" i="8" s="1"/>
  <c r="G31" i="8"/>
  <c r="G20" i="8" s="1"/>
  <c r="G12" i="6"/>
  <c r="K33" i="6"/>
  <c r="K31" i="6"/>
  <c r="K29" i="6"/>
  <c r="K27" i="6"/>
  <c r="I19" i="6"/>
  <c r="K34" i="6"/>
  <c r="K32" i="6"/>
  <c r="K30" i="6"/>
  <c r="K28" i="6"/>
  <c r="K26" i="6"/>
  <c r="J33" i="6"/>
  <c r="J31" i="6"/>
  <c r="J29" i="6"/>
  <c r="L29" i="6" s="1"/>
  <c r="J27" i="6"/>
  <c r="J34" i="6"/>
  <c r="J32" i="6"/>
  <c r="J30" i="6"/>
  <c r="J28" i="6"/>
  <c r="J26" i="6"/>
  <c r="I44" i="6"/>
  <c r="K35" i="6"/>
  <c r="L35" i="6" s="1"/>
  <c r="H12" i="6"/>
  <c r="H14" i="6" s="1"/>
  <c r="L2" i="8" l="1"/>
  <c r="H5" i="5" s="1"/>
  <c r="L6" i="7"/>
  <c r="I4" i="12"/>
  <c r="K4" i="15"/>
  <c r="L27" i="6"/>
  <c r="D5" i="11"/>
  <c r="C5" i="11"/>
  <c r="K5" i="7"/>
  <c r="I5" i="12"/>
  <c r="H4" i="5"/>
  <c r="K4" i="7"/>
  <c r="L33" i="6"/>
  <c r="L26" i="6"/>
  <c r="L28" i="6"/>
  <c r="L30" i="6"/>
  <c r="L32" i="6"/>
  <c r="L34" i="6"/>
  <c r="L31" i="6"/>
  <c r="Q3" i="4"/>
  <c r="F5" i="5" s="1"/>
  <c r="Q4" i="4"/>
  <c r="F4" i="2" s="1"/>
  <c r="Q5" i="4"/>
  <c r="Q6" i="4"/>
  <c r="Q7" i="4"/>
  <c r="Q8" i="4"/>
  <c r="Q9" i="4"/>
  <c r="Q10" i="4"/>
  <c r="Q11" i="4"/>
  <c r="Q12" i="4"/>
  <c r="B4" i="5"/>
  <c r="B5" i="5"/>
  <c r="B6" i="5"/>
  <c r="B7" i="5"/>
  <c r="B8" i="5"/>
  <c r="B9" i="5"/>
  <c r="B3" i="5"/>
  <c r="H3" i="5" l="1"/>
  <c r="K3" i="15"/>
  <c r="C3" i="11"/>
  <c r="G12" i="14"/>
  <c r="K3" i="7"/>
  <c r="L6" i="15"/>
  <c r="H14" i="14"/>
  <c r="C4" i="11"/>
  <c r="G13" i="14"/>
  <c r="G4" i="2"/>
  <c r="E3" i="14" s="1"/>
  <c r="H4" i="2"/>
  <c r="F3" i="14" s="1"/>
  <c r="F4" i="5"/>
  <c r="F11" i="2"/>
  <c r="F10" i="2"/>
  <c r="F3" i="5"/>
  <c r="G3" i="5" s="1"/>
  <c r="F9" i="2"/>
  <c r="F8" i="5"/>
  <c r="G8" i="5" s="1"/>
  <c r="F7" i="2"/>
  <c r="F7" i="5"/>
  <c r="G7" i="5" s="1"/>
  <c r="F6" i="2"/>
  <c r="F8" i="2"/>
  <c r="F6" i="5"/>
  <c r="G6" i="5" s="1"/>
  <c r="I6" i="5" s="1"/>
  <c r="F5" i="2"/>
  <c r="F9" i="5"/>
  <c r="C2" i="11" l="1"/>
  <c r="G11" i="14"/>
  <c r="G10" i="2"/>
  <c r="E9" i="14" s="1"/>
  <c r="H10" i="2"/>
  <c r="F9" i="14" s="1"/>
  <c r="G11" i="2"/>
  <c r="E10" i="14" s="1"/>
  <c r="H11" i="2"/>
  <c r="F10" i="14" s="1"/>
  <c r="G6" i="2"/>
  <c r="E5" i="14" s="1"/>
  <c r="H6" i="2"/>
  <c r="F5" i="14" s="1"/>
  <c r="H7" i="2"/>
  <c r="F6" i="14" s="1"/>
  <c r="G7" i="2"/>
  <c r="E6" i="14" s="1"/>
  <c r="G9" i="2"/>
  <c r="E8" i="14" s="1"/>
  <c r="H9" i="2"/>
  <c r="F8" i="14" s="1"/>
  <c r="G5" i="2"/>
  <c r="E4" i="14" s="1"/>
  <c r="H5" i="2"/>
  <c r="F4" i="14" s="1"/>
  <c r="H8" i="2"/>
  <c r="F7" i="14" s="1"/>
  <c r="G8" i="2"/>
  <c r="E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EC861BB2-5909-B044-A6AC-28C705568E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F1" authorId="0" shapeId="0" xr:uid="{F19CA340-C688-0846-8BDB-70CFCBAC1E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G1" authorId="0" shapeId="0" xr:uid="{A1535401-59FE-4844-91B4-A607A117C2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off the percent removed
</t>
        </r>
      </text>
    </comment>
    <comment ref="L1" authorId="0" shapeId="0" xr:uid="{45F49CE5-B23B-B44F-ADC7-8542B86B40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Estimates from Figure 1
</t>
        </r>
        <r>
          <rPr>
            <sz val="10"/>
            <color rgb="FF000000"/>
            <rFont val="Tahoma"/>
            <family val="2"/>
          </rPr>
          <t xml:space="preserve">Used Mean - dotted line
</t>
        </r>
      </text>
    </comment>
    <comment ref="E2" authorId="0" shapeId="0" xr:uid="{E74A6B56-E8F8-3641-8B05-7ACCC0656E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Dollar year is not in study, assumed 2013</t>
        </r>
      </text>
    </comment>
    <comment ref="L5" authorId="0" shapeId="0" xr:uid="{B9AC3802-21C3-B246-8341-2DC425C99B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is similar to Kovacic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4E24DC7B-F05F-3244-84A0-736EF63209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5 for all of these</t>
        </r>
      </text>
    </comment>
    <comment ref="I1" authorId="0" shapeId="0" xr:uid="{CDCE9DFD-915B-9C49-9C0E-D4C57458D1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J1" authorId="0" shapeId="0" xr:uid="{C3368129-4804-4C4A-9E16-1C373CB31E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off the percent removed
</t>
        </r>
      </text>
    </comment>
    <comment ref="O1" authorId="0" shapeId="0" xr:uid="{2F2FC7F7-6690-C147-B769-751FDC1628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Estimates from Figure 1
</t>
        </r>
        <r>
          <rPr>
            <sz val="10"/>
            <color rgb="FF000000"/>
            <rFont val="Tahoma"/>
            <family val="2"/>
          </rPr>
          <t xml:space="preserve">Used Mean - dotted line
</t>
        </r>
      </text>
    </comment>
    <comment ref="O5" authorId="0" shapeId="0" xr:uid="{699D8CA4-F11F-7C47-84AE-840497192E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is similar to Kovacic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88BDE980-238C-8340-8C8C-536C1058D7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5 for all of these</t>
        </r>
      </text>
    </comment>
    <comment ref="I1" authorId="0" shapeId="0" xr:uid="{9B5EA529-2C38-2440-9411-769FA34500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J1" authorId="0" shapeId="0" xr:uid="{C2F5FB17-4DD0-2443-8FEA-48E0E072D5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off the percent removed
</t>
        </r>
      </text>
    </comment>
    <comment ref="O1" authorId="0" shapeId="0" xr:uid="{26BE1FFE-451D-0E4D-9B60-8C2F96A216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Estimates from Figure 1
</t>
        </r>
        <r>
          <rPr>
            <sz val="10"/>
            <color rgb="FF000000"/>
            <rFont val="Tahoma"/>
            <family val="2"/>
          </rPr>
          <t xml:space="preserve">Used Mean - dotted line
</t>
        </r>
      </text>
    </comment>
    <comment ref="O5" authorId="0" shapeId="0" xr:uid="{50993FCD-01FB-EE49-BCDF-D7ADC40240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is similar to Kovacic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3204682B-632F-C045-A379-E5F38D8EEC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5 for all of these</t>
        </r>
      </text>
    </comment>
    <comment ref="G1" authorId="0" shapeId="0" xr:uid="{962008CB-8124-D94C-933E-24AFD11018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H1" authorId="0" shapeId="0" xr:uid="{864D05FB-2BA3-1E4B-8E1D-3F05F30294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off the percent removed
</t>
        </r>
      </text>
    </comment>
    <comment ref="M1" authorId="0" shapeId="0" xr:uid="{3310DFC0-D3E5-D542-8100-6EE389E5772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Estimates from Figure 1
</t>
        </r>
        <r>
          <rPr>
            <sz val="10"/>
            <color rgb="FF000000"/>
            <rFont val="Tahoma"/>
            <family val="2"/>
          </rPr>
          <t xml:space="preserve">Used Mean - dotted line
</t>
        </r>
      </text>
    </comment>
    <comment ref="M5" authorId="0" shapeId="0" xr:uid="{838BDA0D-693A-8C45-94CA-AB475B698C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is similar to Kovacic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" authorId="0" shapeId="0" xr:uid="{02AF5956-4E64-E641-AB5B-E6141E9AB3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 the bioreactor values
</t>
        </r>
      </text>
    </comment>
    <comment ref="G22" authorId="0" shapeId="0" xr:uid="{C82F9613-3CFE-034E-8FCF-FD6084E4B6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this is a square field</t>
        </r>
      </text>
    </comment>
    <comment ref="G23" authorId="0" shapeId="0" xr:uid="{049D3069-F199-274B-8FD2-34F6DA51D7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1 foot depth of average output - 8 inch pipe
</t>
        </r>
      </text>
    </comment>
    <comment ref="G24" authorId="0" shapeId="0" xr:uid="{7908A3A3-901A-014B-91F3-936979573C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Assumeing 1 foot width for 8 inch pipe
</t>
        </r>
      </text>
    </comment>
    <comment ref="G26" authorId="0" shapeId="0" xr:uid="{6A1E8A70-256F-4047-B0A4-BEE49F58C8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 the bioreactor values
</t>
        </r>
      </text>
    </comment>
    <comment ref="L26" authorId="0" shapeId="0" xr:uid="{4E3EA798-1158-3E4D-B374-8621E594E1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assumed a 3 inch straw depth. It could be more than that, but my gut tells me 3
</t>
        </r>
      </text>
    </comment>
    <comment ref="K38" authorId="0" shapeId="0" xr:uid="{645124AE-B1C8-B34F-BFDF-0EF3C8093C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I'm assuming that areas this are used are similar to the corn belt with tile drainage. The climate and soil values used come from McLean County, Illinois (https://www.illinois.gov/news/press-release.26208.html)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Also assuming that both the wetland and the buffer are converted from cropland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40" authorId="0" shapeId="0" xr:uid="{12BA771A-9576-6544-9080-2B102CDEEA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costs for the 8 in pipe size version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8" authorId="0" shapeId="0" xr:uid="{820BA36D-A918-FE49-9CAE-776B488348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 this value off the costs of N and P in the data
</t>
        </r>
      </text>
    </comment>
    <comment ref="G16" authorId="0" shapeId="0" xr:uid="{5878ED0C-C5F5-6E4A-BC78-4C40000204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Assumeing this is zero becuase you're using the same nitrogen, just applying in the spring</t>
        </r>
      </text>
    </comment>
    <comment ref="G21" authorId="0" shapeId="0" xr:uid="{545633CD-2158-F14A-8141-3F9AC1A279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this is a square field</t>
        </r>
      </text>
    </comment>
    <comment ref="G22" authorId="0" shapeId="0" xr:uid="{DD907B34-032A-4947-A7AA-76D0659BA25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1 foot depth of average output - 8 inch pipe
</t>
        </r>
      </text>
    </comment>
    <comment ref="G23" authorId="0" shapeId="0" xr:uid="{C4591D1E-D330-E246-BC06-8326C91040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Assumeing 1 foot width for 8 inch pipe
</t>
        </r>
      </text>
    </comment>
    <comment ref="G25" authorId="0" shapeId="0" xr:uid="{1BCFAA7D-AADF-0B44-A161-464D901503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 the bioreactor values
</t>
        </r>
      </text>
    </comment>
    <comment ref="L26" authorId="0" shapeId="0" xr:uid="{AF52F332-3BF1-FD49-A4FC-0511451EBA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assumed a 3 inch straw depth. It could be more than that, but my gut tells me 3
</t>
        </r>
      </text>
    </comment>
    <comment ref="K38" authorId="0" shapeId="0" xr:uid="{2F54C4CB-6306-2044-A2CD-D9E82CA9C4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I'm assuming that areas this are used are similar to the corn belt with tile drainage. The climate and soil values used come from McLean County, Illinois (https://www.illinois.gov/news/press-release.26208.html)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Also assuming that both the wetland and the buffer are converted from cropland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39" authorId="0" shapeId="0" xr:uid="{7806D16F-9784-8D43-B813-86162D0B305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costs for the 8 in pipe size version
</t>
        </r>
      </text>
    </comment>
  </commentList>
</comments>
</file>

<file path=xl/sharedStrings.xml><?xml version="1.0" encoding="utf-8"?>
<sst xmlns="http://schemas.openxmlformats.org/spreadsheetml/2006/main" count="1273" uniqueCount="310">
  <si>
    <t>Units</t>
  </si>
  <si>
    <t>Source</t>
  </si>
  <si>
    <t>Treatment Name</t>
  </si>
  <si>
    <t>Green/Gray</t>
  </si>
  <si>
    <t>N Removal</t>
  </si>
  <si>
    <t>P Removal</t>
  </si>
  <si>
    <t>Level 1, AS</t>
  </si>
  <si>
    <t>Level 2-1, A2O</t>
  </si>
  <si>
    <t>Level 2-2, AS3</t>
  </si>
  <si>
    <t>Level 3-1, B5</t>
  </si>
  <si>
    <t>Level 3-2, MUCT</t>
  </si>
  <si>
    <t>Level 4-1, B5/Denit</t>
  </si>
  <si>
    <t>Level 4-2, MBR</t>
  </si>
  <si>
    <t>Level 5-1, B5/RO</t>
  </si>
  <si>
    <t>Level 5-2, MBR/RO</t>
  </si>
  <si>
    <t>2021 EPA LCA</t>
  </si>
  <si>
    <t xml:space="preserve">Total Electrical Demand/Total P removed </t>
  </si>
  <si>
    <t xml:space="preserve">Total Electrical Demand/Total N removed </t>
  </si>
  <si>
    <t>N/a</t>
  </si>
  <si>
    <t>Gray</t>
  </si>
  <si>
    <t>GWP US Mix</t>
  </si>
  <si>
    <t>kg-CO2eq/m3</t>
  </si>
  <si>
    <t>g/m3</t>
  </si>
  <si>
    <t xml:space="preserve">GWP NPCC </t>
  </si>
  <si>
    <t>Total Electricity Demand</t>
  </si>
  <si>
    <t>kWh/m3</t>
  </si>
  <si>
    <t>kWh/g</t>
  </si>
  <si>
    <t>Level</t>
  </si>
  <si>
    <t xml:space="preserve">Level </t>
  </si>
  <si>
    <t xml:space="preserve">Total Nitrogen, mg/L </t>
  </si>
  <si>
    <t xml:space="preserve">Total Phosphorus, mg/L </t>
  </si>
  <si>
    <t>no target specified</t>
  </si>
  <si>
    <t>0.1-0.3</t>
  </si>
  <si>
    <t>&lt;2</t>
  </si>
  <si>
    <t>&lt;0.02</t>
  </si>
  <si>
    <t>4-8</t>
  </si>
  <si>
    <t>Short Name</t>
  </si>
  <si>
    <t>Level 1: Conventional Plug Flow Activated Sludge</t>
  </si>
  <si>
    <t>Level 2-1: Anaerobic/Anoxic/Oxic</t>
  </si>
  <si>
    <t>Level 2-2: Activated Sludge, 3-Sludge System</t>
  </si>
  <si>
    <t>Level 3-1: 5-Stage Bardenpho</t>
  </si>
  <si>
    <t>Level 3-2: Modified University of Cape Town Process</t>
  </si>
  <si>
    <t>Level 4-1: 5-Stage Bardenpho with Denitrification Filter</t>
  </si>
  <si>
    <t>Level 4-2: 4-Stage Bardenpho Membrane Bioreactor</t>
  </si>
  <si>
    <t>Level 5-1: 5-Stage Bardenpho with Sidestream Reverse Osmosis Treatment</t>
  </si>
  <si>
    <t>Level 5-2: 5-Stage Bardenpho Membrane Bioreactor with Sidestream Reverse Osmosis Treatment</t>
  </si>
  <si>
    <t>Controlled Drainage</t>
  </si>
  <si>
    <t>Bioreactors</t>
  </si>
  <si>
    <t>Wetland</t>
  </si>
  <si>
    <t>N Rate Reduction</t>
  </si>
  <si>
    <t>Spring N Application</t>
  </si>
  <si>
    <t>Cover Crop</t>
  </si>
  <si>
    <t>Crop Rotation</t>
  </si>
  <si>
    <t>Green</t>
  </si>
  <si>
    <t>%</t>
  </si>
  <si>
    <t>2013$/kgN yr</t>
  </si>
  <si>
    <t>2014$/m3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</si>
  <si>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</si>
  <si>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</si>
  <si>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</si>
  <si>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</si>
  <si>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</si>
  <si>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</si>
  <si>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</si>
  <si>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</si>
  <si>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</si>
  <si>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</si>
  <si>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</si>
  <si>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</si>
  <si>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</si>
  <si>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</si>
  <si>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</si>
  <si>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</si>
  <si>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https://data.bls.gov/pdq/SurveyOutputServlet</t>
  </si>
  <si>
    <t>Conv to 22</t>
  </si>
  <si>
    <t>2022$/kgN yr</t>
  </si>
  <si>
    <t>2022$/m3</t>
  </si>
  <si>
    <t>2022Cost</t>
  </si>
  <si>
    <t>2014Cost</t>
  </si>
  <si>
    <t>2013Cost</t>
  </si>
  <si>
    <t>2013 Christianson et al</t>
  </si>
  <si>
    <t>NPCC</t>
  </si>
  <si>
    <t>lb/MWh</t>
  </si>
  <si>
    <t>US Average</t>
  </si>
  <si>
    <t>1kg</t>
  </si>
  <si>
    <t>lbs</t>
  </si>
  <si>
    <t>kg/kwh</t>
  </si>
  <si>
    <t>kwh/m3</t>
  </si>
  <si>
    <t>kgco2/m3</t>
  </si>
  <si>
    <t>elect</t>
  </si>
  <si>
    <t>non elec</t>
  </si>
  <si>
    <t>2016 Illinois Nutrient Loss</t>
  </si>
  <si>
    <t>GWP N</t>
  </si>
  <si>
    <t>kg-CO2eq/kgN yr</t>
  </si>
  <si>
    <t>GWP P</t>
  </si>
  <si>
    <t>kg-CO2eq/kgP yr</t>
  </si>
  <si>
    <t>2022Cost kgN</t>
  </si>
  <si>
    <t>2022Cost kgP</t>
  </si>
  <si>
    <t>2022$/kgP yr</t>
  </si>
  <si>
    <t>2022Cost m3</t>
  </si>
  <si>
    <t>2016Cost</t>
  </si>
  <si>
    <t>2016$/kgN yr</t>
  </si>
  <si>
    <t>Buffers</t>
  </si>
  <si>
    <t>Emissions</t>
  </si>
  <si>
    <t>yards</t>
  </si>
  <si>
    <t>Length</t>
  </si>
  <si>
    <t>Width</t>
  </si>
  <si>
    <t>Height</t>
  </si>
  <si>
    <t>Drainage</t>
  </si>
  <si>
    <t>acres</t>
  </si>
  <si>
    <t>lbs/acre yr</t>
  </si>
  <si>
    <t>kg N/yr</t>
  </si>
  <si>
    <t>Plastic Needed</t>
  </si>
  <si>
    <t>Woodchips needed</t>
  </si>
  <si>
    <t>Excavator needed</t>
  </si>
  <si>
    <t>sq yards</t>
  </si>
  <si>
    <t>cubic yards</t>
  </si>
  <si>
    <t>Woodchip emissions</t>
  </si>
  <si>
    <t>kg co2 eq/dry kg wood chips</t>
  </si>
  <si>
    <t>1bc119b9-2c90-4ca0-ae8c-476ea69e1b22</t>
  </si>
  <si>
    <t>Woodchip Density</t>
  </si>
  <si>
    <t>kg/m3</t>
  </si>
  <si>
    <t>EcoInvent UUID</t>
  </si>
  <si>
    <t>Plastic Sheeting Emission</t>
  </si>
  <si>
    <t>kg co2 eq/kg plastic</t>
  </si>
  <si>
    <t>91b54fcd-8adf-3013-8960-c09cde2eddb5</t>
  </si>
  <si>
    <t>Evacuation, hydraulic digger</t>
  </si>
  <si>
    <t>kg co2 eq/m3</t>
  </si>
  <si>
    <t>96fb4c55-b67c-3096-9a0c-0519333dcfd8</t>
  </si>
  <si>
    <t>ffab1bd2-36c5-4ec6-aac3-d3e1620a6621</t>
  </si>
  <si>
    <t>kg co2 eq/kg</t>
  </si>
  <si>
    <t>Plastic Sheeting Desnity</t>
  </si>
  <si>
    <t>g/cm3</t>
  </si>
  <si>
    <t>oz/sq yard</t>
  </si>
  <si>
    <t xml:space="preserve">Source </t>
  </si>
  <si>
    <t>Landscape Fabric Density</t>
  </si>
  <si>
    <t>Landscape Fabric</t>
  </si>
  <si>
    <t>Total Woodchip Emissions</t>
  </si>
  <si>
    <t>kg co2 eq/kg N</t>
  </si>
  <si>
    <t>years</t>
  </si>
  <si>
    <t>Bioreactor Lifetime</t>
  </si>
  <si>
    <t>Total Plastic Emissions</t>
  </si>
  <si>
    <t>Extra Material</t>
  </si>
  <si>
    <t>kg/m3 per g/cm3</t>
  </si>
  <si>
    <t>kg per lb</t>
  </si>
  <si>
    <t>m3 per yard3</t>
  </si>
  <si>
    <t>Plastic Thickness</t>
  </si>
  <si>
    <t>inch</t>
  </si>
  <si>
    <t>yards per inch</t>
  </si>
  <si>
    <t>m3</t>
  </si>
  <si>
    <t>Total Evacuation Emissions</t>
  </si>
  <si>
    <t>Landscape Fabric Needed</t>
  </si>
  <si>
    <t>Total Landscape Fabric Emissions</t>
  </si>
  <si>
    <t>kg co2 eq/kg silage</t>
  </si>
  <si>
    <t>Rygrass (switzerland)</t>
  </si>
  <si>
    <t>Ryegrass Yield</t>
  </si>
  <si>
    <t>lb per acre</t>
  </si>
  <si>
    <t>Current Nitrogen</t>
  </si>
  <si>
    <t>Reduced Nitrogen</t>
  </si>
  <si>
    <t>4719d922-a7d8-40bf-a7ea-f297579f8130</t>
  </si>
  <si>
    <t>Nitrogen Fertilizer</t>
  </si>
  <si>
    <t>kg CO2/KG N</t>
  </si>
  <si>
    <t>Leftover Nitrogen</t>
  </si>
  <si>
    <t>N kg/acre</t>
  </si>
  <si>
    <t>kgN/acre</t>
  </si>
  <si>
    <t>Buffer Length</t>
  </si>
  <si>
    <t>m2 to acre</t>
  </si>
  <si>
    <t>m</t>
  </si>
  <si>
    <t>Buffer Depth</t>
  </si>
  <si>
    <t>m per ft</t>
  </si>
  <si>
    <t>Buffer Width</t>
  </si>
  <si>
    <t>Pipe needed</t>
  </si>
  <si>
    <t>Pipe emissions</t>
  </si>
  <si>
    <t>84f7fff3-951c-4ca9-bf9b-868cf3dff5f9</t>
  </si>
  <si>
    <t>Pipe Weight</t>
  </si>
  <si>
    <t>kg/m per lb/ft</t>
  </si>
  <si>
    <t>kg/m</t>
  </si>
  <si>
    <t>kg co2eq/kg</t>
  </si>
  <si>
    <t>Total Pipe Emissions</t>
  </si>
  <si>
    <t>Water Control</t>
  </si>
  <si>
    <t>Drain Depth</t>
  </si>
  <si>
    <t>Drain Width</t>
  </si>
  <si>
    <t>PVC Emissions</t>
  </si>
  <si>
    <t>kg CO2eq/kg PVC</t>
  </si>
  <si>
    <t>Water Control Emissions</t>
  </si>
  <si>
    <t>PVC Density</t>
  </si>
  <si>
    <t>Drain Height</t>
  </si>
  <si>
    <t>PVC Thickness</t>
  </si>
  <si>
    <t>PVC Total Volume</t>
  </si>
  <si>
    <t>kg CO2eq/controller</t>
  </si>
  <si>
    <t>Depth</t>
  </si>
  <si>
    <t>m2</t>
  </si>
  <si>
    <t>Wetland Size</t>
  </si>
  <si>
    <t>Buffer pct</t>
  </si>
  <si>
    <t>Wetland pct</t>
  </si>
  <si>
    <t>Buffer Size</t>
  </si>
  <si>
    <t>Wetland Life</t>
  </si>
  <si>
    <t>Assumed Wetland Length</t>
  </si>
  <si>
    <t>Assumed Wetland Width</t>
  </si>
  <si>
    <t>Assumed Length/Width Ratio</t>
  </si>
  <si>
    <t>Total Piping Length</t>
  </si>
  <si>
    <t>Straw Emissions</t>
  </si>
  <si>
    <t>77f19bb3-c3fc-3709-9fde-c5bcb9cb873d</t>
  </si>
  <si>
    <t>kg co2 eq/kg straw</t>
  </si>
  <si>
    <t>Straw Needed</t>
  </si>
  <si>
    <t>Straw Bulk Density</t>
  </si>
  <si>
    <t>Total Straw Emissions</t>
  </si>
  <si>
    <t>Grass Seed Density</t>
  </si>
  <si>
    <t>seeds/m2</t>
  </si>
  <si>
    <t>Weight</t>
  </si>
  <si>
    <t>Total Seeds</t>
  </si>
  <si>
    <t>seeds</t>
  </si>
  <si>
    <t>Total Seed Weight</t>
  </si>
  <si>
    <t xml:space="preserve">kg </t>
  </si>
  <si>
    <t>seeds/kg</t>
  </si>
  <si>
    <t>Seed Emissions</t>
  </si>
  <si>
    <t>8bfff89d-af2a-3861-b198-ad4e9cd0d1a0</t>
  </si>
  <si>
    <t>kg CO2eq/kg</t>
  </si>
  <si>
    <t>Total Seed Emissions</t>
  </si>
  <si>
    <t>GEZ</t>
  </si>
  <si>
    <t>Soil Type</t>
  </si>
  <si>
    <t>Soil Carbon</t>
  </si>
  <si>
    <t>Pre Above Ground</t>
  </si>
  <si>
    <t>Pre Below Ground</t>
  </si>
  <si>
    <t>Pre Soil Carbon Factor</t>
  </si>
  <si>
    <t>Cold Temperate, dry</t>
  </si>
  <si>
    <t>HAC</t>
  </si>
  <si>
    <t>Post Soil Carbon Factor</t>
  </si>
  <si>
    <t>Post Above Ground</t>
  </si>
  <si>
    <t>Post Below Ground</t>
  </si>
  <si>
    <t>Change Above Ground</t>
  </si>
  <si>
    <t>Change Below Ground</t>
  </si>
  <si>
    <t>Change Soil Carbon</t>
  </si>
  <si>
    <t>Total Change</t>
  </si>
  <si>
    <t>tonnes C/ha</t>
  </si>
  <si>
    <t>ha per m2</t>
  </si>
  <si>
    <t>Land Area Changed</t>
  </si>
  <si>
    <t>ha</t>
  </si>
  <si>
    <t>Total Emissions</t>
  </si>
  <si>
    <t>CO2 per C</t>
  </si>
  <si>
    <t>kg CO2/kg N</t>
  </si>
  <si>
    <t>dLUC</t>
  </si>
  <si>
    <t>All vals from IPCC</t>
  </si>
  <si>
    <t>Conversion Factors</t>
  </si>
  <si>
    <t>Phosphous Loss</t>
  </si>
  <si>
    <t>kg/ha/yr</t>
  </si>
  <si>
    <t>acres per ha</t>
  </si>
  <si>
    <t>kg P/yr</t>
  </si>
  <si>
    <t>eGrid Replace</t>
  </si>
  <si>
    <t>No</t>
  </si>
  <si>
    <t>Yes</t>
  </si>
  <si>
    <t>Total Nitrogen Captured</t>
  </si>
  <si>
    <t>Normal Nitrogen Loss</t>
  </si>
  <si>
    <t>Emissions 2nd Fertilizer</t>
  </si>
  <si>
    <t>kg CO2/ha/yr</t>
  </si>
  <si>
    <t>ha per acre</t>
  </si>
  <si>
    <t>55493884-ed33-3f32-a342-735fff11dc2d</t>
  </si>
  <si>
    <t>Tile Drain</t>
  </si>
  <si>
    <t>Buffer</t>
  </si>
  <si>
    <t>Wetlands</t>
  </si>
  <si>
    <t>Fertilizer</t>
  </si>
  <si>
    <t>Yes/No</t>
  </si>
  <si>
    <t>Treatment</t>
  </si>
  <si>
    <t>Method</t>
  </si>
  <si>
    <t>Split N Application</t>
  </si>
  <si>
    <t>No-till</t>
  </si>
  <si>
    <t>No Till</t>
  </si>
  <si>
    <t>Tilling Emissions</t>
  </si>
  <si>
    <t>f6e16f5a-e58a-3bb0-95df-c6985fa070a2</t>
  </si>
  <si>
    <t>Total Phosphous Released</t>
  </si>
  <si>
    <t>Total Phosphous Captured</t>
  </si>
  <si>
    <t>BU</t>
  </si>
  <si>
    <t>BR</t>
  </si>
  <si>
    <t>W</t>
  </si>
  <si>
    <t>NS</t>
  </si>
  <si>
    <t>CC</t>
  </si>
  <si>
    <t>NT</t>
  </si>
  <si>
    <t>Abrev</t>
  </si>
  <si>
    <t>NR</t>
  </si>
  <si>
    <t>Type</t>
  </si>
  <si>
    <t>Barrier</t>
  </si>
  <si>
    <t>Land</t>
  </si>
  <si>
    <t>Iowa Use</t>
  </si>
  <si>
    <t>eGrid</t>
  </si>
  <si>
    <t>Name</t>
  </si>
  <si>
    <t>Abbreviation</t>
  </si>
  <si>
    <t>N Cost (2022$/kgN)</t>
  </si>
  <si>
    <t>P Cost (2022$/kgP)</t>
  </si>
  <si>
    <t>N GWP (kg-CO2eq/kgN)</t>
  </si>
  <si>
    <t>P GWP (kg-CO2eq/kgP)</t>
  </si>
  <si>
    <t>AS</t>
  </si>
  <si>
    <t>A2O</t>
  </si>
  <si>
    <t>AS3</t>
  </si>
  <si>
    <t>B5</t>
  </si>
  <si>
    <t>MUCT</t>
  </si>
  <si>
    <t>B5/Denit</t>
  </si>
  <si>
    <t>MBR</t>
  </si>
  <si>
    <t>B5/RO</t>
  </si>
  <si>
    <t>MBR/RO</t>
  </si>
  <si>
    <t>Iowa Use (%)</t>
  </si>
  <si>
    <t>N Removal (g/m3 or %)</t>
  </si>
  <si>
    <t>P Removal (g/m3 or %)</t>
  </si>
  <si>
    <t>Green Type</t>
  </si>
  <si>
    <t>Total Electrical Demand/Total N removed</t>
  </si>
  <si>
    <t>Total Electrical Demand/Total P removed</t>
  </si>
  <si>
    <t>2016 Christenson Ten Ways</t>
  </si>
  <si>
    <t>Farmer Incentive</t>
  </si>
  <si>
    <t>Ad</t>
  </si>
  <si>
    <t>Buffer Lifetime</t>
  </si>
  <si>
    <t>Buffer 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</si>
</sst>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000000_);_(* \(#,##0.0000000\);_(* &quot;-&quot;??_);_(@_)"/>
    <numFmt numFmtId="166" formatCode="0.000"/>
    <numFmt numFmtId="167" formatCode="_(* #,##0.0000_);_(* \(#,##0.0000\);_(* &quot;-&quot;??_);_(@_)"/>
    <numFmt numFmtId="168" formatCode="_(* #,##0.000000_);_(* \(#,##0.000000\);_(* &quot;-&quot;??_);_(@_)"/>
    <numFmt numFmtId="169" formatCode="0.00000E+00"/>
    <numFmt numFmtId="170" formatCode="_(* #,##0.000_);_(* \(#,##0.0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  <bgColor rgb="FF000000"/>
      </patternFill>
    </fill>
  </fills>
  <borders count="11">
    <border>
      <left/>
      <right/>
      <top/>
      <bottom/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</cellStyleXfs>
  <cellXfs count="49">
    <xf numFmtId="0" fontId="0" fillId="0" borderId="0" xfId="0"/>
    <xf numFmtId="44" fontId="0" fillId="0" borderId="0" xfId="2" applyFont="1"/>
    <xf numFmtId="43" fontId="0" fillId="0" borderId="0" xfId="1" applyFont="1"/>
    <xf numFmtId="0" fontId="2" fillId="0" borderId="0" xfId="4"/>
    <xf numFmtId="16" fontId="0" fillId="0" borderId="0" xfId="0" applyNumberForma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" fontId="4" fillId="0" borderId="3" xfId="0" quotePrefix="1" applyNumberFormat="1" applyFont="1" applyBorder="1" applyAlignment="1">
      <alignment horizontal="center" vertical="center" wrapText="1"/>
    </xf>
    <xf numFmtId="9" fontId="0" fillId="0" borderId="0" xfId="3" applyFont="1"/>
    <xf numFmtId="0" fontId="10" fillId="0" borderId="0" xfId="0" applyFont="1"/>
    <xf numFmtId="0" fontId="11" fillId="0" borderId="0" xfId="0" applyFont="1"/>
    <xf numFmtId="43" fontId="11" fillId="0" borderId="0" xfId="1" applyFont="1"/>
    <xf numFmtId="43" fontId="0" fillId="0" borderId="0" xfId="0" applyNumberFormat="1"/>
    <xf numFmtId="4" fontId="0" fillId="0" borderId="0" xfId="0" applyNumberFormat="1"/>
    <xf numFmtId="164" fontId="0" fillId="0" borderId="0" xfId="3" applyNumberFormat="1" applyFont="1"/>
    <xf numFmtId="165" fontId="0" fillId="0" borderId="0" xfId="1" applyNumberFormat="1" applyFont="1"/>
    <xf numFmtId="166" fontId="0" fillId="0" borderId="0" xfId="0" applyNumberFormat="1"/>
    <xf numFmtId="44" fontId="0" fillId="0" borderId="0" xfId="0" applyNumberFormat="1"/>
    <xf numFmtId="2" fontId="0" fillId="0" borderId="0" xfId="0" applyNumberFormat="1"/>
    <xf numFmtId="9" fontId="0" fillId="0" borderId="0" xfId="0" applyNumberFormat="1"/>
    <xf numFmtId="166" fontId="1" fillId="3" borderId="0" xfId="5" applyNumberFormat="1" applyFont="1"/>
    <xf numFmtId="0" fontId="13" fillId="0" borderId="0" xfId="0" applyFont="1"/>
    <xf numFmtId="166" fontId="13" fillId="3" borderId="0" xfId="5" applyNumberFormat="1" applyFont="1"/>
    <xf numFmtId="43" fontId="13" fillId="5" borderId="0" xfId="7" applyNumberFormat="1" applyFont="1"/>
    <xf numFmtId="0" fontId="17" fillId="0" borderId="0" xfId="0" applyFont="1"/>
    <xf numFmtId="166" fontId="17" fillId="7" borderId="0" xfId="0" applyNumberFormat="1" applyFont="1" applyFill="1"/>
    <xf numFmtId="11" fontId="0" fillId="0" borderId="0" xfId="0" applyNumberFormat="1"/>
    <xf numFmtId="43" fontId="16" fillId="6" borderId="10" xfId="1" applyFont="1" applyFill="1" applyBorder="1"/>
    <xf numFmtId="167" fontId="0" fillId="0" borderId="0" xfId="1" applyNumberFormat="1" applyFont="1"/>
    <xf numFmtId="0" fontId="7" fillId="0" borderId="0" xfId="0" applyFont="1"/>
    <xf numFmtId="166" fontId="14" fillId="4" borderId="0" xfId="6" applyNumberFormat="1"/>
    <xf numFmtId="43" fontId="0" fillId="0" borderId="0" xfId="1" applyFont="1" applyFill="1"/>
    <xf numFmtId="43" fontId="1" fillId="0" borderId="0" xfId="1" applyFont="1" applyFill="1" applyBorder="1"/>
    <xf numFmtId="10" fontId="0" fillId="0" borderId="0" xfId="3" applyNumberFormat="1" applyFont="1"/>
    <xf numFmtId="11" fontId="0" fillId="0" borderId="0" xfId="2" applyNumberFormat="1" applyFont="1"/>
    <xf numFmtId="168" fontId="0" fillId="0" borderId="0" xfId="1" applyNumberFormat="1" applyFont="1"/>
    <xf numFmtId="169" fontId="0" fillId="0" borderId="0" xfId="0" applyNumberFormat="1"/>
    <xf numFmtId="170" fontId="0" fillId="0" borderId="0" xfId="1" applyNumberFormat="1" applyFont="1"/>
    <xf numFmtId="0" fontId="0" fillId="0" borderId="0" xfId="0" applyAlignment="1">
      <alignment horizontal="center"/>
    </xf>
  </cellXfs>
  <cellStyles count="8">
    <cellStyle name="Bad" xfId="6" builtinId="27"/>
    <cellStyle name="Comma" xfId="1" builtinId="3"/>
    <cellStyle name="Currency" xfId="2" builtinId="4"/>
    <cellStyle name="Good" xfId="5" builtinId="26"/>
    <cellStyle name="Hyperlink" xfId="4" builtinId="8"/>
    <cellStyle name="Neutral" xfId="7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'Emissions Plot'!$C$1</c:f>
              <c:strCache>
                <c:ptCount val="1"/>
                <c:pt idx="0">
                  <c:v>kg-CO2eq/kgN yr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'Emissions Plot'!$A$2:$A$15</c:f>
              <c:strCache>
                <c:ptCount val="14"/>
                <c:pt idx="0">
                  <c:v>Buffers</c:v>
                </c:pt>
                <c:pt idx="1">
                  <c:v>Bioreactors</c:v>
                </c:pt>
                <c:pt idx="2">
                  <c:v>Wetland</c:v>
                </c:pt>
                <c:pt idx="3">
                  <c:v>N Rate Reduction</c:v>
                </c:pt>
                <c:pt idx="4">
                  <c:v>Split N Application</c:v>
                </c:pt>
                <c:pt idx="5">
                  <c:v>Cover Crop</c:v>
                </c:pt>
                <c:pt idx="6">
                  <c:v>Level 2-1, A2O</c:v>
                </c:pt>
                <c:pt idx="7">
                  <c:v>Level 2-2, AS3</c:v>
                </c:pt>
                <c:pt idx="8">
                  <c:v>Level 3-1, B5</c:v>
                </c:pt>
                <c:pt idx="9">
                  <c:v>Level 3-2, MUCT</c:v>
                </c:pt>
                <c:pt idx="10">
                  <c:v>Level 4-1, B5/Denit</c:v>
                </c:pt>
                <c:pt idx="11">
                  <c:v>Level 4-2, MBR</c:v>
                </c:pt>
                <c:pt idx="12">
                  <c:v>Level 5-1, B5/RO</c:v>
                </c:pt>
                <c:pt idx="13">
                  <c:v>Level 5-2, MBR/RO</c:v>
                </c:pt>
              </c:strCache>
            </c:strRef>
          </c:cat>
          <c:val>
            <c:numRef>
              <c:f>'Emissions Plot'!$C$2:$C$15</c:f>
              <c:numCache>
                <c:formatCode>_(* #,##0.00_);_(* \(#,##0.00\);_(* "-"??_);_(@_)</c:formatCode>
                <c:ptCount val="14"/>
                <c:pt idx="0">
                  <c:v>0.10025753474610297</c:v>
                </c:pt>
                <c:pt idx="1">
                  <c:v>0.69556447643512431</c:v>
                </c:pt>
                <c:pt idx="2">
                  <c:v>-3.8975548447566473</c:v>
                </c:pt>
                <c:pt idx="3">
                  <c:v>-9.2071428571428573</c:v>
                </c:pt>
                <c:pt idx="4">
                  <c:v>11.102512533037871</c:v>
                </c:pt>
                <c:pt idx="5">
                  <c:v>0.55084444444444447</c:v>
                </c:pt>
                <c:pt idx="6">
                  <c:v>24.0625</c:v>
                </c:pt>
                <c:pt idx="7">
                  <c:v>28.75</c:v>
                </c:pt>
                <c:pt idx="8">
                  <c:v>29.411764705882351</c:v>
                </c:pt>
                <c:pt idx="9">
                  <c:v>28.235294117647054</c:v>
                </c:pt>
                <c:pt idx="10">
                  <c:v>29.729729729729733</c:v>
                </c:pt>
                <c:pt idx="11">
                  <c:v>29.729729729729733</c:v>
                </c:pt>
                <c:pt idx="12">
                  <c:v>46.153846153846153</c:v>
                </c:pt>
                <c:pt idx="13">
                  <c:v>47.368421052631582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5-0648-B5DB-CF2FFEF9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657968"/>
        <c:axId val="1550119951"/>
      </c:barChart>
      <c:catAx>
        <c:axId val="6176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19951"/>
        <c:crosses val="autoZero"/>
        <c:auto val="1"/>
        <c:lblAlgn val="ctr"/>
        <c:lblOffset val="100"/>
        <c:noMultiLvlLbl val="0"/>
      </c:catAx>
      <c:valAx>
        <c:axId val="15501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kg-CO2eq/kgN 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63500</xdr:rowOff>
    </xdr:from>
    <xdr:to>
      <xdr:col>14</xdr:col>
      <xdr:colOff>1480863</xdr:colOff>
      <xdr:row>44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EE310-EB10-F20B-9668-95543CE6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8700"/>
          <a:ext cx="16293825" cy="6680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25400</xdr:rowOff>
    </xdr:from>
    <xdr:to>
      <xdr:col>5</xdr:col>
      <xdr:colOff>825500</xdr:colOff>
      <xdr:row>69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3792B0-2EDE-C553-3C7E-9A6C2CCB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69400"/>
          <a:ext cx="5842000" cy="4889500"/>
        </a:xfrm>
        <a:prstGeom prst="rect">
          <a:avLst/>
        </a:prstGeom>
      </xdr:spPr>
    </xdr:pic>
    <xdr:clientData/>
  </xdr:twoCellAnchor>
  <xdr:twoCellAnchor>
    <xdr:from>
      <xdr:col>13</xdr:col>
      <xdr:colOff>66676</xdr:colOff>
      <xdr:row>18</xdr:row>
      <xdr:rowOff>73024</xdr:rowOff>
    </xdr:from>
    <xdr:to>
      <xdr:col>13</xdr:col>
      <xdr:colOff>66676</xdr:colOff>
      <xdr:row>34</xdr:row>
      <xdr:rowOff>60324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10DF5E0-EB8F-AC10-4476-105B723C84DA}"/>
            </a:ext>
          </a:extLst>
        </xdr:cNvPr>
        <xdr:cNvCxnSpPr/>
      </xdr:nvCxnSpPr>
      <xdr:spPr>
        <a:xfrm>
          <a:off x="9782176" y="3787774"/>
          <a:ext cx="0" cy="3289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177800</xdr:rowOff>
    </xdr:from>
    <xdr:to>
      <xdr:col>16</xdr:col>
      <xdr:colOff>292100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020EB-CCA9-0750-19BC-FC6884491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lostate-my.sharepoint.com/personal/blimb_colostate_edu/Documents/_CSU%20Green%20Wastewater%20Treatment/GIS%20Data/eGrid/egrid_historical_files_1996-2016/eGRID2012_Data.xlsx" TargetMode="External"/><Relationship Id="rId1" Type="http://schemas.openxmlformats.org/officeDocument/2006/relationships/externalLinkPath" Target="https://colostate-my.sharepoint.com/personal/blimb_colostate_edu/Documents/_CSU%20Green%20Wastewater%20Treatment/GIS%20Data/eGrid/egrid_historical_files_1996-2016/eGRID2012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lostate-my.sharepoint.com/personal/blimb_colostate_edu/Documents/_CSU%20Green%20Wastewater%20Treatment/GIS%20Data/eGrid/egrid_historical_files_1996-2016/eGRID2010_Data.xls" TargetMode="External"/><Relationship Id="rId1" Type="http://schemas.openxmlformats.org/officeDocument/2006/relationships/externalLinkPath" Target="https://colostate-my.sharepoint.com/personal/blimb_colostate_edu/Documents/_CSU%20Green%20Wastewater%20Treatment/GIS%20Data/eGrid/egrid_historical_files_1996-2016/eGRID2010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BLR12"/>
      <sheetName val="GEN12"/>
      <sheetName val="PLNT12"/>
      <sheetName val="ST12"/>
      <sheetName val="PCAL12"/>
      <sheetName val="SRL12"/>
      <sheetName val="NRL12"/>
      <sheetName val="US12"/>
      <sheetName val="GGL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W10">
            <v>604.96203955781107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BLR10"/>
      <sheetName val="GEN10"/>
      <sheetName val="PLNT10"/>
      <sheetName val="ST10"/>
      <sheetName val="PCAL10"/>
      <sheetName val="SRL10"/>
      <sheetName val="NRL10"/>
      <sheetName val="US10"/>
      <sheetName val="GGL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U6">
            <v>1238.5156999999999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pa.gov/system/files/documents/2021-08/life-cycle-nutrient-removal.pdf" TargetMode="External"/><Relationship Id="rId3" Type="http://schemas.openxmlformats.org/officeDocument/2006/relationships/hyperlink" Target="https://www.epa.gov/system/files/documents/2021-08/life-cycle-nutrient-removal.pdf" TargetMode="External"/><Relationship Id="rId7" Type="http://schemas.openxmlformats.org/officeDocument/2006/relationships/hyperlink" Target="https://www.epa.gov/system/files/documents/2021-08/life-cycle-nutrient-removal.pdf" TargetMode="External"/><Relationship Id="rId2" Type="http://schemas.openxmlformats.org/officeDocument/2006/relationships/hyperlink" Target="https://www.epa.gov/system/files/documents/2021-08/life-cycle-nutrient-removal.pdf" TargetMode="External"/><Relationship Id="rId1" Type="http://schemas.openxmlformats.org/officeDocument/2006/relationships/hyperlink" Target="https://www.epa.gov/system/files/documents/2021-08/life-cycle-nutrient-removal.pdf" TargetMode="External"/><Relationship Id="rId6" Type="http://schemas.openxmlformats.org/officeDocument/2006/relationships/hyperlink" Target="https://www.epa.gov/system/files/documents/2021-08/life-cycle-nutrient-removal.pdf" TargetMode="External"/><Relationship Id="rId5" Type="http://schemas.openxmlformats.org/officeDocument/2006/relationships/hyperlink" Target="https://www.epa.gov/system/files/documents/2021-08/life-cycle-nutrient-removal.pdf" TargetMode="External"/><Relationship Id="rId10" Type="http://schemas.openxmlformats.org/officeDocument/2006/relationships/hyperlink" Target="https://www.epa.gov/system/files/documents/2021-08/life-cycle-nutrient-removal.pdf" TargetMode="External"/><Relationship Id="rId4" Type="http://schemas.openxmlformats.org/officeDocument/2006/relationships/hyperlink" Target="https://www.epa.gov/system/files/documents/2021-08/life-cycle-nutrient-removal.pdf" TargetMode="External"/><Relationship Id="rId9" Type="http://schemas.openxmlformats.org/officeDocument/2006/relationships/hyperlink" Target="https://www.epa.gov/system/files/documents/2021-08/life-cycle-nutrient-removal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raindrop.cropsci.illinois.edu/wp-content/uploads/2016/10/IL-NLRS-Practice-Factsheet_2016.pdf" TargetMode="External"/><Relationship Id="rId13" Type="http://schemas.openxmlformats.org/officeDocument/2006/relationships/hyperlink" Target="http://draindrop.cropsci.illinois.edu/wp-content/uploads/2016/10/IL-NLRS-Practice-Factsheet_2016.pdf" TargetMode="External"/><Relationship Id="rId3" Type="http://schemas.openxmlformats.org/officeDocument/2006/relationships/hyperlink" Target="https://www.sciencedirect.com/science/article/pii/S2212428413000194?via%3Dihub" TargetMode="External"/><Relationship Id="rId7" Type="http://schemas.openxmlformats.org/officeDocument/2006/relationships/hyperlink" Target="https://www.sciencedirect.com/science/article/pii/S2212428413000194?via%3Dihub" TargetMode="External"/><Relationship Id="rId12" Type="http://schemas.openxmlformats.org/officeDocument/2006/relationships/hyperlink" Target="http://draindrop.cropsci.illinois.edu/wp-content/uploads/2016/10/IL-NLRS-Practice-Factsheet_2016.pdf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sciencedirect.com/science/article/pii/S2212428413000194?via%3Dihub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sciencedirect.com/science/article/pii/S2212428413000194?via%3Dihub" TargetMode="External"/><Relationship Id="rId6" Type="http://schemas.openxmlformats.org/officeDocument/2006/relationships/hyperlink" Target="https://www.sciencedirect.com/science/article/pii/S2212428413000194?via%3Dihub" TargetMode="External"/><Relationship Id="rId11" Type="http://schemas.openxmlformats.org/officeDocument/2006/relationships/hyperlink" Target="http://draindrop.cropsci.illinois.edu/wp-content/uploads/2016/10/IL-NLRS-Practice-Factsheet_2016.pdf" TargetMode="External"/><Relationship Id="rId5" Type="http://schemas.openxmlformats.org/officeDocument/2006/relationships/hyperlink" Target="https://www.sciencedirect.com/science/article/pii/S2212428413000194?via%3Dihub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draindrop.cropsci.illinois.edu/wp-content/uploads/2016/10/IL-NLRS-Practice-Factsheet_2016.pdf" TargetMode="External"/><Relationship Id="rId4" Type="http://schemas.openxmlformats.org/officeDocument/2006/relationships/hyperlink" Target="https://www.sciencedirect.com/science/article/pii/S2212428413000194?via%3Dihub" TargetMode="External"/><Relationship Id="rId9" Type="http://schemas.openxmlformats.org/officeDocument/2006/relationships/hyperlink" Target="http://draindrop.cropsci.illinois.edu/wp-content/uploads/2016/10/IL-NLRS-Practice-Factsheet_2016.pdf" TargetMode="External"/><Relationship Id="rId14" Type="http://schemas.openxmlformats.org/officeDocument/2006/relationships/hyperlink" Target="http://draindrop.cropsci.illinois.edu/wp-content/uploads/2016/10/IL-NLRS-Practice-Factsheet_201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://draindrop.cropsci.illinois.edu/wp-content/uploads/2016/10/IL-NLRS-Practice-Factsheet_2016.pdf" TargetMode="External"/><Relationship Id="rId7" Type="http://schemas.openxmlformats.org/officeDocument/2006/relationships/hyperlink" Target="http://draindrop.cropsci.illinois.edu/wp-content/uploads/2016/10/IL-NLRS-Practice-Factsheet_2016.pdf" TargetMode="External"/><Relationship Id="rId2" Type="http://schemas.openxmlformats.org/officeDocument/2006/relationships/hyperlink" Target="http://draindrop.cropsci.illinois.edu/wp-content/uploads/2016/10/IL-NLRS-Practice-Factsheet_2016.pdf" TargetMode="External"/><Relationship Id="rId1" Type="http://schemas.openxmlformats.org/officeDocument/2006/relationships/hyperlink" Target="http://draindrop.cropsci.illinois.edu/wp-content/uploads/2016/10/IL-NLRS-Practice-Factsheet_2016.pdf" TargetMode="External"/><Relationship Id="rId6" Type="http://schemas.openxmlformats.org/officeDocument/2006/relationships/hyperlink" Target="http://draindrop.cropsci.illinois.edu/wp-content/uploads/2016/10/IL-NLRS-Practice-Factsheet_2016.pdf" TargetMode="External"/><Relationship Id="rId5" Type="http://schemas.openxmlformats.org/officeDocument/2006/relationships/hyperlink" Target="http://draindrop.cropsci.illinois.edu/wp-content/uploads/2016/10/IL-NLRS-Practice-Factsheet_2016.pdf" TargetMode="External"/><Relationship Id="rId4" Type="http://schemas.openxmlformats.org/officeDocument/2006/relationships/hyperlink" Target="http://draindrop.cropsci.illinois.edu/wp-content/uploads/2016/10/IL-NLRS-Practice-Factsheet_2016.pdf" TargetMode="External"/><Relationship Id="rId9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://draindrop.cropsci.illinois.edu/wp-content/uploads/2016/10/IL-NLRS-Practice-Factsheet_2016.pdf" TargetMode="External"/><Relationship Id="rId7" Type="http://schemas.openxmlformats.org/officeDocument/2006/relationships/hyperlink" Target="http://draindrop.cropsci.illinois.edu/wp-content/uploads/2016/10/IL-NLRS-Practice-Factsheet_2016.pdf" TargetMode="External"/><Relationship Id="rId2" Type="http://schemas.openxmlformats.org/officeDocument/2006/relationships/hyperlink" Target="http://draindrop.cropsci.illinois.edu/wp-content/uploads/2016/10/IL-NLRS-Practice-Factsheet_2016.pdf" TargetMode="External"/><Relationship Id="rId1" Type="http://schemas.openxmlformats.org/officeDocument/2006/relationships/hyperlink" Target="http://draindrop.cropsci.illinois.edu/wp-content/uploads/2016/10/IL-NLRS-Practice-Factsheet_2016.pdf" TargetMode="External"/><Relationship Id="rId6" Type="http://schemas.openxmlformats.org/officeDocument/2006/relationships/hyperlink" Target="http://draindrop.cropsci.illinois.edu/wp-content/uploads/2016/10/IL-NLRS-Practice-Factsheet_2016.pdf" TargetMode="External"/><Relationship Id="rId5" Type="http://schemas.openxmlformats.org/officeDocument/2006/relationships/hyperlink" Target="http://draindrop.cropsci.illinois.edu/wp-content/uploads/2016/10/IL-NLRS-Practice-Factsheet_2016.pdf" TargetMode="External"/><Relationship Id="rId4" Type="http://schemas.openxmlformats.org/officeDocument/2006/relationships/hyperlink" Target="http://draindrop.cropsci.illinois.edu/wp-content/uploads/2016/10/IL-NLRS-Practice-Factsheet_2016.pdf" TargetMode="External"/><Relationship Id="rId9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://draindrop.cropsci.illinois.edu/wp-content/uploads/2016/10/IL-NLRS-Practice-Factsheet_2016.pdf" TargetMode="External"/><Relationship Id="rId7" Type="http://schemas.openxmlformats.org/officeDocument/2006/relationships/hyperlink" Target="http://draindrop.cropsci.illinois.edu/wp-content/uploads/2016/10/IL-NLRS-Practice-Factsheet_2016.pdf" TargetMode="External"/><Relationship Id="rId2" Type="http://schemas.openxmlformats.org/officeDocument/2006/relationships/hyperlink" Target="http://draindrop.cropsci.illinois.edu/wp-content/uploads/2016/10/IL-NLRS-Practice-Factsheet_2016.pdf" TargetMode="External"/><Relationship Id="rId1" Type="http://schemas.openxmlformats.org/officeDocument/2006/relationships/hyperlink" Target="http://draindrop.cropsci.illinois.edu/wp-content/uploads/2016/10/IL-NLRS-Practice-Factsheet_2016.pdf" TargetMode="External"/><Relationship Id="rId6" Type="http://schemas.openxmlformats.org/officeDocument/2006/relationships/hyperlink" Target="http://draindrop.cropsci.illinois.edu/wp-content/uploads/2016/10/IL-NLRS-Practice-Factsheet_2016.pdf" TargetMode="External"/><Relationship Id="rId5" Type="http://schemas.openxmlformats.org/officeDocument/2006/relationships/hyperlink" Target="http://draindrop.cropsci.illinois.edu/wp-content/uploads/2016/10/IL-NLRS-Practice-Factsheet_2016.pdf" TargetMode="External"/><Relationship Id="rId4" Type="http://schemas.openxmlformats.org/officeDocument/2006/relationships/hyperlink" Target="http://draindrop.cropsci.illinois.edu/wp-content/uploads/2016/10/IL-NLRS-Practice-Factsheet_2016.pdf" TargetMode="External"/><Relationship Id="rId9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xtension.purdue.edu/extmedia/ABE/ABE-160.pdf" TargetMode="External"/><Relationship Id="rId13" Type="http://schemas.openxmlformats.org/officeDocument/2006/relationships/hyperlink" Target="https://www.ejprescott.com/hubfs/media/reference/PipeUnitWeightR-30.pdf" TargetMode="External"/><Relationship Id="rId18" Type="http://schemas.openxmlformats.org/officeDocument/2006/relationships/comments" Target="../comments5.xml"/><Relationship Id="rId3" Type="http://schemas.openxmlformats.org/officeDocument/2006/relationships/hyperlink" Target="https://www.landscapediscount.net/images/spec/Pro-Plus-V-Spec-Sheet-2020.pdf" TargetMode="External"/><Relationship Id="rId7" Type="http://schemas.openxmlformats.org/officeDocument/2006/relationships/hyperlink" Target="https://transformingdrainage.org/wp-content/uploads/2020/11/Saturated_Buffer_CPS_9_2020.pdf" TargetMode="External"/><Relationship Id="rId12" Type="http://schemas.openxmlformats.org/officeDocument/2006/relationships/hyperlink" Target="https://www.bpf.co.uk/plastipedia/polymers/PVC.aspx" TargetMode="External"/><Relationship Id="rId17" Type="http://schemas.openxmlformats.org/officeDocument/2006/relationships/vmlDrawing" Target="../drawings/vmlDrawing5.vml"/><Relationship Id="rId2" Type="http://schemas.openxmlformats.org/officeDocument/2006/relationships/hyperlink" Target="https://www.globalplasticsheeting.com/our-blog-resource-library/bid/72325/density-of-polyethylene" TargetMode="External"/><Relationship Id="rId16" Type="http://schemas.openxmlformats.org/officeDocument/2006/relationships/hyperlink" Target="https://efotg.sc.egov.usda.gov/api/CPSFile/27371/604_VT_OM_Saturated_Buffer_2020" TargetMode="External"/><Relationship Id="rId1" Type="http://schemas.openxmlformats.org/officeDocument/2006/relationships/hyperlink" Target="http://draindrop.cropsci.illinois.edu/wp-content/uploads/2019/12/Christianson-et-al_2018_Woodchip-Bioreactor_2pg-Factsheet.pdf" TargetMode="External"/><Relationship Id="rId6" Type="http://schemas.openxmlformats.org/officeDocument/2006/relationships/hyperlink" Target="https://water.unl.edu/documents/Section%20G.pdf" TargetMode="External"/><Relationship Id="rId11" Type="http://schemas.openxmlformats.org/officeDocument/2006/relationships/hyperlink" Target="https://www.agridrain.com/shop/c85/manual-water-level-control-structures/p901/inline-water-level-control-structures/" TargetMode="External"/><Relationship Id="rId5" Type="http://schemas.openxmlformats.org/officeDocument/2006/relationships/hyperlink" Target="https://extension.msstate.edu/sites/default/files/publications/publications/p3130.pdf" TargetMode="External"/><Relationship Id="rId15" Type="http://schemas.openxmlformats.org/officeDocument/2006/relationships/hyperlink" Target="https://www.agric.gov.ab.ca/app19/calc/forageseed/seedingtable.html" TargetMode="External"/><Relationship Id="rId10" Type="http://schemas.openxmlformats.org/officeDocument/2006/relationships/hyperlink" Target="https://www.agridrain.com/shop/c85/manual-water-level-control-structures/p901/inline-water-level-control-structures/" TargetMode="External"/><Relationship Id="rId4" Type="http://schemas.openxmlformats.org/officeDocument/2006/relationships/hyperlink" Target="http://www.woodenergy.ie/media/coford/content/publications/projectreports/cofordconnects/finalfuelquality.pdf" TargetMode="External"/><Relationship Id="rId9" Type="http://schemas.openxmlformats.org/officeDocument/2006/relationships/hyperlink" Target="https://www.ejprescott.com/hubfs/media/reference/PipeUnitWeightR-30.pdf" TargetMode="External"/><Relationship Id="rId14" Type="http://schemas.openxmlformats.org/officeDocument/2006/relationships/hyperlink" Target="https://www.researchgate.net/publication/236999838_Bulk_Density_of_Wet_and_Dry_Wheat_Straw_and_Switchgrass_Particle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jprescott.com/hubfs/media/reference/PipeUnitWeightR-30.pdf" TargetMode="External"/><Relationship Id="rId13" Type="http://schemas.openxmlformats.org/officeDocument/2006/relationships/comments" Target="../comments6.xml"/><Relationship Id="rId3" Type="http://schemas.openxmlformats.org/officeDocument/2006/relationships/hyperlink" Target="https://www.extension.purdue.edu/extmedia/ABE/ABE-160.pdf" TargetMode="External"/><Relationship Id="rId7" Type="http://schemas.openxmlformats.org/officeDocument/2006/relationships/hyperlink" Target="https://www.bpf.co.uk/plastipedia/polymers/PVC.aspx" TargetMode="External"/><Relationship Id="rId12" Type="http://schemas.openxmlformats.org/officeDocument/2006/relationships/vmlDrawing" Target="../drawings/vmlDrawing6.vml"/><Relationship Id="rId2" Type="http://schemas.openxmlformats.org/officeDocument/2006/relationships/hyperlink" Target="https://transformingdrainage.org/wp-content/uploads/2020/11/Saturated_Buffer_CPS_9_2020.pdf" TargetMode="External"/><Relationship Id="rId1" Type="http://schemas.openxmlformats.org/officeDocument/2006/relationships/hyperlink" Target="https://extension.msstate.edu/sites/default/files/publications/publications/p3130.pdf" TargetMode="External"/><Relationship Id="rId6" Type="http://schemas.openxmlformats.org/officeDocument/2006/relationships/hyperlink" Target="https://www.agridrain.com/shop/c85/manual-water-level-control-structures/p901/inline-water-level-control-structures/" TargetMode="External"/><Relationship Id="rId11" Type="http://schemas.openxmlformats.org/officeDocument/2006/relationships/hyperlink" Target="https://www.nature.com/articles/s41467-020-18326-7" TargetMode="External"/><Relationship Id="rId5" Type="http://schemas.openxmlformats.org/officeDocument/2006/relationships/hyperlink" Target="https://www.agridrain.com/shop/c85/manual-water-level-control-structures/p901/inline-water-level-control-structures/" TargetMode="External"/><Relationship Id="rId10" Type="http://schemas.openxmlformats.org/officeDocument/2006/relationships/hyperlink" Target="https://www.agric.gov.ab.ca/app19/calc/forageseed/seedingtable.html" TargetMode="External"/><Relationship Id="rId4" Type="http://schemas.openxmlformats.org/officeDocument/2006/relationships/hyperlink" Target="https://www.ejprescott.com/hubfs/media/reference/PipeUnitWeightR-30.pdf" TargetMode="External"/><Relationship Id="rId9" Type="http://schemas.openxmlformats.org/officeDocument/2006/relationships/hyperlink" Target="https://www.researchgate.net/publication/236999838_Bulk_Density_of_Wet_and_Dry_Wheat_Straw_and_Switchgrass_Particles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pa.gov/system/files/documents/2021-08/life-cycle-nutrient-removal.pdf" TargetMode="External"/><Relationship Id="rId3" Type="http://schemas.openxmlformats.org/officeDocument/2006/relationships/hyperlink" Target="https://www.epa.gov/system/files/documents/2021-08/life-cycle-nutrient-removal.pdf" TargetMode="External"/><Relationship Id="rId7" Type="http://schemas.openxmlformats.org/officeDocument/2006/relationships/hyperlink" Target="https://www.epa.gov/system/files/documents/2021-08/life-cycle-nutrient-removal.pdf" TargetMode="External"/><Relationship Id="rId2" Type="http://schemas.openxmlformats.org/officeDocument/2006/relationships/hyperlink" Target="https://www.epa.gov/system/files/documents/2021-08/life-cycle-nutrient-removal.pdf" TargetMode="External"/><Relationship Id="rId1" Type="http://schemas.openxmlformats.org/officeDocument/2006/relationships/hyperlink" Target="https://www.epa.gov/system/files/documents/2021-08/life-cycle-nutrient-removal.pdf" TargetMode="External"/><Relationship Id="rId6" Type="http://schemas.openxmlformats.org/officeDocument/2006/relationships/hyperlink" Target="https://www.epa.gov/system/files/documents/2021-08/life-cycle-nutrient-removal.pdf" TargetMode="External"/><Relationship Id="rId5" Type="http://schemas.openxmlformats.org/officeDocument/2006/relationships/hyperlink" Target="https://www.epa.gov/system/files/documents/2021-08/life-cycle-nutrient-removal.pdf" TargetMode="External"/><Relationship Id="rId4" Type="http://schemas.openxmlformats.org/officeDocument/2006/relationships/hyperlink" Target="https://www.epa.gov/system/files/documents/2021-08/life-cycle-nutrient-removal.pdf" TargetMode="External"/><Relationship Id="rId9" Type="http://schemas.openxmlformats.org/officeDocument/2006/relationships/hyperlink" Target="https://www.epa.gov/system/files/documents/2021-08/life-cycle-nutrient-remov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2179-2B6A-F640-971D-160A8D5FA682}">
  <sheetPr>
    <tabColor theme="8" tint="0.59999389629810485"/>
  </sheetPr>
  <dimension ref="A1:C7"/>
  <sheetViews>
    <sheetView tabSelected="1" workbookViewId="0">
      <selection activeCell="G26" sqref="G26"/>
    </sheetView>
  </sheetViews>
  <sheetFormatPr baseColWidth="10" defaultRowHeight="16" x14ac:dyDescent="0.2"/>
  <cols>
    <col min="1" max="1" width="5.6640625" bestFit="1" customWidth="1"/>
    <col min="2" max="2" width="19.33203125" bestFit="1" customWidth="1"/>
    <col min="3" max="3" width="22.33203125" bestFit="1" customWidth="1"/>
  </cols>
  <sheetData>
    <row r="1" spans="1:3" ht="19" thickTop="1" thickBot="1" x14ac:dyDescent="0.25">
      <c r="A1" s="8" t="s">
        <v>28</v>
      </c>
      <c r="B1" s="9" t="s">
        <v>29</v>
      </c>
      <c r="C1" s="10" t="s">
        <v>30</v>
      </c>
    </row>
    <row r="2" spans="1:3" ht="35" thickBot="1" x14ac:dyDescent="0.25">
      <c r="A2" s="11">
        <v>1</v>
      </c>
      <c r="B2" s="12" t="s">
        <v>31</v>
      </c>
      <c r="C2" s="13" t="s">
        <v>31</v>
      </c>
    </row>
    <row r="3" spans="1:3" ht="17" thickBot="1" x14ac:dyDescent="0.25">
      <c r="A3" s="11">
        <v>2</v>
      </c>
      <c r="B3" s="12">
        <v>8</v>
      </c>
      <c r="C3" s="13">
        <v>1</v>
      </c>
    </row>
    <row r="4" spans="1:3" ht="18" thickBot="1" x14ac:dyDescent="0.25">
      <c r="A4" s="11">
        <v>3</v>
      </c>
      <c r="B4" s="17" t="s">
        <v>35</v>
      </c>
      <c r="C4" s="13" t="s">
        <v>32</v>
      </c>
    </row>
    <row r="5" spans="1:3" ht="17" thickBot="1" x14ac:dyDescent="0.25">
      <c r="A5" s="11">
        <v>4</v>
      </c>
      <c r="B5" s="12">
        <v>3</v>
      </c>
      <c r="C5" s="13">
        <v>0.1</v>
      </c>
    </row>
    <row r="6" spans="1:3" ht="18" thickBot="1" x14ac:dyDescent="0.25">
      <c r="A6" s="14">
        <v>5</v>
      </c>
      <c r="B6" s="15" t="s">
        <v>33</v>
      </c>
      <c r="C6" s="16" t="s">
        <v>34</v>
      </c>
    </row>
    <row r="7" spans="1:3" ht="17" thickTop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DB1B-846E-EB4D-8F1A-1DA94CB45FCB}">
  <sheetPr>
    <tabColor theme="0" tint="-0.14999847407452621"/>
  </sheetPr>
  <dimension ref="A1:N44"/>
  <sheetViews>
    <sheetView workbookViewId="0">
      <selection activeCell="I3" sqref="I3"/>
    </sheetView>
  </sheetViews>
  <sheetFormatPr baseColWidth="10" defaultRowHeight="16" x14ac:dyDescent="0.2"/>
  <cols>
    <col min="1" max="1" width="83.6640625" bestFit="1" customWidth="1"/>
    <col min="2" max="2" width="17" bestFit="1" customWidth="1"/>
    <col min="3" max="3" width="6.1640625" bestFit="1" customWidth="1"/>
    <col min="5" max="6" width="10.1640625" bestFit="1" customWidth="1"/>
    <col min="7" max="8" width="13.33203125" bestFit="1" customWidth="1"/>
    <col min="9" max="9" width="11" bestFit="1" customWidth="1"/>
    <col min="10" max="10" width="11.1640625" bestFit="1" customWidth="1"/>
    <col min="11" max="11" width="22.5" bestFit="1" customWidth="1"/>
    <col min="12" max="12" width="37" bestFit="1" customWidth="1"/>
    <col min="13" max="13" width="37.5" bestFit="1" customWidth="1"/>
    <col min="14" max="14" width="12.33203125" bestFit="1" customWidth="1"/>
  </cols>
  <sheetData>
    <row r="1" spans="1:14" s="7" customFormat="1" x14ac:dyDescent="0.2">
      <c r="A1" s="5" t="s">
        <v>2</v>
      </c>
      <c r="B1" s="5" t="s">
        <v>36</v>
      </c>
      <c r="C1" s="5" t="s">
        <v>27</v>
      </c>
      <c r="D1" s="5" t="s">
        <v>3</v>
      </c>
      <c r="E1" s="5" t="s">
        <v>78</v>
      </c>
      <c r="F1" s="5" t="s">
        <v>77</v>
      </c>
      <c r="G1" s="5" t="s">
        <v>20</v>
      </c>
      <c r="H1" s="5" t="s">
        <v>23</v>
      </c>
      <c r="I1" s="5" t="s">
        <v>4</v>
      </c>
      <c r="J1" s="5" t="s">
        <v>5</v>
      </c>
      <c r="K1" s="5" t="s">
        <v>24</v>
      </c>
      <c r="L1" s="5" t="s">
        <v>16</v>
      </c>
      <c r="M1" s="5" t="s">
        <v>17</v>
      </c>
      <c r="N1" s="5" t="s">
        <v>1</v>
      </c>
    </row>
    <row r="2" spans="1:14" s="7" customFormat="1" x14ac:dyDescent="0.2">
      <c r="A2" s="6" t="s">
        <v>0</v>
      </c>
      <c r="C2" s="6"/>
      <c r="D2" s="5"/>
      <c r="E2" s="6" t="s">
        <v>56</v>
      </c>
      <c r="F2" s="6" t="s">
        <v>76</v>
      </c>
      <c r="G2" s="6" t="s">
        <v>21</v>
      </c>
      <c r="H2" s="6" t="s">
        <v>21</v>
      </c>
      <c r="I2" s="6" t="s">
        <v>22</v>
      </c>
      <c r="J2" s="6" t="s">
        <v>22</v>
      </c>
      <c r="K2" s="6" t="s">
        <v>25</v>
      </c>
      <c r="L2" s="6" t="s">
        <v>26</v>
      </c>
      <c r="M2" s="6" t="s">
        <v>26</v>
      </c>
      <c r="N2" s="5"/>
    </row>
    <row r="3" spans="1:14" x14ac:dyDescent="0.2">
      <c r="A3" t="s">
        <v>37</v>
      </c>
      <c r="B3" t="s">
        <v>6</v>
      </c>
      <c r="C3">
        <v>1</v>
      </c>
      <c r="D3" t="s">
        <v>19</v>
      </c>
      <c r="E3" s="1">
        <v>0.64</v>
      </c>
      <c r="F3" s="1">
        <f>E3*'Dollar Conversion'!$Q$4</f>
        <v>0.79117329007839954</v>
      </c>
      <c r="G3" s="2">
        <v>0.52</v>
      </c>
      <c r="H3" s="2">
        <v>0.44</v>
      </c>
      <c r="I3">
        <v>9.6999999999999993</v>
      </c>
      <c r="J3">
        <v>0.06</v>
      </c>
      <c r="K3" s="2">
        <v>0.2</v>
      </c>
      <c r="L3" t="s">
        <v>18</v>
      </c>
      <c r="M3" t="s">
        <v>18</v>
      </c>
      <c r="N3" s="3" t="s">
        <v>15</v>
      </c>
    </row>
    <row r="4" spans="1:14" x14ac:dyDescent="0.2">
      <c r="A4" t="s">
        <v>38</v>
      </c>
      <c r="B4" t="s">
        <v>7</v>
      </c>
      <c r="C4">
        <v>2</v>
      </c>
      <c r="D4" t="s">
        <v>19</v>
      </c>
      <c r="E4" s="1">
        <v>0.74</v>
      </c>
      <c r="F4" s="1">
        <f>E4*'Dollar Conversion'!$Q$4</f>
        <v>0.91479411665314947</v>
      </c>
      <c r="G4" s="2">
        <v>0.77</v>
      </c>
      <c r="H4" s="2">
        <v>0.57999999999999996</v>
      </c>
      <c r="I4">
        <v>32</v>
      </c>
      <c r="J4">
        <v>4.7</v>
      </c>
      <c r="K4" s="2">
        <v>0.48</v>
      </c>
      <c r="L4">
        <v>0.1</v>
      </c>
      <c r="M4">
        <v>0.02</v>
      </c>
      <c r="N4" s="3" t="s">
        <v>15</v>
      </c>
    </row>
    <row r="5" spans="1:14" x14ac:dyDescent="0.2">
      <c r="A5" t="s">
        <v>39</v>
      </c>
      <c r="B5" t="s">
        <v>8</v>
      </c>
      <c r="C5">
        <v>2</v>
      </c>
      <c r="D5" t="s">
        <v>19</v>
      </c>
      <c r="E5" s="1">
        <v>1.2</v>
      </c>
      <c r="F5" s="1">
        <f>E5*'Dollar Conversion'!$Q$4</f>
        <v>1.4834499188969992</v>
      </c>
      <c r="G5" s="2">
        <v>0.92</v>
      </c>
      <c r="H5" s="2">
        <v>0.72</v>
      </c>
      <c r="I5">
        <v>32</v>
      </c>
      <c r="J5">
        <v>4</v>
      </c>
      <c r="K5" s="2">
        <v>0.51</v>
      </c>
      <c r="L5">
        <v>0.13</v>
      </c>
      <c r="M5">
        <v>0.02</v>
      </c>
      <c r="N5" s="3" t="s">
        <v>15</v>
      </c>
    </row>
    <row r="6" spans="1:14" x14ac:dyDescent="0.2">
      <c r="A6" t="s">
        <v>40</v>
      </c>
      <c r="B6" t="s">
        <v>9</v>
      </c>
      <c r="C6">
        <v>3</v>
      </c>
      <c r="D6" t="s">
        <v>19</v>
      </c>
      <c r="E6" s="1">
        <v>0.84</v>
      </c>
      <c r="F6" s="1">
        <f>E6*'Dollar Conversion'!$Q$4</f>
        <v>1.0384149432278993</v>
      </c>
      <c r="G6" s="2">
        <v>1</v>
      </c>
      <c r="H6" s="2">
        <v>0.83</v>
      </c>
      <c r="I6">
        <v>34</v>
      </c>
      <c r="J6">
        <v>4.8</v>
      </c>
      <c r="K6" s="2">
        <v>0.52</v>
      </c>
      <c r="L6">
        <v>0.11</v>
      </c>
      <c r="M6">
        <v>0.02</v>
      </c>
      <c r="N6" s="3" t="s">
        <v>15</v>
      </c>
    </row>
    <row r="7" spans="1:14" x14ac:dyDescent="0.2">
      <c r="A7" t="s">
        <v>41</v>
      </c>
      <c r="B7" t="s">
        <v>10</v>
      </c>
      <c r="C7">
        <v>3</v>
      </c>
      <c r="D7" t="s">
        <v>19</v>
      </c>
      <c r="E7" s="1">
        <v>0.86</v>
      </c>
      <c r="F7" s="1">
        <f>E7*'Dollar Conversion'!$Q$4</f>
        <v>1.0631391085428494</v>
      </c>
      <c r="G7" s="2">
        <v>0.96</v>
      </c>
      <c r="H7" s="2">
        <v>0.73</v>
      </c>
      <c r="I7">
        <v>34</v>
      </c>
      <c r="J7">
        <v>4.8</v>
      </c>
      <c r="K7" s="2">
        <v>0.56999999999999995</v>
      </c>
      <c r="L7">
        <v>0.12</v>
      </c>
      <c r="M7">
        <v>0.02</v>
      </c>
      <c r="N7" s="3" t="s">
        <v>15</v>
      </c>
    </row>
    <row r="8" spans="1:14" x14ac:dyDescent="0.2">
      <c r="A8" t="s">
        <v>42</v>
      </c>
      <c r="B8" t="s">
        <v>11</v>
      </c>
      <c r="C8">
        <v>4</v>
      </c>
      <c r="D8" t="s">
        <v>19</v>
      </c>
      <c r="E8" s="1">
        <v>0.94</v>
      </c>
      <c r="F8" s="1">
        <f>E8*'Dollar Conversion'!$Q$4</f>
        <v>1.1620357698026493</v>
      </c>
      <c r="G8" s="2">
        <v>1.1000000000000001</v>
      </c>
      <c r="H8" s="2">
        <v>0.88</v>
      </c>
      <c r="I8">
        <v>37</v>
      </c>
      <c r="J8">
        <v>4.9000000000000004</v>
      </c>
      <c r="K8" s="2">
        <v>0.65</v>
      </c>
      <c r="L8">
        <v>0.13</v>
      </c>
      <c r="M8">
        <v>0.02</v>
      </c>
      <c r="N8" s="3" t="s">
        <v>15</v>
      </c>
    </row>
    <row r="9" spans="1:14" x14ac:dyDescent="0.2">
      <c r="A9" t="s">
        <v>43</v>
      </c>
      <c r="B9" t="s">
        <v>12</v>
      </c>
      <c r="C9">
        <v>4</v>
      </c>
      <c r="D9" t="s">
        <v>19</v>
      </c>
      <c r="E9" s="1">
        <v>0.89</v>
      </c>
      <c r="F9" s="1">
        <f>E9*'Dollar Conversion'!$Q$4</f>
        <v>1.1002253565152744</v>
      </c>
      <c r="G9" s="2">
        <v>1.1000000000000001</v>
      </c>
      <c r="H9" s="2">
        <v>0.86</v>
      </c>
      <c r="I9">
        <v>37</v>
      </c>
      <c r="J9">
        <v>4.9000000000000004</v>
      </c>
      <c r="K9" s="2">
        <v>0.64</v>
      </c>
      <c r="L9">
        <v>0.13</v>
      </c>
      <c r="M9">
        <v>0.02</v>
      </c>
      <c r="N9" s="3" t="s">
        <v>15</v>
      </c>
    </row>
    <row r="10" spans="1:14" x14ac:dyDescent="0.2">
      <c r="A10" t="s">
        <v>44</v>
      </c>
      <c r="B10" t="s">
        <v>13</v>
      </c>
      <c r="C10">
        <v>5</v>
      </c>
      <c r="D10" t="s">
        <v>19</v>
      </c>
      <c r="E10" s="1">
        <v>1.4</v>
      </c>
      <c r="F10" s="1">
        <f>E10*'Dollar Conversion'!$Q$4</f>
        <v>1.730691572046499</v>
      </c>
      <c r="G10" s="2">
        <v>1.8</v>
      </c>
      <c r="H10" s="2">
        <v>1.2</v>
      </c>
      <c r="I10">
        <v>39</v>
      </c>
      <c r="J10">
        <v>5</v>
      </c>
      <c r="K10" s="2">
        <v>1.5</v>
      </c>
      <c r="L10">
        <v>0.3</v>
      </c>
      <c r="M10">
        <v>0.04</v>
      </c>
      <c r="N10" s="3" t="s">
        <v>15</v>
      </c>
    </row>
    <row r="11" spans="1:14" x14ac:dyDescent="0.2">
      <c r="A11" t="s">
        <v>45</v>
      </c>
      <c r="B11" t="s">
        <v>14</v>
      </c>
      <c r="C11">
        <v>5</v>
      </c>
      <c r="D11" t="s">
        <v>19</v>
      </c>
      <c r="E11" s="1">
        <v>1.3</v>
      </c>
      <c r="F11" s="1">
        <f>E11*'Dollar Conversion'!$Q$4</f>
        <v>1.6070707454717492</v>
      </c>
      <c r="G11" s="2">
        <v>1.8</v>
      </c>
      <c r="H11" s="2">
        <v>1.2</v>
      </c>
      <c r="I11">
        <v>38</v>
      </c>
      <c r="J11">
        <v>5</v>
      </c>
      <c r="K11" s="2">
        <v>1.4</v>
      </c>
      <c r="L11">
        <v>0.28999999999999998</v>
      </c>
      <c r="M11">
        <v>0.04</v>
      </c>
      <c r="N11" s="3" t="s">
        <v>15</v>
      </c>
    </row>
    <row r="12" spans="1:14" x14ac:dyDescent="0.2">
      <c r="G12" s="22">
        <f>L14*H20</f>
        <v>0.28711045772727267</v>
      </c>
      <c r="H12" s="22">
        <f>L14*H19</f>
        <v>0.14024120007931076</v>
      </c>
      <c r="L12">
        <f>L11*J11</f>
        <v>1.45</v>
      </c>
      <c r="M12">
        <f>M11*I11</f>
        <v>1.52</v>
      </c>
    </row>
    <row r="13" spans="1:14" x14ac:dyDescent="0.2">
      <c r="H13" s="22">
        <f>G11-H11</f>
        <v>0.60000000000000009</v>
      </c>
      <c r="L13" t="s">
        <v>87</v>
      </c>
    </row>
    <row r="14" spans="1:14" x14ac:dyDescent="0.2">
      <c r="H14" s="22">
        <f>G12-H12</f>
        <v>0.14686925764796191</v>
      </c>
      <c r="L14" s="22">
        <f>K5</f>
        <v>0.51</v>
      </c>
    </row>
    <row r="15" spans="1:14" x14ac:dyDescent="0.2">
      <c r="K15">
        <v>0.4</v>
      </c>
      <c r="L15" t="s">
        <v>88</v>
      </c>
    </row>
    <row r="16" spans="1:14" x14ac:dyDescent="0.2">
      <c r="K16" s="22">
        <f>K15/K6</f>
        <v>0.76923076923076927</v>
      </c>
      <c r="L16" t="s">
        <v>86</v>
      </c>
    </row>
    <row r="17" spans="5:12" x14ac:dyDescent="0.2">
      <c r="I17" t="s">
        <v>84</v>
      </c>
      <c r="J17">
        <v>2.2000000000000002</v>
      </c>
      <c r="K17" t="s">
        <v>85</v>
      </c>
    </row>
    <row r="18" spans="5:12" x14ac:dyDescent="0.2">
      <c r="G18" t="s">
        <v>82</v>
      </c>
      <c r="H18" t="s">
        <v>86</v>
      </c>
    </row>
    <row r="19" spans="5:12" x14ac:dyDescent="0.2">
      <c r="F19" t="s">
        <v>81</v>
      </c>
      <c r="G19" s="23">
        <f>[1]NRL12!$W$10</f>
        <v>604.96203955781107</v>
      </c>
      <c r="H19" s="2">
        <f>G19/J17/1000</f>
        <v>0.27498274525355049</v>
      </c>
      <c r="I19" s="18">
        <f>H19/H20</f>
        <v>0.48845730381763525</v>
      </c>
    </row>
    <row r="20" spans="5:12" x14ac:dyDescent="0.2">
      <c r="F20" t="s">
        <v>83</v>
      </c>
      <c r="G20" s="23">
        <f>[2]US10!$U$6</f>
        <v>1238.5156999999999</v>
      </c>
      <c r="H20" s="2">
        <f>G20/J17/1000</f>
        <v>0.56296168181818174</v>
      </c>
    </row>
    <row r="21" spans="5:12" x14ac:dyDescent="0.2">
      <c r="H21" s="25"/>
    </row>
    <row r="26" spans="5:12" x14ac:dyDescent="0.2">
      <c r="G26" s="22">
        <f>G3-H3</f>
        <v>8.0000000000000016E-2</v>
      </c>
      <c r="H26" s="24">
        <f>H3/G3</f>
        <v>0.84615384615384615</v>
      </c>
      <c r="J26" s="26">
        <f>$H$20*K3</f>
        <v>0.11259233636363636</v>
      </c>
      <c r="K26" s="26">
        <f>$H$19*K3</f>
        <v>5.4996549050710102E-2</v>
      </c>
      <c r="L26" s="2">
        <f>J26-K26</f>
        <v>5.7595787312926257E-2</v>
      </c>
    </row>
    <row r="27" spans="5:12" x14ac:dyDescent="0.2">
      <c r="G27" s="22">
        <f t="shared" ref="G27:G34" si="0">G4-H4</f>
        <v>0.19000000000000006</v>
      </c>
      <c r="H27" s="24">
        <f t="shared" ref="H27:H34" si="1">H4/G4</f>
        <v>0.75324675324675316</v>
      </c>
      <c r="J27" s="26">
        <f t="shared" ref="J27:J34" si="2">$H$20*K4</f>
        <v>0.2702216072727272</v>
      </c>
      <c r="K27" s="26">
        <f t="shared" ref="K27:K34" si="3">$H$19*K4</f>
        <v>0.13199171772170423</v>
      </c>
      <c r="L27" s="2">
        <f t="shared" ref="L27:L35" si="4">J27-K27</f>
        <v>0.13822988955102297</v>
      </c>
    </row>
    <row r="28" spans="5:12" x14ac:dyDescent="0.2">
      <c r="G28" s="22">
        <f t="shared" si="0"/>
        <v>0.20000000000000007</v>
      </c>
      <c r="H28" s="24">
        <f t="shared" si="1"/>
        <v>0.78260869565217384</v>
      </c>
      <c r="J28" s="26">
        <f t="shared" si="2"/>
        <v>0.28711045772727267</v>
      </c>
      <c r="K28" s="26">
        <f t="shared" si="3"/>
        <v>0.14024120007931076</v>
      </c>
      <c r="L28" s="2">
        <f t="shared" si="4"/>
        <v>0.14686925764796191</v>
      </c>
    </row>
    <row r="29" spans="5:12" x14ac:dyDescent="0.2">
      <c r="G29" s="22">
        <f t="shared" si="0"/>
        <v>0.17000000000000004</v>
      </c>
      <c r="H29" s="24">
        <f t="shared" si="1"/>
        <v>0.83</v>
      </c>
      <c r="J29" s="26">
        <f t="shared" si="2"/>
        <v>0.29274007454545453</v>
      </c>
      <c r="K29" s="26">
        <f t="shared" si="3"/>
        <v>0.14299102753184625</v>
      </c>
      <c r="L29" s="2">
        <f t="shared" si="4"/>
        <v>0.14974904701360828</v>
      </c>
    </row>
    <row r="30" spans="5:12" x14ac:dyDescent="0.2">
      <c r="G30" s="22">
        <f t="shared" si="0"/>
        <v>0.22999999999999998</v>
      </c>
      <c r="H30" s="24">
        <f t="shared" si="1"/>
        <v>0.76041666666666663</v>
      </c>
      <c r="J30" s="26">
        <f t="shared" si="2"/>
        <v>0.32088815863636355</v>
      </c>
      <c r="K30" s="26">
        <f t="shared" si="3"/>
        <v>0.15674016479452377</v>
      </c>
      <c r="L30" s="2">
        <f t="shared" si="4"/>
        <v>0.16414799384183978</v>
      </c>
    </row>
    <row r="31" spans="5:12" x14ac:dyDescent="0.2">
      <c r="E31" s="4"/>
      <c r="F31" s="4"/>
      <c r="G31" s="22">
        <f t="shared" si="0"/>
        <v>0.22000000000000008</v>
      </c>
      <c r="H31" s="24">
        <f t="shared" si="1"/>
        <v>0.79999999999999993</v>
      </c>
      <c r="J31" s="26">
        <f t="shared" si="2"/>
        <v>0.36592509318181815</v>
      </c>
      <c r="K31" s="26">
        <f t="shared" si="3"/>
        <v>0.17873878441480781</v>
      </c>
      <c r="L31" s="2">
        <f t="shared" si="4"/>
        <v>0.18718630876701034</v>
      </c>
    </row>
    <row r="32" spans="5:12" x14ac:dyDescent="0.2">
      <c r="E32" s="4"/>
      <c r="F32" s="4"/>
      <c r="G32" s="22">
        <f t="shared" si="0"/>
        <v>0.2400000000000001</v>
      </c>
      <c r="H32" s="24">
        <f t="shared" si="1"/>
        <v>0.78181818181818175</v>
      </c>
      <c r="J32" s="26">
        <f t="shared" si="2"/>
        <v>0.36029547636363629</v>
      </c>
      <c r="K32" s="26">
        <f t="shared" si="3"/>
        <v>0.17598895696227232</v>
      </c>
      <c r="L32" s="2">
        <f t="shared" si="4"/>
        <v>0.18430651940136397</v>
      </c>
    </row>
    <row r="33" spans="1:14" x14ac:dyDescent="0.2">
      <c r="E33" s="4"/>
      <c r="F33" s="4"/>
      <c r="G33" s="22">
        <f t="shared" si="0"/>
        <v>0.60000000000000009</v>
      </c>
      <c r="H33" s="24">
        <f t="shared" si="1"/>
        <v>0.66666666666666663</v>
      </c>
      <c r="J33" s="26">
        <f t="shared" si="2"/>
        <v>0.8444425227272726</v>
      </c>
      <c r="K33" s="26">
        <f t="shared" si="3"/>
        <v>0.41247411788032573</v>
      </c>
      <c r="L33" s="2">
        <f t="shared" si="4"/>
        <v>0.43196840484694687</v>
      </c>
    </row>
    <row r="34" spans="1:14" x14ac:dyDescent="0.2">
      <c r="E34" s="4"/>
      <c r="F34" s="4"/>
      <c r="G34" s="22">
        <f t="shared" si="0"/>
        <v>0.60000000000000009</v>
      </c>
      <c r="H34" s="24">
        <f t="shared" si="1"/>
        <v>0.66666666666666663</v>
      </c>
      <c r="J34" s="26">
        <f t="shared" si="2"/>
        <v>0.78814635454545434</v>
      </c>
      <c r="K34" s="26">
        <f t="shared" si="3"/>
        <v>0.38497584335497065</v>
      </c>
      <c r="L34" s="2">
        <f t="shared" si="4"/>
        <v>0.40317051119048369</v>
      </c>
    </row>
    <row r="35" spans="1:14" x14ac:dyDescent="0.2">
      <c r="E35" s="4"/>
      <c r="F35" s="4"/>
      <c r="G35" s="22"/>
      <c r="H35" s="24"/>
      <c r="K35">
        <f t="shared" ref="K35" si="5">$H$44*K12</f>
        <v>0</v>
      </c>
      <c r="L35" s="2">
        <f t="shared" si="4"/>
        <v>0</v>
      </c>
    </row>
    <row r="36" spans="1:14" x14ac:dyDescent="0.2">
      <c r="E36" s="4"/>
      <c r="F36" s="4"/>
    </row>
    <row r="37" spans="1:14" x14ac:dyDescent="0.2">
      <c r="E37" s="4"/>
      <c r="F37" s="4"/>
    </row>
    <row r="38" spans="1:14" x14ac:dyDescent="0.2">
      <c r="E38" s="4"/>
      <c r="F38" s="4"/>
    </row>
    <row r="39" spans="1:14" s="7" customFormat="1" x14ac:dyDescent="0.2">
      <c r="A39" s="5" t="s">
        <v>2</v>
      </c>
      <c r="B39" s="5" t="s">
        <v>36</v>
      </c>
      <c r="C39" s="5" t="s">
        <v>27</v>
      </c>
      <c r="D39" s="5" t="s">
        <v>3</v>
      </c>
      <c r="E39" s="5" t="s">
        <v>78</v>
      </c>
      <c r="F39" s="5" t="s">
        <v>77</v>
      </c>
      <c r="G39" s="5" t="s">
        <v>20</v>
      </c>
      <c r="H39" s="5" t="s">
        <v>23</v>
      </c>
      <c r="I39" s="5" t="s">
        <v>4</v>
      </c>
      <c r="J39" s="5" t="s">
        <v>5</v>
      </c>
      <c r="K39" s="5" t="s">
        <v>24</v>
      </c>
      <c r="L39" s="5" t="s">
        <v>16</v>
      </c>
      <c r="M39" s="5" t="s">
        <v>17</v>
      </c>
      <c r="N39" s="5" t="s">
        <v>1</v>
      </c>
    </row>
    <row r="40" spans="1:14" s="7" customFormat="1" x14ac:dyDescent="0.2">
      <c r="A40" s="6" t="s">
        <v>0</v>
      </c>
      <c r="C40" s="6"/>
      <c r="D40" s="5"/>
      <c r="E40" s="6" t="s">
        <v>56</v>
      </c>
      <c r="F40" s="6" t="s">
        <v>76</v>
      </c>
      <c r="G40" s="6" t="s">
        <v>21</v>
      </c>
      <c r="H40" s="6" t="s">
        <v>21</v>
      </c>
      <c r="I40" s="6" t="s">
        <v>22</v>
      </c>
      <c r="J40" s="6" t="s">
        <v>22</v>
      </c>
      <c r="K40" s="6" t="s">
        <v>25</v>
      </c>
      <c r="L40" s="6" t="s">
        <v>26</v>
      </c>
      <c r="M40" s="6" t="s">
        <v>26</v>
      </c>
      <c r="N40" s="5"/>
    </row>
    <row r="41" spans="1:14" x14ac:dyDescent="0.2">
      <c r="A41" t="s">
        <v>40</v>
      </c>
      <c r="B41" t="s">
        <v>9</v>
      </c>
      <c r="C41">
        <v>3</v>
      </c>
      <c r="D41" t="s">
        <v>19</v>
      </c>
      <c r="E41" s="1">
        <v>0.84</v>
      </c>
      <c r="F41" s="1">
        <f>E41*'Dollar Conversion'!$Q$4</f>
        <v>1.0384149432278993</v>
      </c>
      <c r="G41" s="2">
        <v>1</v>
      </c>
      <c r="H41" s="2">
        <v>0.83</v>
      </c>
      <c r="I41">
        <v>34</v>
      </c>
      <c r="J41">
        <v>4.8</v>
      </c>
      <c r="K41" s="2">
        <v>0.52</v>
      </c>
      <c r="L41">
        <v>0.11</v>
      </c>
      <c r="M41">
        <v>0.02</v>
      </c>
      <c r="N41" s="3" t="s">
        <v>15</v>
      </c>
    </row>
    <row r="42" spans="1:14" x14ac:dyDescent="0.2">
      <c r="F42" t="s">
        <v>89</v>
      </c>
      <c r="G42">
        <v>0.4</v>
      </c>
      <c r="H42" s="22">
        <f>H41-G43</f>
        <v>0.22999999999999998</v>
      </c>
    </row>
    <row r="43" spans="1:14" x14ac:dyDescent="0.2">
      <c r="F43" t="s">
        <v>90</v>
      </c>
      <c r="G43">
        <v>0.6</v>
      </c>
    </row>
    <row r="44" spans="1:14" x14ac:dyDescent="0.2">
      <c r="G44" s="22">
        <f>G42/K41</f>
        <v>0.76923076923076927</v>
      </c>
      <c r="H44" s="22">
        <f>H42/K41</f>
        <v>0.44230769230769224</v>
      </c>
      <c r="I44">
        <f>H44/G44</f>
        <v>0.57499999999999984</v>
      </c>
    </row>
  </sheetData>
  <hyperlinks>
    <hyperlink ref="N3" r:id="rId1" display="EPA LCA" xr:uid="{C2C7D3A5-8E65-5C4D-8004-18AB49B72F91}"/>
    <hyperlink ref="N4" r:id="rId2" display="EPA LCA" xr:uid="{B5C0E1DB-19A7-F84C-91BA-907DC0B3CA24}"/>
    <hyperlink ref="N5" r:id="rId3" display="EPA LCA" xr:uid="{5CB5CFDC-866F-B943-9D82-788C723EC417}"/>
    <hyperlink ref="N6" r:id="rId4" display="EPA LCA" xr:uid="{AB84B8DC-47AC-3E46-92C7-F9F75AAA934B}"/>
    <hyperlink ref="N7" r:id="rId5" display="EPA LCA" xr:uid="{7DA4A018-6C82-E04B-AE38-769BC38A5E98}"/>
    <hyperlink ref="N8" r:id="rId6" display="EPA LCA" xr:uid="{5776F51D-BB25-DD4B-8040-AFD23C6447F3}"/>
    <hyperlink ref="N9" r:id="rId7" display="EPA LCA" xr:uid="{88F52ACF-A536-6D4B-89B6-31FD250D1DE5}"/>
    <hyperlink ref="N10" r:id="rId8" display="EPA LCA" xr:uid="{6809BFBA-2A6D-4A48-8E95-5D65FF9B1241}"/>
    <hyperlink ref="N11" r:id="rId9" display="EPA LCA" xr:uid="{C715F452-73A8-3C40-A2FF-7FEC1916A5CD}"/>
    <hyperlink ref="N41" r:id="rId10" display="EPA LCA" xr:uid="{B85AF98F-F52E-4D42-8E98-DF396E7F405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6198-ABF3-D045-9C6D-48134041DFF9}">
  <sheetPr>
    <tabColor rgb="FF92D050"/>
  </sheetPr>
  <dimension ref="A1:D15"/>
  <sheetViews>
    <sheetView workbookViewId="0">
      <selection activeCell="AE29" sqref="AE29"/>
    </sheetView>
  </sheetViews>
  <sheetFormatPr baseColWidth="10" defaultRowHeight="16" x14ac:dyDescent="0.2"/>
  <cols>
    <col min="1" max="1" width="18" bestFit="1" customWidth="1"/>
    <col min="3" max="3" width="15.6640625" bestFit="1" customWidth="1"/>
    <col min="4" max="4" width="15.33203125" bestFit="1" customWidth="1"/>
  </cols>
  <sheetData>
    <row r="1" spans="1:4" x14ac:dyDescent="0.2">
      <c r="A1" t="s">
        <v>262</v>
      </c>
      <c r="B1" t="s">
        <v>263</v>
      </c>
      <c r="C1" s="6" t="s">
        <v>93</v>
      </c>
      <c r="D1" s="6" t="s">
        <v>95</v>
      </c>
    </row>
    <row r="2" spans="1:4" x14ac:dyDescent="0.2">
      <c r="A2" t="str">
        <f>'Green Water Treatment Illinois'!A3</f>
        <v>Buffers</v>
      </c>
      <c r="B2" t="s">
        <v>53</v>
      </c>
      <c r="C2" s="22">
        <f>'Green Water Treatment Illinois'!K3</f>
        <v>0.10025753474610297</v>
      </c>
      <c r="D2" s="22">
        <f>'Green Water Treatment Illinois'!L3</f>
        <v>2.6548241406006943</v>
      </c>
    </row>
    <row r="3" spans="1:4" x14ac:dyDescent="0.2">
      <c r="A3" t="str">
        <f>'Green Water Treatment Illinois'!A4</f>
        <v>Bioreactors</v>
      </c>
      <c r="B3" t="s">
        <v>53</v>
      </c>
      <c r="C3" s="22">
        <f>'Green Water Treatment Illinois'!K4</f>
        <v>0.69556447643512431</v>
      </c>
      <c r="D3" s="22">
        <f>'Green Water Treatment Illinois'!L4</f>
        <v>0</v>
      </c>
    </row>
    <row r="4" spans="1:4" x14ac:dyDescent="0.2">
      <c r="A4" t="str">
        <f>'Green Water Treatment Illinois'!A5</f>
        <v>Wetland</v>
      </c>
      <c r="B4" t="s">
        <v>53</v>
      </c>
      <c r="C4" s="22">
        <f>'Green Water Treatment Illinois'!K5</f>
        <v>-3.8975548447566473</v>
      </c>
      <c r="D4" s="22">
        <f>'Green Water Treatment Illinois'!L5</f>
        <v>0</v>
      </c>
    </row>
    <row r="5" spans="1:4" x14ac:dyDescent="0.2">
      <c r="A5" t="str">
        <f>'Green Water Treatment Illinois'!A6</f>
        <v>N Rate Reduction</v>
      </c>
      <c r="B5" t="s">
        <v>53</v>
      </c>
      <c r="C5" s="22">
        <f>'Green Water Treatment Illinois'!K6</f>
        <v>-9.2071428571428573</v>
      </c>
      <c r="D5" s="22">
        <f>'Green Water Treatment Illinois'!L6</f>
        <v>-105.71966386554621</v>
      </c>
    </row>
    <row r="6" spans="1:4" x14ac:dyDescent="0.2">
      <c r="A6" t="str">
        <f>'Green Water Treatment Illinois'!A7</f>
        <v>Split N Application</v>
      </c>
      <c r="B6" t="s">
        <v>53</v>
      </c>
      <c r="C6" s="22">
        <f>'Green Water Treatment Illinois'!K7</f>
        <v>11.102512533037871</v>
      </c>
      <c r="D6" s="22">
        <f>'Green Water Treatment Illinois'!L7</f>
        <v>0</v>
      </c>
    </row>
    <row r="7" spans="1:4" x14ac:dyDescent="0.2">
      <c r="A7" t="str">
        <f>'Green Water Treatment Illinois'!A8</f>
        <v>Cover Crop</v>
      </c>
      <c r="B7" t="s">
        <v>53</v>
      </c>
      <c r="C7" s="22">
        <f>'Green Water Treatment Illinois'!K8</f>
        <v>0.55084444444444447</v>
      </c>
      <c r="D7" s="22">
        <f>'Green Water Treatment Illinois'!L8</f>
        <v>8.1035479307827316</v>
      </c>
    </row>
    <row r="8" spans="1:4" x14ac:dyDescent="0.2">
      <c r="A8" t="str">
        <f>'Gray Water Treatment Options'!B4</f>
        <v>Level 2-1, A2O</v>
      </c>
      <c r="B8" t="s">
        <v>19</v>
      </c>
      <c r="C8" s="22">
        <f>'Gray Water Treatment Options'!I4</f>
        <v>24.0625</v>
      </c>
      <c r="D8" s="22">
        <f>'Gray Water Treatment Options'!J4</f>
        <v>163.82978723404256</v>
      </c>
    </row>
    <row r="9" spans="1:4" x14ac:dyDescent="0.2">
      <c r="A9" t="str">
        <f>'Gray Water Treatment Options'!B5</f>
        <v>Level 2-2, AS3</v>
      </c>
      <c r="B9" t="s">
        <v>19</v>
      </c>
      <c r="C9" s="22">
        <f>'Gray Water Treatment Options'!I5</f>
        <v>28.75</v>
      </c>
      <c r="D9" s="22">
        <f>'Gray Water Treatment Options'!J5</f>
        <v>230</v>
      </c>
    </row>
    <row r="10" spans="1:4" x14ac:dyDescent="0.2">
      <c r="A10" t="str">
        <f>'Gray Water Treatment Options'!B6</f>
        <v>Level 3-1, B5</v>
      </c>
      <c r="B10" t="s">
        <v>19</v>
      </c>
      <c r="C10" s="22">
        <f>'Gray Water Treatment Options'!I6</f>
        <v>29.411764705882351</v>
      </c>
      <c r="D10" s="22">
        <f>'Gray Water Treatment Options'!J6</f>
        <v>208.33333333333334</v>
      </c>
    </row>
    <row r="11" spans="1:4" x14ac:dyDescent="0.2">
      <c r="A11" t="str">
        <f>'Gray Water Treatment Options'!B7</f>
        <v>Level 3-2, MUCT</v>
      </c>
      <c r="B11" t="s">
        <v>19</v>
      </c>
      <c r="C11" s="22">
        <f>'Gray Water Treatment Options'!I7</f>
        <v>28.235294117647054</v>
      </c>
      <c r="D11" s="22">
        <f>'Gray Water Treatment Options'!J7</f>
        <v>200</v>
      </c>
    </row>
    <row r="12" spans="1:4" x14ac:dyDescent="0.2">
      <c r="A12" t="str">
        <f>'Gray Water Treatment Options'!B8</f>
        <v>Level 4-1, B5/Denit</v>
      </c>
      <c r="B12" t="s">
        <v>19</v>
      </c>
      <c r="C12" s="22">
        <f>'Gray Water Treatment Options'!I8</f>
        <v>29.729729729729733</v>
      </c>
      <c r="D12" s="22">
        <f>'Gray Water Treatment Options'!J8</f>
        <v>224.48979591836732</v>
      </c>
    </row>
    <row r="13" spans="1:4" x14ac:dyDescent="0.2">
      <c r="A13" t="str">
        <f>'Gray Water Treatment Options'!B9</f>
        <v>Level 4-2, MBR</v>
      </c>
      <c r="B13" t="s">
        <v>19</v>
      </c>
      <c r="C13" s="22">
        <f>'Gray Water Treatment Options'!I9</f>
        <v>29.729729729729733</v>
      </c>
      <c r="D13" s="22">
        <f>'Gray Water Treatment Options'!J9</f>
        <v>224.48979591836732</v>
      </c>
    </row>
    <row r="14" spans="1:4" x14ac:dyDescent="0.2">
      <c r="A14" t="str">
        <f>'Gray Water Treatment Options'!B10</f>
        <v>Level 5-1, B5/RO</v>
      </c>
      <c r="B14" t="s">
        <v>19</v>
      </c>
      <c r="C14" s="22">
        <f>'Gray Water Treatment Options'!I10</f>
        <v>46.153846153846153</v>
      </c>
      <c r="D14" s="22">
        <f>'Gray Water Treatment Options'!J10</f>
        <v>360</v>
      </c>
    </row>
    <row r="15" spans="1:4" x14ac:dyDescent="0.2">
      <c r="A15" t="str">
        <f>'Gray Water Treatment Options'!B11</f>
        <v>Level 5-2, MBR/RO</v>
      </c>
      <c r="B15" t="s">
        <v>19</v>
      </c>
      <c r="C15" s="22">
        <f>'Gray Water Treatment Options'!I11</f>
        <v>47.368421052631582</v>
      </c>
      <c r="D15" s="22">
        <f>'Gray Water Treatment Options'!J11</f>
        <v>360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AE66-1A7C-8146-9FE9-E0CD9DA16BE9}">
  <sheetPr>
    <tabColor theme="7" tint="0.59999389629810485"/>
  </sheetPr>
  <dimension ref="A1:S13"/>
  <sheetViews>
    <sheetView workbookViewId="0">
      <selection activeCell="Q4" sqref="Q4"/>
    </sheetView>
  </sheetViews>
  <sheetFormatPr baseColWidth="10" defaultRowHeight="16" x14ac:dyDescent="0.2"/>
  <cols>
    <col min="17" max="17" width="13.5" bestFit="1" customWidth="1"/>
  </cols>
  <sheetData>
    <row r="1" spans="1:19" x14ac:dyDescent="0.2">
      <c r="A1" t="s">
        <v>73</v>
      </c>
    </row>
    <row r="2" spans="1:19" ht="18" x14ac:dyDescent="0.2">
      <c r="A2" s="19" t="s">
        <v>57</v>
      </c>
      <c r="B2" s="19" t="s">
        <v>58</v>
      </c>
      <c r="C2" s="19" t="s">
        <v>59</v>
      </c>
      <c r="D2" s="19" t="s">
        <v>60</v>
      </c>
      <c r="E2" s="19" t="s">
        <v>61</v>
      </c>
      <c r="F2" s="19" t="s">
        <v>62</v>
      </c>
      <c r="G2" s="19" t="s">
        <v>63</v>
      </c>
      <c r="H2" s="19" t="s">
        <v>64</v>
      </c>
      <c r="I2" s="19" t="s">
        <v>65</v>
      </c>
      <c r="J2" s="19" t="s">
        <v>66</v>
      </c>
      <c r="K2" s="19" t="s">
        <v>67</v>
      </c>
      <c r="L2" s="19" t="s">
        <v>68</v>
      </c>
      <c r="M2" s="19" t="s">
        <v>69</v>
      </c>
      <c r="N2" s="19" t="s">
        <v>70</v>
      </c>
      <c r="O2" s="19" t="s">
        <v>71</v>
      </c>
      <c r="P2" s="19" t="s">
        <v>72</v>
      </c>
      <c r="Q2" s="19" t="s">
        <v>74</v>
      </c>
    </row>
    <row r="3" spans="1:19" ht="18" x14ac:dyDescent="0.2">
      <c r="A3" s="19">
        <v>2013</v>
      </c>
      <c r="B3" s="20">
        <v>230.28</v>
      </c>
      <c r="C3" s="20">
        <v>232.166</v>
      </c>
      <c r="D3" s="20">
        <v>232.773</v>
      </c>
      <c r="E3" s="20">
        <v>232.53100000000001</v>
      </c>
      <c r="F3" s="20">
        <v>232.94499999999999</v>
      </c>
      <c r="G3" s="20">
        <v>233.50399999999999</v>
      </c>
      <c r="H3" s="20">
        <v>233.596</v>
      </c>
      <c r="I3" s="20">
        <v>233.87700000000001</v>
      </c>
      <c r="J3" s="20">
        <v>234.149</v>
      </c>
      <c r="K3" s="20">
        <v>233.54599999999999</v>
      </c>
      <c r="L3" s="20">
        <v>233.06899999999999</v>
      </c>
      <c r="M3" s="20">
        <v>233.04900000000001</v>
      </c>
      <c r="N3" s="20">
        <v>232.95699999999999</v>
      </c>
      <c r="O3" s="20">
        <v>232.36600000000001</v>
      </c>
      <c r="P3" s="20">
        <v>233.548</v>
      </c>
      <c r="Q3" s="21">
        <f t="shared" ref="Q3:Q11" si="0">$N$12/N3</f>
        <v>1.2562618852406238</v>
      </c>
    </row>
    <row r="4" spans="1:19" ht="18" x14ac:dyDescent="0.2">
      <c r="A4" s="19">
        <v>2014</v>
      </c>
      <c r="B4" s="20">
        <v>233.916</v>
      </c>
      <c r="C4" s="20">
        <v>234.78100000000001</v>
      </c>
      <c r="D4" s="20">
        <v>236.29300000000001</v>
      </c>
      <c r="E4" s="20">
        <v>237.072</v>
      </c>
      <c r="F4" s="20">
        <v>237.9</v>
      </c>
      <c r="G4" s="20">
        <v>238.34299999999999</v>
      </c>
      <c r="H4" s="20">
        <v>238.25</v>
      </c>
      <c r="I4" s="20">
        <v>237.852</v>
      </c>
      <c r="J4" s="20">
        <v>238.03100000000001</v>
      </c>
      <c r="K4" s="20">
        <v>237.43299999999999</v>
      </c>
      <c r="L4" s="20">
        <v>236.15100000000001</v>
      </c>
      <c r="M4" s="20">
        <v>234.81200000000001</v>
      </c>
      <c r="N4" s="20">
        <v>236.73599999999999</v>
      </c>
      <c r="O4" s="20">
        <v>236.38399999999999</v>
      </c>
      <c r="P4" s="20">
        <v>237.08799999999999</v>
      </c>
      <c r="Q4" s="21">
        <f t="shared" si="0"/>
        <v>1.2362082657474993</v>
      </c>
      <c r="S4" s="20">
        <v>12.4</v>
      </c>
    </row>
    <row r="5" spans="1:19" ht="18" x14ac:dyDescent="0.2">
      <c r="A5" s="19">
        <v>2015</v>
      </c>
      <c r="B5" s="20">
        <v>233.70699999999999</v>
      </c>
      <c r="C5" s="20">
        <v>234.72200000000001</v>
      </c>
      <c r="D5" s="20">
        <v>236.119</v>
      </c>
      <c r="E5" s="20">
        <v>236.59899999999999</v>
      </c>
      <c r="F5" s="20">
        <v>237.80500000000001</v>
      </c>
      <c r="G5" s="20">
        <v>238.63800000000001</v>
      </c>
      <c r="H5" s="20">
        <v>238.654</v>
      </c>
      <c r="I5" s="20">
        <v>238.316</v>
      </c>
      <c r="J5" s="20">
        <v>237.94499999999999</v>
      </c>
      <c r="K5" s="20">
        <v>237.83799999999999</v>
      </c>
      <c r="L5" s="20">
        <v>237.33600000000001</v>
      </c>
      <c r="M5" s="20">
        <v>236.52500000000001</v>
      </c>
      <c r="N5" s="20">
        <v>237.017</v>
      </c>
      <c r="O5" s="20">
        <v>236.26499999999999</v>
      </c>
      <c r="P5" s="20">
        <v>237.76900000000001</v>
      </c>
      <c r="Q5" s="21">
        <f t="shared" si="0"/>
        <v>1.2347426555901053</v>
      </c>
    </row>
    <row r="6" spans="1:19" ht="18" x14ac:dyDescent="0.2">
      <c r="A6" s="19">
        <v>2016</v>
      </c>
      <c r="B6" s="20">
        <v>236.916</v>
      </c>
      <c r="C6" s="20">
        <v>237.11099999999999</v>
      </c>
      <c r="D6" s="20">
        <v>238.13200000000001</v>
      </c>
      <c r="E6" s="20">
        <v>239.261</v>
      </c>
      <c r="F6" s="20">
        <v>240.22900000000001</v>
      </c>
      <c r="G6" s="20">
        <v>241.018</v>
      </c>
      <c r="H6" s="20">
        <v>240.62799999999999</v>
      </c>
      <c r="I6" s="20">
        <v>240.84899999999999</v>
      </c>
      <c r="J6" s="20">
        <v>241.428</v>
      </c>
      <c r="K6" s="20">
        <v>241.72900000000001</v>
      </c>
      <c r="L6" s="20">
        <v>241.35300000000001</v>
      </c>
      <c r="M6" s="20">
        <v>241.43199999999999</v>
      </c>
      <c r="N6" s="20">
        <v>240.00700000000001</v>
      </c>
      <c r="O6" s="20">
        <v>238.77799999999999</v>
      </c>
      <c r="P6" s="20">
        <v>241.23699999999999</v>
      </c>
      <c r="Q6" s="21">
        <f t="shared" si="0"/>
        <v>1.2193602686588307</v>
      </c>
    </row>
    <row r="7" spans="1:19" ht="18" x14ac:dyDescent="0.2">
      <c r="A7" s="19">
        <v>2017</v>
      </c>
      <c r="B7" s="20">
        <v>242.839</v>
      </c>
      <c r="C7" s="20">
        <v>243.60300000000001</v>
      </c>
      <c r="D7" s="20">
        <v>243.80099999999999</v>
      </c>
      <c r="E7" s="20">
        <v>244.524</v>
      </c>
      <c r="F7" s="20">
        <v>244.733</v>
      </c>
      <c r="G7" s="20">
        <v>244.95500000000001</v>
      </c>
      <c r="H7" s="20">
        <v>244.786</v>
      </c>
      <c r="I7" s="20">
        <v>245.51900000000001</v>
      </c>
      <c r="J7" s="20">
        <v>246.81899999999999</v>
      </c>
      <c r="K7" s="20">
        <v>246.66300000000001</v>
      </c>
      <c r="L7" s="20">
        <v>246.66900000000001</v>
      </c>
      <c r="M7" s="20">
        <v>246.524</v>
      </c>
      <c r="N7" s="20">
        <v>245.12</v>
      </c>
      <c r="O7" s="20">
        <v>244.07599999999999</v>
      </c>
      <c r="P7" s="20">
        <v>246.16300000000001</v>
      </c>
      <c r="Q7" s="21">
        <f t="shared" si="0"/>
        <v>1.1939254242819841</v>
      </c>
    </row>
    <row r="8" spans="1:19" ht="18" x14ac:dyDescent="0.2">
      <c r="A8" s="19">
        <v>2018</v>
      </c>
      <c r="B8" s="20">
        <v>247.86699999999999</v>
      </c>
      <c r="C8" s="20">
        <v>248.99100000000001</v>
      </c>
      <c r="D8" s="20">
        <v>249.554</v>
      </c>
      <c r="E8" s="20">
        <v>250.54599999999999</v>
      </c>
      <c r="F8" s="20">
        <v>251.58799999999999</v>
      </c>
      <c r="G8" s="20">
        <v>251.989</v>
      </c>
      <c r="H8" s="20">
        <v>252.006</v>
      </c>
      <c r="I8" s="20">
        <v>252.14599999999999</v>
      </c>
      <c r="J8" s="20">
        <v>252.43899999999999</v>
      </c>
      <c r="K8" s="20">
        <v>252.88499999999999</v>
      </c>
      <c r="L8" s="20">
        <v>252.03800000000001</v>
      </c>
      <c r="M8" s="20">
        <v>251.233</v>
      </c>
      <c r="N8" s="20">
        <v>251.107</v>
      </c>
      <c r="O8" s="20">
        <v>250.089</v>
      </c>
      <c r="P8" s="20">
        <v>252.125</v>
      </c>
      <c r="Q8" s="21">
        <f t="shared" si="0"/>
        <v>1.1654593460158418</v>
      </c>
    </row>
    <row r="9" spans="1:19" ht="18" x14ac:dyDescent="0.2">
      <c r="A9" s="19">
        <v>2019</v>
      </c>
      <c r="B9" s="20">
        <v>251.71199999999999</v>
      </c>
      <c r="C9" s="20">
        <v>252.77600000000001</v>
      </c>
      <c r="D9" s="20">
        <v>254.202</v>
      </c>
      <c r="E9" s="20">
        <v>255.548</v>
      </c>
      <c r="F9" s="20">
        <v>256.09199999999998</v>
      </c>
      <c r="G9" s="20">
        <v>256.14299999999997</v>
      </c>
      <c r="H9" s="20">
        <v>256.57100000000003</v>
      </c>
      <c r="I9" s="20">
        <v>256.55799999999999</v>
      </c>
      <c r="J9" s="20">
        <v>256.75900000000001</v>
      </c>
      <c r="K9" s="20">
        <v>257.346</v>
      </c>
      <c r="L9" s="20">
        <v>257.20800000000003</v>
      </c>
      <c r="M9" s="20">
        <v>256.97399999999999</v>
      </c>
      <c r="N9" s="20">
        <v>255.65700000000001</v>
      </c>
      <c r="O9" s="20">
        <v>254.41200000000001</v>
      </c>
      <c r="P9" s="20">
        <v>256.90300000000002</v>
      </c>
      <c r="Q9" s="21">
        <f t="shared" si="0"/>
        <v>1.1447173361183147</v>
      </c>
    </row>
    <row r="10" spans="1:19" ht="18" x14ac:dyDescent="0.2">
      <c r="A10" s="19">
        <v>2020</v>
      </c>
      <c r="B10" s="20">
        <v>257.971</v>
      </c>
      <c r="C10" s="20">
        <v>258.678</v>
      </c>
      <c r="D10" s="20">
        <v>258.11500000000001</v>
      </c>
      <c r="E10" s="20">
        <v>256.38900000000001</v>
      </c>
      <c r="F10" s="20">
        <v>256.39400000000001</v>
      </c>
      <c r="G10" s="20">
        <v>257.79700000000003</v>
      </c>
      <c r="H10" s="20">
        <v>259.101</v>
      </c>
      <c r="I10" s="20">
        <v>259.91800000000001</v>
      </c>
      <c r="J10" s="20">
        <v>260.27999999999997</v>
      </c>
      <c r="K10" s="20">
        <v>260.38799999999998</v>
      </c>
      <c r="L10" s="20">
        <v>260.22899999999998</v>
      </c>
      <c r="M10" s="20">
        <v>260.47399999999999</v>
      </c>
      <c r="N10" s="20">
        <v>258.81099999999998</v>
      </c>
      <c r="O10" s="20">
        <v>257.55700000000002</v>
      </c>
      <c r="P10" s="20">
        <v>260.065</v>
      </c>
      <c r="Q10" s="21">
        <f t="shared" si="0"/>
        <v>1.1307672394140897</v>
      </c>
    </row>
    <row r="11" spans="1:19" ht="18" x14ac:dyDescent="0.2">
      <c r="A11" s="19">
        <v>2021</v>
      </c>
      <c r="B11" s="20">
        <v>261.58199999999999</v>
      </c>
      <c r="C11" s="20">
        <v>263.01400000000001</v>
      </c>
      <c r="D11" s="20">
        <v>264.87700000000001</v>
      </c>
      <c r="E11" s="20">
        <v>267.05399999999997</v>
      </c>
      <c r="F11" s="20">
        <v>269.19499999999999</v>
      </c>
      <c r="G11" s="20">
        <v>271.69600000000003</v>
      </c>
      <c r="H11" s="20">
        <v>273.00299999999999</v>
      </c>
      <c r="I11" s="20">
        <v>273.56700000000001</v>
      </c>
      <c r="J11" s="20">
        <v>274.31</v>
      </c>
      <c r="K11" s="20">
        <v>276.589</v>
      </c>
      <c r="L11" s="20">
        <v>277.94799999999998</v>
      </c>
      <c r="M11" s="20">
        <v>278.80200000000002</v>
      </c>
      <c r="N11" s="20">
        <v>270.97000000000003</v>
      </c>
      <c r="O11" s="20">
        <v>266.23599999999999</v>
      </c>
      <c r="P11" s="20">
        <v>275.70299999999997</v>
      </c>
      <c r="Q11" s="21">
        <f t="shared" si="0"/>
        <v>1.0800273092962318</v>
      </c>
    </row>
    <row r="12" spans="1:19" ht="18" x14ac:dyDescent="0.2">
      <c r="A12" s="19">
        <v>2022</v>
      </c>
      <c r="B12" s="20">
        <v>281.14800000000002</v>
      </c>
      <c r="C12" s="20">
        <v>283.71600000000001</v>
      </c>
      <c r="D12" s="20">
        <v>287.50400000000002</v>
      </c>
      <c r="E12" s="20">
        <v>289.10899999999998</v>
      </c>
      <c r="F12" s="20">
        <v>292.29599999999999</v>
      </c>
      <c r="G12" s="20">
        <v>296.31099999999998</v>
      </c>
      <c r="H12" s="20">
        <v>296.27600000000001</v>
      </c>
      <c r="I12" s="20">
        <v>296.17099999999999</v>
      </c>
      <c r="J12" s="20">
        <v>296.80799999999999</v>
      </c>
      <c r="K12" s="20">
        <v>298.012</v>
      </c>
      <c r="L12" s="20">
        <v>297.71100000000001</v>
      </c>
      <c r="M12" s="20">
        <v>296.79700000000003</v>
      </c>
      <c r="N12" s="20">
        <v>292.65499999999997</v>
      </c>
      <c r="O12" s="20">
        <v>288.34699999999998</v>
      </c>
      <c r="P12" s="20">
        <v>296.96300000000002</v>
      </c>
      <c r="Q12" s="21">
        <f>$N$12/N12</f>
        <v>1</v>
      </c>
    </row>
    <row r="13" spans="1:19" ht="18" x14ac:dyDescent="0.2">
      <c r="A13" s="19">
        <v>2023</v>
      </c>
      <c r="B13" s="20">
        <v>299.17</v>
      </c>
      <c r="C13" s="20">
        <v>300.83999999999997</v>
      </c>
      <c r="D13" s="20">
        <v>301.83600000000001</v>
      </c>
      <c r="E13" s="20">
        <v>303.363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AC2C-AF32-E849-BD8D-5D7513E51D6B}">
  <sheetPr>
    <tabColor theme="9" tint="0.59999389629810485"/>
  </sheetPr>
  <dimension ref="A1:P17"/>
  <sheetViews>
    <sheetView workbookViewId="0">
      <selection activeCell="C25" sqref="C25"/>
    </sheetView>
  </sheetViews>
  <sheetFormatPr baseColWidth="10" defaultRowHeight="16" x14ac:dyDescent="0.2"/>
  <cols>
    <col min="1" max="1" width="83.6640625" bestFit="1" customWidth="1"/>
    <col min="2" max="2" width="17" bestFit="1" customWidth="1"/>
    <col min="5" max="5" width="18.83203125" bestFit="1" customWidth="1"/>
    <col min="6" max="6" width="18.1640625" bestFit="1" customWidth="1"/>
    <col min="7" max="7" width="22.5" bestFit="1" customWidth="1"/>
    <col min="8" max="8" width="21.83203125" bestFit="1" customWidth="1"/>
    <col min="9" max="9" width="20.83203125" bestFit="1" customWidth="1"/>
    <col min="10" max="10" width="20.5" bestFit="1" customWidth="1"/>
    <col min="16" max="16" width="12.1640625" bestFit="1" customWidth="1"/>
  </cols>
  <sheetData>
    <row r="1" spans="1:16" x14ac:dyDescent="0.2">
      <c r="A1" t="s">
        <v>284</v>
      </c>
      <c r="B1" t="s">
        <v>285</v>
      </c>
      <c r="C1" t="s">
        <v>3</v>
      </c>
      <c r="D1" t="s">
        <v>302</v>
      </c>
      <c r="E1" s="27" t="s">
        <v>286</v>
      </c>
      <c r="F1" s="27" t="s">
        <v>287</v>
      </c>
      <c r="G1" s="22" t="s">
        <v>288</v>
      </c>
      <c r="H1" s="22" t="s">
        <v>289</v>
      </c>
      <c r="I1" t="s">
        <v>300</v>
      </c>
      <c r="J1" t="s">
        <v>301</v>
      </c>
      <c r="K1" t="s">
        <v>283</v>
      </c>
      <c r="L1" t="str">
        <f>'Green Water Treatment Illinois'!U1</f>
        <v>Tile Drain</v>
      </c>
      <c r="M1" t="str">
        <f>'Green Water Treatment Illinois'!V1</f>
        <v>Buffer</v>
      </c>
      <c r="N1" t="str">
        <f>'Green Water Treatment Illinois'!W1</f>
        <v>Wetlands</v>
      </c>
      <c r="O1" t="str">
        <f>'Green Water Treatment Illinois'!X1</f>
        <v>Fertilizer</v>
      </c>
      <c r="P1" t="s">
        <v>299</v>
      </c>
    </row>
    <row r="2" spans="1:16" x14ac:dyDescent="0.2">
      <c r="A2" t="str">
        <f>'Gray Water Treatment Options'!A3</f>
        <v>Level 1: Conventional Plug Flow Activated Sludge</v>
      </c>
      <c r="B2" t="s">
        <v>290</v>
      </c>
      <c r="C2" t="str">
        <f>'Gray Water Treatment Options'!D3</f>
        <v>Gray</v>
      </c>
      <c r="D2" t="s">
        <v>18</v>
      </c>
      <c r="E2" s="27">
        <f>'Gray Water Treatment Options'!G3</f>
        <v>81.564256709113366</v>
      </c>
      <c r="F2" s="27">
        <f>'Gray Water Treatment Options'!H3</f>
        <v>13186.22150130666</v>
      </c>
      <c r="G2" s="22">
        <f>'Gray Water Treatment Options'!I3</f>
        <v>53.608247422680421</v>
      </c>
      <c r="H2" s="22">
        <f>'Gray Water Treatment Options'!J3</f>
        <v>8666.6666666666679</v>
      </c>
      <c r="I2">
        <f>'Gray Water Treatment Options'!M3</f>
        <v>9.6999999999999993</v>
      </c>
      <c r="J2">
        <f>'Gray Water Treatment Options'!N3</f>
        <v>0.06</v>
      </c>
      <c r="K2" t="str">
        <f>'Gray Water Treatment Options'!R3</f>
        <v>Yes</v>
      </c>
      <c r="L2" t="s">
        <v>249</v>
      </c>
      <c r="M2" t="s">
        <v>249</v>
      </c>
      <c r="N2" t="s">
        <v>249</v>
      </c>
      <c r="O2" t="s">
        <v>249</v>
      </c>
      <c r="P2" t="s">
        <v>18</v>
      </c>
    </row>
    <row r="3" spans="1:16" x14ac:dyDescent="0.2">
      <c r="A3" t="str">
        <f>'Gray Water Treatment Options'!A4</f>
        <v>Level 2-1: Anaerobic/Anoxic/Oxic</v>
      </c>
      <c r="B3" t="s">
        <v>291</v>
      </c>
      <c r="C3" t="str">
        <f>'Gray Water Treatment Options'!D4</f>
        <v>Gray</v>
      </c>
      <c r="D3" t="s">
        <v>18</v>
      </c>
      <c r="E3" s="27">
        <f>'Gray Water Treatment Options'!G4</f>
        <v>28.58731614541092</v>
      </c>
      <c r="F3" s="27">
        <f>'Gray Water Treatment Options'!H4</f>
        <v>194.63704609641476</v>
      </c>
      <c r="G3" s="22">
        <f>'Gray Water Treatment Options'!I4</f>
        <v>24.0625</v>
      </c>
      <c r="H3" s="22">
        <f>'Gray Water Treatment Options'!J4</f>
        <v>163.82978723404256</v>
      </c>
      <c r="I3">
        <f>'Gray Water Treatment Options'!M4</f>
        <v>32</v>
      </c>
      <c r="J3">
        <f>'Gray Water Treatment Options'!N4</f>
        <v>4.7</v>
      </c>
      <c r="K3" t="str">
        <f>'Gray Water Treatment Options'!R4</f>
        <v>Yes</v>
      </c>
      <c r="L3" t="s">
        <v>249</v>
      </c>
      <c r="M3" t="s">
        <v>249</v>
      </c>
      <c r="N3" t="s">
        <v>249</v>
      </c>
      <c r="O3" t="s">
        <v>249</v>
      </c>
      <c r="P3" t="s">
        <v>18</v>
      </c>
    </row>
    <row r="4" spans="1:16" x14ac:dyDescent="0.2">
      <c r="A4" t="str">
        <f>'Gray Water Treatment Options'!A5</f>
        <v>Level 2-2: Activated Sludge, 3-Sludge System</v>
      </c>
      <c r="B4" t="s">
        <v>292</v>
      </c>
      <c r="C4" t="str">
        <f>'Gray Water Treatment Options'!D5</f>
        <v>Gray</v>
      </c>
      <c r="D4" t="s">
        <v>18</v>
      </c>
      <c r="E4" s="27">
        <f>'Gray Water Treatment Options'!G5</f>
        <v>46.357809965531224</v>
      </c>
      <c r="F4" s="27">
        <f>'Gray Water Treatment Options'!H5</f>
        <v>370.86247972424979</v>
      </c>
      <c r="G4" s="22">
        <f>'Gray Water Treatment Options'!I5</f>
        <v>28.75</v>
      </c>
      <c r="H4" s="22">
        <f>'Gray Water Treatment Options'!J5</f>
        <v>230</v>
      </c>
      <c r="I4">
        <f>'Gray Water Treatment Options'!M5</f>
        <v>32</v>
      </c>
      <c r="J4">
        <f>'Gray Water Treatment Options'!N5</f>
        <v>4</v>
      </c>
      <c r="K4" t="str">
        <f>'Gray Water Treatment Options'!R5</f>
        <v>Yes</v>
      </c>
      <c r="L4" t="s">
        <v>249</v>
      </c>
      <c r="M4" t="s">
        <v>249</v>
      </c>
      <c r="N4" t="s">
        <v>249</v>
      </c>
      <c r="O4" t="s">
        <v>249</v>
      </c>
      <c r="P4" t="s">
        <v>18</v>
      </c>
    </row>
    <row r="5" spans="1:16" x14ac:dyDescent="0.2">
      <c r="A5" t="str">
        <f>'Gray Water Treatment Options'!A6</f>
        <v>Level 3-1: 5-Stage Bardenpho</v>
      </c>
      <c r="B5" t="s">
        <v>293</v>
      </c>
      <c r="C5" t="str">
        <f>'Gray Water Treatment Options'!D6</f>
        <v>Gray</v>
      </c>
      <c r="D5" t="s">
        <v>18</v>
      </c>
      <c r="E5" s="27">
        <f>'Gray Water Treatment Options'!G6</f>
        <v>30.541615977291155</v>
      </c>
      <c r="F5" s="27">
        <f>'Gray Water Treatment Options'!H6</f>
        <v>216.33644650581238</v>
      </c>
      <c r="G5" s="22">
        <f>'Gray Water Treatment Options'!I6</f>
        <v>29.411764705882351</v>
      </c>
      <c r="H5" s="22">
        <f>'Gray Water Treatment Options'!J6</f>
        <v>208.33333333333334</v>
      </c>
      <c r="I5">
        <f>'Gray Water Treatment Options'!M6</f>
        <v>34</v>
      </c>
      <c r="J5">
        <f>'Gray Water Treatment Options'!N6</f>
        <v>4.8</v>
      </c>
      <c r="K5" t="str">
        <f>'Gray Water Treatment Options'!R6</f>
        <v>Yes</v>
      </c>
      <c r="L5" t="s">
        <v>249</v>
      </c>
      <c r="M5" t="s">
        <v>249</v>
      </c>
      <c r="N5" t="s">
        <v>249</v>
      </c>
      <c r="O5" t="s">
        <v>249</v>
      </c>
      <c r="P5" t="s">
        <v>18</v>
      </c>
    </row>
    <row r="6" spans="1:16" x14ac:dyDescent="0.2">
      <c r="A6" t="str">
        <f>'Gray Water Treatment Options'!A7</f>
        <v>Level 3-2: Modified University of Cape Town Process</v>
      </c>
      <c r="B6" t="s">
        <v>294</v>
      </c>
      <c r="C6" t="str">
        <f>'Gray Water Treatment Options'!D7</f>
        <v>Gray</v>
      </c>
      <c r="D6" t="s">
        <v>18</v>
      </c>
      <c r="E6" s="27">
        <f>'Gray Water Treatment Options'!G7</f>
        <v>31.268797310083805</v>
      </c>
      <c r="F6" s="27">
        <f>'Gray Water Treatment Options'!H7</f>
        <v>221.48731427976031</v>
      </c>
      <c r="G6" s="22">
        <f>'Gray Water Treatment Options'!I7</f>
        <v>28.235294117647054</v>
      </c>
      <c r="H6" s="22">
        <f>'Gray Water Treatment Options'!J7</f>
        <v>200</v>
      </c>
      <c r="I6">
        <f>'Gray Water Treatment Options'!M7</f>
        <v>34</v>
      </c>
      <c r="J6">
        <f>'Gray Water Treatment Options'!N7</f>
        <v>4.8</v>
      </c>
      <c r="K6" t="str">
        <f>'Gray Water Treatment Options'!R7</f>
        <v>Yes</v>
      </c>
      <c r="L6" t="s">
        <v>249</v>
      </c>
      <c r="M6" t="s">
        <v>249</v>
      </c>
      <c r="N6" t="s">
        <v>249</v>
      </c>
      <c r="O6" t="s">
        <v>249</v>
      </c>
      <c r="P6" t="s">
        <v>18</v>
      </c>
    </row>
    <row r="7" spans="1:16" x14ac:dyDescent="0.2">
      <c r="A7" t="str">
        <f>'Gray Water Treatment Options'!A8</f>
        <v>Level 4-1: 5-Stage Bardenpho with Denitrification Filter</v>
      </c>
      <c r="B7" t="s">
        <v>295</v>
      </c>
      <c r="C7" t="str">
        <f>'Gray Water Treatment Options'!D8</f>
        <v>Gray</v>
      </c>
      <c r="D7" t="s">
        <v>18</v>
      </c>
      <c r="E7" s="27">
        <f>'Gray Water Treatment Options'!G8</f>
        <v>31.406372156828361</v>
      </c>
      <c r="F7" s="27">
        <f>'Gray Water Treatment Options'!H8</f>
        <v>237.15015710258146</v>
      </c>
      <c r="G7" s="22">
        <f>'Gray Water Treatment Options'!I8</f>
        <v>29.729729729729733</v>
      </c>
      <c r="H7" s="22">
        <f>'Gray Water Treatment Options'!J8</f>
        <v>224.48979591836732</v>
      </c>
      <c r="I7">
        <f>'Gray Water Treatment Options'!M8</f>
        <v>37</v>
      </c>
      <c r="J7">
        <f>'Gray Water Treatment Options'!N8</f>
        <v>4.9000000000000004</v>
      </c>
      <c r="K7" t="str">
        <f>'Gray Water Treatment Options'!R8</f>
        <v>Yes</v>
      </c>
      <c r="L7" t="s">
        <v>249</v>
      </c>
      <c r="M7" t="s">
        <v>249</v>
      </c>
      <c r="N7" t="s">
        <v>249</v>
      </c>
      <c r="O7" t="s">
        <v>249</v>
      </c>
      <c r="P7" t="s">
        <v>18</v>
      </c>
    </row>
    <row r="8" spans="1:16" x14ac:dyDescent="0.2">
      <c r="A8" t="str">
        <f>'Gray Water Treatment Options'!A9</f>
        <v>Level 4-2: 4-Stage Bardenpho Membrane Bioreactor</v>
      </c>
      <c r="B8" t="s">
        <v>296</v>
      </c>
      <c r="C8" t="str">
        <f>'Gray Water Treatment Options'!D9</f>
        <v>Gray</v>
      </c>
      <c r="D8" t="s">
        <v>18</v>
      </c>
      <c r="E8" s="27">
        <f>'Gray Water Treatment Options'!G9</f>
        <v>29.735820446358769</v>
      </c>
      <c r="F8" s="27">
        <f>'Gray Water Treatment Options'!H9</f>
        <v>224.53578704393351</v>
      </c>
      <c r="G8" s="22">
        <f>'Gray Water Treatment Options'!I9</f>
        <v>29.729729729729733</v>
      </c>
      <c r="H8" s="22">
        <f>'Gray Water Treatment Options'!J9</f>
        <v>224.48979591836732</v>
      </c>
      <c r="I8">
        <f>'Gray Water Treatment Options'!M9</f>
        <v>37</v>
      </c>
      <c r="J8">
        <f>'Gray Water Treatment Options'!N9</f>
        <v>4.9000000000000004</v>
      </c>
      <c r="K8" t="str">
        <f>'Gray Water Treatment Options'!R9</f>
        <v>Yes</v>
      </c>
      <c r="L8" t="s">
        <v>249</v>
      </c>
      <c r="M8" t="s">
        <v>249</v>
      </c>
      <c r="N8" t="s">
        <v>249</v>
      </c>
      <c r="O8" t="s">
        <v>249</v>
      </c>
      <c r="P8" t="s">
        <v>18</v>
      </c>
    </row>
    <row r="9" spans="1:16" x14ac:dyDescent="0.2">
      <c r="A9" t="str">
        <f>'Gray Water Treatment Options'!A10</f>
        <v>Level 5-1: 5-Stage Bardenpho with Sidestream Reverse Osmosis Treatment</v>
      </c>
      <c r="B9" t="s">
        <v>297</v>
      </c>
      <c r="C9" t="str">
        <f>'Gray Water Treatment Options'!D10</f>
        <v>Gray</v>
      </c>
      <c r="D9" t="s">
        <v>18</v>
      </c>
      <c r="E9" s="27">
        <f>'Gray Water Treatment Options'!G10</f>
        <v>44.376706975551258</v>
      </c>
      <c r="F9" s="27">
        <f>'Gray Water Treatment Options'!H10</f>
        <v>346.13831440929982</v>
      </c>
      <c r="G9" s="22">
        <f>'Gray Water Treatment Options'!I10</f>
        <v>46.153846153846153</v>
      </c>
      <c r="H9" s="22">
        <f>'Gray Water Treatment Options'!J10</f>
        <v>360</v>
      </c>
      <c r="I9">
        <f>'Gray Water Treatment Options'!M10</f>
        <v>39</v>
      </c>
      <c r="J9">
        <f>'Gray Water Treatment Options'!N10</f>
        <v>5</v>
      </c>
      <c r="K9" t="str">
        <f>'Gray Water Treatment Options'!R10</f>
        <v>Yes</v>
      </c>
      <c r="L9" t="s">
        <v>249</v>
      </c>
      <c r="M9" t="s">
        <v>249</v>
      </c>
      <c r="N9" t="s">
        <v>249</v>
      </c>
      <c r="O9" t="s">
        <v>249</v>
      </c>
      <c r="P9" t="s">
        <v>18</v>
      </c>
    </row>
    <row r="10" spans="1:16" x14ac:dyDescent="0.2">
      <c r="A10" t="str">
        <f>'Gray Water Treatment Options'!A11</f>
        <v>Level 5-2: 5-Stage Bardenpho Membrane Bioreactor with Sidestream Reverse Osmosis Treatment</v>
      </c>
      <c r="B10" t="s">
        <v>298</v>
      </c>
      <c r="C10" t="str">
        <f>'Gray Water Treatment Options'!D11</f>
        <v>Gray</v>
      </c>
      <c r="D10" t="s">
        <v>18</v>
      </c>
      <c r="E10" s="27">
        <f>'Gray Water Treatment Options'!G11</f>
        <v>42.291335407151294</v>
      </c>
      <c r="F10" s="27">
        <f>'Gray Water Treatment Options'!H11</f>
        <v>321.41414909434985</v>
      </c>
      <c r="G10" s="22">
        <f>'Gray Water Treatment Options'!I11</f>
        <v>47.368421052631582</v>
      </c>
      <c r="H10" s="22">
        <f>'Gray Water Treatment Options'!J11</f>
        <v>360</v>
      </c>
      <c r="I10">
        <f>'Gray Water Treatment Options'!M11</f>
        <v>38</v>
      </c>
      <c r="J10">
        <f>'Gray Water Treatment Options'!N11</f>
        <v>5</v>
      </c>
      <c r="K10" t="str">
        <f>'Gray Water Treatment Options'!R11</f>
        <v>Yes</v>
      </c>
      <c r="L10" t="s">
        <v>249</v>
      </c>
      <c r="M10" t="s">
        <v>249</v>
      </c>
      <c r="N10" t="s">
        <v>249</v>
      </c>
      <c r="O10" t="s">
        <v>249</v>
      </c>
      <c r="P10" t="s">
        <v>18</v>
      </c>
    </row>
    <row r="11" spans="1:16" x14ac:dyDescent="0.2">
      <c r="A11" t="str">
        <f>'Green Water Treatment Illinois'!A3</f>
        <v>Buffers</v>
      </c>
      <c r="B11" t="str">
        <f>'Green Water Treatment Illinois'!C3</f>
        <v>BU</v>
      </c>
      <c r="C11" t="str">
        <f>'Green Water Treatment Illinois'!F3</f>
        <v>Green</v>
      </c>
      <c r="D11" t="s">
        <v>280</v>
      </c>
      <c r="E11" s="27">
        <f>'Green Water Treatment Illinois'!I3</f>
        <v>1.9509764298541292</v>
      </c>
      <c r="F11" s="27">
        <f>'Green Water Treatment Illinois'!J3</f>
        <v>14.632323223905969</v>
      </c>
      <c r="G11" s="2">
        <f>'Green Water Treatment Illinois'!K3</f>
        <v>0.10025753474610297</v>
      </c>
      <c r="H11" s="2">
        <f>'Green Water Treatment Illinois'!L3</f>
        <v>2.6548241406006943</v>
      </c>
      <c r="I11" s="29">
        <f>'Green Water Treatment Illinois'!O3</f>
        <v>0.9</v>
      </c>
      <c r="J11" s="29">
        <f>'Green Water Treatment Illinois'!P3</f>
        <v>0.5</v>
      </c>
      <c r="K11" t="str">
        <f>'Green Water Treatment Illinois'!T3</f>
        <v>No</v>
      </c>
      <c r="L11" t="str">
        <f>'Green Water Treatment Illinois'!U3</f>
        <v>Yes</v>
      </c>
      <c r="M11" t="str">
        <f>'Green Water Treatment Illinois'!V3</f>
        <v>Yes</v>
      </c>
      <c r="N11" t="str">
        <f>'Green Water Treatment Illinois'!W3</f>
        <v>No</v>
      </c>
      <c r="O11" t="str">
        <f>'Green Water Treatment Illinois'!X3</f>
        <v>No</v>
      </c>
      <c r="P11" s="43" t="e">
        <f>'Green Water Treatment Illinois'!Z3</f>
        <v>#REF!</v>
      </c>
    </row>
    <row r="12" spans="1:16" x14ac:dyDescent="0.2">
      <c r="A12" t="str">
        <f>'Green Water Treatment Illinois'!A4</f>
        <v>Bioreactors</v>
      </c>
      <c r="B12" t="str">
        <f>'Green Water Treatment Illinois'!C4</f>
        <v>BR</v>
      </c>
      <c r="C12" t="str">
        <f>'Green Water Treatment Illinois'!F4</f>
        <v>Green</v>
      </c>
      <c r="D12" t="s">
        <v>280</v>
      </c>
      <c r="E12" s="27">
        <f>'Green Water Treatment Illinois'!I4</f>
        <v>2.6825925910494277</v>
      </c>
      <c r="F12" s="27">
        <f>'Green Water Treatment Illinois'!J4</f>
        <v>0</v>
      </c>
      <c r="G12" s="2">
        <f>'Green Water Treatment Illinois'!K4</f>
        <v>0.69556447643512431</v>
      </c>
      <c r="H12" s="2">
        <f>'Green Water Treatment Illinois'!L4</f>
        <v>0</v>
      </c>
      <c r="I12" s="29">
        <f>'Green Water Treatment Illinois'!O4</f>
        <v>0.25</v>
      </c>
      <c r="J12" s="29">
        <f>'Green Water Treatment Illinois'!P4</f>
        <v>0</v>
      </c>
      <c r="K12" t="str">
        <f>'Green Water Treatment Illinois'!T4</f>
        <v>No</v>
      </c>
      <c r="L12" t="str">
        <f>'Green Water Treatment Illinois'!U4</f>
        <v>Yes</v>
      </c>
      <c r="M12" t="str">
        <f>'Green Water Treatment Illinois'!V4</f>
        <v>No</v>
      </c>
      <c r="N12" t="str">
        <f>'Green Water Treatment Illinois'!W4</f>
        <v>No</v>
      </c>
      <c r="O12" t="str">
        <f>'Green Water Treatment Illinois'!X4</f>
        <v>No</v>
      </c>
      <c r="P12" s="43" t="e">
        <f>'Green Water Treatment Illinois'!Z4</f>
        <v>#REF!</v>
      </c>
    </row>
    <row r="13" spans="1:16" x14ac:dyDescent="0.2">
      <c r="A13" t="str">
        <f>'Green Water Treatment Illinois'!A5</f>
        <v>Wetland</v>
      </c>
      <c r="B13" t="str">
        <f>'Green Water Treatment Illinois'!C5</f>
        <v>W</v>
      </c>
      <c r="C13" t="str">
        <f>'Green Water Treatment Illinois'!F5</f>
        <v>Green</v>
      </c>
      <c r="D13" t="s">
        <v>280</v>
      </c>
      <c r="E13" s="27">
        <f>'Green Water Treatment Illinois'!I5</f>
        <v>4.8774410746353229</v>
      </c>
      <c r="F13" s="27">
        <f>'Green Water Treatment Illinois'!J5</f>
        <v>0</v>
      </c>
      <c r="G13" s="2">
        <f>'Green Water Treatment Illinois'!K5</f>
        <v>-3.8975548447566473</v>
      </c>
      <c r="H13" s="2">
        <f>'Green Water Treatment Illinois'!L5</f>
        <v>0</v>
      </c>
      <c r="I13" s="29">
        <f>'Green Water Treatment Illinois'!O5</f>
        <v>0.5</v>
      </c>
      <c r="J13" s="29">
        <f>'Green Water Treatment Illinois'!P5</f>
        <v>0</v>
      </c>
      <c r="K13" t="str">
        <f>'Green Water Treatment Illinois'!T5</f>
        <v>No</v>
      </c>
      <c r="L13" t="str">
        <f>'Green Water Treatment Illinois'!U5</f>
        <v>No</v>
      </c>
      <c r="M13" t="str">
        <f>'Green Water Treatment Illinois'!V5</f>
        <v>No</v>
      </c>
      <c r="N13" t="str">
        <f>'Green Water Treatment Illinois'!W5</f>
        <v>Yes</v>
      </c>
      <c r="O13" t="str">
        <f>'Green Water Treatment Illinois'!X5</f>
        <v>No</v>
      </c>
      <c r="P13" s="43" t="e">
        <f>'Green Water Treatment Illinois'!Z5</f>
        <v>#REF!</v>
      </c>
    </row>
    <row r="14" spans="1:16" x14ac:dyDescent="0.2">
      <c r="A14" t="str">
        <f>'Green Water Treatment Illinois'!A6</f>
        <v>N Rate Reduction</v>
      </c>
      <c r="B14" t="str">
        <f>'Green Water Treatment Illinois'!C6</f>
        <v>NR</v>
      </c>
      <c r="C14" t="str">
        <f>'Green Water Treatment Illinois'!F6</f>
        <v>Green</v>
      </c>
      <c r="D14" t="s">
        <v>281</v>
      </c>
      <c r="E14" s="27">
        <f>'Green Water Treatment Illinois'!I6</f>
        <v>-5.182281141800031</v>
      </c>
      <c r="F14" s="27">
        <f>'Green Water Treatment Illinois'!J6</f>
        <v>-59.504781110550937</v>
      </c>
      <c r="G14" s="2">
        <f>'Green Water Treatment Illinois'!K6</f>
        <v>-9.2071428571428573</v>
      </c>
      <c r="H14" s="2">
        <f>'Green Water Treatment Illinois'!L6</f>
        <v>-105.71966386554621</v>
      </c>
      <c r="I14" s="29">
        <f>'Green Water Treatment Illinois'!O6</f>
        <v>0.1</v>
      </c>
      <c r="J14" s="29">
        <f>'Green Water Treatment Illinois'!P6</f>
        <v>7.0000000000000007E-2</v>
      </c>
      <c r="K14" t="str">
        <f>'Green Water Treatment Illinois'!T6</f>
        <v>No</v>
      </c>
      <c r="L14" t="str">
        <f>'Green Water Treatment Illinois'!U6</f>
        <v>No</v>
      </c>
      <c r="M14" t="str">
        <f>'Green Water Treatment Illinois'!V6</f>
        <v>No</v>
      </c>
      <c r="N14" t="str">
        <f>'Green Water Treatment Illinois'!W6</f>
        <v>No</v>
      </c>
      <c r="O14" t="str">
        <f>'Green Water Treatment Illinois'!X6</f>
        <v>Yes</v>
      </c>
      <c r="P14" s="43" t="e">
        <f>'Green Water Treatment Illinois'!Z6</f>
        <v>#REF!</v>
      </c>
    </row>
    <row r="15" spans="1:16" x14ac:dyDescent="0.2">
      <c r="A15" t="str">
        <f>'Green Water Treatment Illinois'!A7</f>
        <v>Split N Application</v>
      </c>
      <c r="B15" t="str">
        <f>'Green Water Treatment Illinois'!C7</f>
        <v>NS</v>
      </c>
      <c r="C15" t="str">
        <f>'Green Water Treatment Illinois'!F7</f>
        <v>Green</v>
      </c>
      <c r="D15" t="s">
        <v>281</v>
      </c>
      <c r="E15" s="27">
        <f>'Green Water Treatment Illinois'!I7</f>
        <v>7.5600336656847507</v>
      </c>
      <c r="F15" s="27">
        <f>'Green Water Treatment Illinois'!J7</f>
        <v>0</v>
      </c>
      <c r="G15" s="2">
        <f>'Green Water Treatment Illinois'!K7</f>
        <v>11.102512533037871</v>
      </c>
      <c r="H15" s="2">
        <f>'Green Water Treatment Illinois'!L7</f>
        <v>0</v>
      </c>
      <c r="I15" s="29">
        <f>'Green Water Treatment Illinois'!O7</f>
        <v>0.1</v>
      </c>
      <c r="J15" s="29">
        <f>'Green Water Treatment Illinois'!P7</f>
        <v>0</v>
      </c>
      <c r="K15" t="str">
        <f>'Green Water Treatment Illinois'!T7</f>
        <v>No</v>
      </c>
      <c r="L15" t="str">
        <f>'Green Water Treatment Illinois'!U7</f>
        <v>No</v>
      </c>
      <c r="M15" t="str">
        <f>'Green Water Treatment Illinois'!V7</f>
        <v>No</v>
      </c>
      <c r="N15" t="str">
        <f>'Green Water Treatment Illinois'!W7</f>
        <v>No</v>
      </c>
      <c r="O15" t="str">
        <f>'Green Water Treatment Illinois'!X7</f>
        <v>Yes</v>
      </c>
      <c r="P15" s="43" t="e">
        <f>'Green Water Treatment Illinois'!Z7</f>
        <v>#REF!</v>
      </c>
    </row>
    <row r="16" spans="1:16" x14ac:dyDescent="0.2">
      <c r="A16" t="str">
        <f>'Green Water Treatment Illinois'!A8</f>
        <v>Cover Crop</v>
      </c>
      <c r="B16" t="str">
        <f>'Green Water Treatment Illinois'!C8</f>
        <v>CC</v>
      </c>
      <c r="C16" t="str">
        <f>'Green Water Treatment Illinois'!F8</f>
        <v>Green</v>
      </c>
      <c r="D16" t="s">
        <v>281</v>
      </c>
      <c r="E16" s="27">
        <f>'Green Water Treatment Illinois'!I8</f>
        <v>3.9019528597082584</v>
      </c>
      <c r="F16" s="27">
        <f>'Green Water Treatment Illinois'!J8</f>
        <v>158.516834925648</v>
      </c>
      <c r="G16" s="2">
        <f>'Green Water Treatment Illinois'!K8</f>
        <v>0.55084444444444447</v>
      </c>
      <c r="H16" s="2">
        <f>'Green Water Treatment Illinois'!L8</f>
        <v>8.1035479307827316</v>
      </c>
      <c r="I16" s="29">
        <f>'Green Water Treatment Illinois'!O8</f>
        <v>0.3</v>
      </c>
      <c r="J16" s="29">
        <f>'Green Water Treatment Illinois'!P8</f>
        <v>0.3</v>
      </c>
      <c r="K16" t="str">
        <f>'Green Water Treatment Illinois'!T8</f>
        <v>No</v>
      </c>
      <c r="L16" t="str">
        <f>'Green Water Treatment Illinois'!U8</f>
        <v>No</v>
      </c>
      <c r="M16" t="str">
        <f>'Green Water Treatment Illinois'!V8</f>
        <v>No</v>
      </c>
      <c r="N16" t="str">
        <f>'Green Water Treatment Illinois'!W8</f>
        <v>No</v>
      </c>
      <c r="O16" t="str">
        <f>'Green Water Treatment Illinois'!X8</f>
        <v>No</v>
      </c>
      <c r="P16" s="43" t="e">
        <f>'Green Water Treatment Illinois'!Z8</f>
        <v>#REF!</v>
      </c>
    </row>
    <row r="17" spans="1:16" x14ac:dyDescent="0.2">
      <c r="A17" t="str">
        <f>'Green Water Treatment Illinois'!A9</f>
        <v>No-till</v>
      </c>
      <c r="B17" t="str">
        <f>'Green Water Treatment Illinois'!C9</f>
        <v>NT</v>
      </c>
      <c r="C17" t="str">
        <f>'Green Water Treatment Illinois'!F9</f>
        <v>Green</v>
      </c>
      <c r="D17" t="s">
        <v>281</v>
      </c>
      <c r="E17" s="27">
        <f>'Green Water Treatment Illinois'!I9</f>
        <v>0</v>
      </c>
      <c r="F17" s="27">
        <f>'Green Water Treatment Illinois'!J9</f>
        <v>-20.241380459736593</v>
      </c>
      <c r="G17" s="2">
        <f>'Green Water Treatment Illinois'!K9</f>
        <v>0</v>
      </c>
      <c r="H17" s="2">
        <f>'Green Water Treatment Illinois'!L9</f>
        <v>-91.350687499999992</v>
      </c>
      <c r="I17" s="29">
        <f>'Green Water Treatment Illinois'!O9</f>
        <v>0</v>
      </c>
      <c r="J17" s="29">
        <f>'Green Water Treatment Illinois'!P9</f>
        <v>0.5</v>
      </c>
      <c r="K17" t="str">
        <f>'Green Water Treatment Illinois'!T9</f>
        <v>No</v>
      </c>
      <c r="L17" t="str">
        <f>'Green Water Treatment Illinois'!U9</f>
        <v>No</v>
      </c>
      <c r="M17" t="str">
        <f>'Green Water Treatment Illinois'!V9</f>
        <v>No</v>
      </c>
      <c r="N17" t="str">
        <f>'Green Water Treatment Illinois'!W9</f>
        <v>No</v>
      </c>
      <c r="O17" t="str">
        <f>'Green Water Treatment Illinois'!X9</f>
        <v>No</v>
      </c>
      <c r="P17" s="43" t="e">
        <f>'Green Water Treatment Illinois'!Z9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B715-40FA-A843-9901-222C83E1DCB5}">
  <sheetPr>
    <tabColor theme="9" tint="0.59999389629810485"/>
  </sheetPr>
  <dimension ref="A1:W29"/>
  <sheetViews>
    <sheetView zoomScale="120" zoomScaleNormal="120" workbookViewId="0">
      <pane xSplit="2" topLeftCell="C1" activePane="topRight" state="frozen"/>
      <selection pane="topRight" activeCell="L1" sqref="L1"/>
    </sheetView>
  </sheetViews>
  <sheetFormatPr baseColWidth="10" defaultRowHeight="16" x14ac:dyDescent="0.2"/>
  <cols>
    <col min="1" max="2" width="18" bestFit="1" customWidth="1"/>
    <col min="3" max="3" width="6.1640625" bestFit="1" customWidth="1"/>
    <col min="5" max="5" width="12.83203125" bestFit="1" customWidth="1"/>
    <col min="6" max="6" width="13.1640625" bestFit="1" customWidth="1"/>
    <col min="7" max="7" width="13.1640625" customWidth="1"/>
    <col min="8" max="8" width="15.6640625" bestFit="1" customWidth="1"/>
    <col min="9" max="9" width="15.33203125" bestFit="1" customWidth="1"/>
    <col min="10" max="11" width="13.33203125" bestFit="1" customWidth="1"/>
    <col min="12" max="12" width="11" bestFit="1" customWidth="1"/>
    <col min="13" max="13" width="11.1640625" bestFit="1" customWidth="1"/>
    <col min="14" max="14" width="22.5" bestFit="1" customWidth="1"/>
    <col min="15" max="15" width="37" bestFit="1" customWidth="1"/>
    <col min="16" max="16" width="37.5" bestFit="1" customWidth="1"/>
    <col min="17" max="17" width="13.33203125" bestFit="1" customWidth="1"/>
    <col min="18" max="21" width="13.33203125" customWidth="1"/>
    <col min="22" max="22" width="12.33203125" bestFit="1" customWidth="1"/>
  </cols>
  <sheetData>
    <row r="1" spans="1:23" s="7" customFormat="1" x14ac:dyDescent="0.2">
      <c r="A1" s="5" t="s">
        <v>2</v>
      </c>
      <c r="B1" s="5" t="s">
        <v>36</v>
      </c>
      <c r="C1" s="5" t="s">
        <v>27</v>
      </c>
      <c r="D1" s="5" t="s">
        <v>3</v>
      </c>
      <c r="E1" s="5" t="s">
        <v>79</v>
      </c>
      <c r="F1" s="5" t="s">
        <v>96</v>
      </c>
      <c r="G1" s="5" t="s">
        <v>97</v>
      </c>
      <c r="H1" s="5" t="s">
        <v>92</v>
      </c>
      <c r="I1" s="5" t="s">
        <v>94</v>
      </c>
      <c r="J1" s="5" t="s">
        <v>20</v>
      </c>
      <c r="K1" s="5" t="s">
        <v>23</v>
      </c>
      <c r="L1" s="5" t="s">
        <v>4</v>
      </c>
      <c r="M1" s="5" t="s">
        <v>5</v>
      </c>
      <c r="N1" s="5" t="s">
        <v>24</v>
      </c>
      <c r="O1" s="5" t="s">
        <v>16</v>
      </c>
      <c r="P1" s="5" t="s">
        <v>17</v>
      </c>
      <c r="Q1" s="5" t="s">
        <v>248</v>
      </c>
      <c r="R1" s="5" t="s">
        <v>257</v>
      </c>
      <c r="S1" s="5" t="s">
        <v>258</v>
      </c>
      <c r="T1" s="5" t="s">
        <v>259</v>
      </c>
      <c r="U1" s="5" t="s">
        <v>260</v>
      </c>
      <c r="V1" s="5" t="s">
        <v>1</v>
      </c>
    </row>
    <row r="2" spans="1:23" s="7" customFormat="1" x14ac:dyDescent="0.2">
      <c r="A2" s="6" t="s">
        <v>0</v>
      </c>
      <c r="C2" s="6"/>
      <c r="D2" s="5"/>
      <c r="E2" s="6" t="s">
        <v>55</v>
      </c>
      <c r="F2" s="6" t="s">
        <v>75</v>
      </c>
      <c r="G2" s="6" t="s">
        <v>98</v>
      </c>
      <c r="H2" s="6" t="s">
        <v>93</v>
      </c>
      <c r="I2" s="6" t="s">
        <v>95</v>
      </c>
      <c r="J2" s="6" t="s">
        <v>21</v>
      </c>
      <c r="K2" s="6" t="s">
        <v>21</v>
      </c>
      <c r="L2" s="6" t="s">
        <v>54</v>
      </c>
      <c r="M2" s="6" t="s">
        <v>54</v>
      </c>
      <c r="N2" s="6" t="s">
        <v>25</v>
      </c>
      <c r="O2" s="6" t="s">
        <v>26</v>
      </c>
      <c r="P2" s="6" t="s">
        <v>26</v>
      </c>
      <c r="Q2" s="6"/>
      <c r="R2" s="6" t="s">
        <v>261</v>
      </c>
      <c r="S2" s="6" t="s">
        <v>261</v>
      </c>
      <c r="T2" s="6" t="s">
        <v>261</v>
      </c>
      <c r="U2" s="6" t="s">
        <v>261</v>
      </c>
      <c r="V2" s="5"/>
    </row>
    <row r="3" spans="1:23" x14ac:dyDescent="0.2">
      <c r="A3" t="s">
        <v>46</v>
      </c>
      <c r="B3" t="str">
        <f>A3</f>
        <v>Controlled Drainage</v>
      </c>
      <c r="D3" t="s">
        <v>53</v>
      </c>
      <c r="E3" s="1">
        <v>1.7</v>
      </c>
      <c r="F3" s="1">
        <f>E3*'Dollar Conversion'!$Q$3</f>
        <v>2.1356452049090602</v>
      </c>
      <c r="G3" s="1" t="e">
        <f>IF(F3&gt;0,F3*L3/M3,F3*M3/L3)</f>
        <v>#DIV/0!</v>
      </c>
      <c r="H3" s="2">
        <f>'Green Emissions - N'!G20</f>
        <v>0.10025753474610297</v>
      </c>
      <c r="I3" s="2">
        <f>'Green Emissions - P'!G19</f>
        <v>2.6548241406006943</v>
      </c>
      <c r="J3">
        <v>0</v>
      </c>
      <c r="L3" s="18">
        <v>0.4</v>
      </c>
      <c r="M3" s="18">
        <v>0</v>
      </c>
      <c r="N3">
        <v>0</v>
      </c>
      <c r="Q3" t="s">
        <v>249</v>
      </c>
      <c r="R3" t="s">
        <v>250</v>
      </c>
      <c r="S3" t="s">
        <v>249</v>
      </c>
      <c r="T3" t="s">
        <v>249</v>
      </c>
      <c r="U3" t="s">
        <v>249</v>
      </c>
      <c r="V3" s="3" t="s">
        <v>80</v>
      </c>
      <c r="W3" s="3" t="s">
        <v>91</v>
      </c>
    </row>
    <row r="4" spans="1:23" x14ac:dyDescent="0.2">
      <c r="A4" t="s">
        <v>47</v>
      </c>
      <c r="B4" t="str">
        <f t="shared" ref="B4:B9" si="0">A4</f>
        <v>Bioreactors</v>
      </c>
      <c r="D4" t="s">
        <v>53</v>
      </c>
      <c r="E4" s="1">
        <v>2</v>
      </c>
      <c r="F4" s="1">
        <f>E4*'Dollar Conversion'!$Q$3</f>
        <v>2.5125237704812475</v>
      </c>
      <c r="G4" s="1">
        <v>0</v>
      </c>
      <c r="H4" s="2">
        <f>'Green Emissions - N'!B2</f>
        <v>0.69556447643512431</v>
      </c>
      <c r="I4" s="2">
        <v>0</v>
      </c>
      <c r="J4">
        <v>0</v>
      </c>
      <c r="L4" s="18">
        <v>0.38</v>
      </c>
      <c r="M4" s="18">
        <v>0</v>
      </c>
      <c r="N4">
        <v>0</v>
      </c>
      <c r="Q4" t="s">
        <v>249</v>
      </c>
      <c r="R4" t="s">
        <v>250</v>
      </c>
      <c r="S4" t="s">
        <v>249</v>
      </c>
      <c r="T4" t="s">
        <v>249</v>
      </c>
      <c r="U4" t="s">
        <v>249</v>
      </c>
      <c r="V4" s="3" t="s">
        <v>80</v>
      </c>
      <c r="W4" s="3" t="s">
        <v>91</v>
      </c>
    </row>
    <row r="5" spans="1:23" x14ac:dyDescent="0.2">
      <c r="A5" t="s">
        <v>48</v>
      </c>
      <c r="B5" t="str">
        <f t="shared" si="0"/>
        <v>Wetland</v>
      </c>
      <c r="D5" t="s">
        <v>53</v>
      </c>
      <c r="E5" s="1">
        <v>2.8</v>
      </c>
      <c r="F5" s="1">
        <f>E5*'Dollar Conversion'!$Q$3</f>
        <v>3.5175332786737461</v>
      </c>
      <c r="G5" s="1">
        <v>0</v>
      </c>
      <c r="H5" s="2">
        <f>'Green Emissions - N'!L2</f>
        <v>-3.5772015269755575</v>
      </c>
      <c r="I5" s="2">
        <v>0</v>
      </c>
      <c r="J5">
        <v>0</v>
      </c>
      <c r="L5" s="18">
        <v>0.43</v>
      </c>
      <c r="M5" s="18">
        <v>0</v>
      </c>
      <c r="N5">
        <v>0</v>
      </c>
      <c r="Q5" t="s">
        <v>249</v>
      </c>
      <c r="R5" t="s">
        <v>249</v>
      </c>
      <c r="S5" t="s">
        <v>249</v>
      </c>
      <c r="T5" t="s">
        <v>250</v>
      </c>
      <c r="U5" t="s">
        <v>249</v>
      </c>
      <c r="V5" s="3" t="s">
        <v>80</v>
      </c>
      <c r="W5" s="3" t="s">
        <v>91</v>
      </c>
    </row>
    <row r="6" spans="1:23" x14ac:dyDescent="0.2">
      <c r="A6" t="s">
        <v>49</v>
      </c>
      <c r="B6" t="str">
        <f t="shared" si="0"/>
        <v>N Rate Reduction</v>
      </c>
      <c r="D6" t="s">
        <v>53</v>
      </c>
      <c r="E6" s="1">
        <v>-1.6</v>
      </c>
      <c r="F6" s="1">
        <f>E6*'Dollar Conversion'!$Q$3</f>
        <v>-2.010019016384998</v>
      </c>
      <c r="G6" s="1">
        <f t="shared" ref="G6:G8" si="1">IF(F6&gt;0,F6*L6/M6,F6*M6/L6)</f>
        <v>-0.43969165983421837</v>
      </c>
      <c r="H6" s="2">
        <f>'Green Emissions - N'!G8</f>
        <v>-9.2071428571428573</v>
      </c>
      <c r="I6" s="2">
        <f>G6/F6*H6</f>
        <v>-2.0140625000000001</v>
      </c>
      <c r="J6">
        <v>0</v>
      </c>
      <c r="L6" s="18">
        <v>0.32</v>
      </c>
      <c r="M6" s="18">
        <v>7.0000000000000007E-2</v>
      </c>
      <c r="N6">
        <v>0</v>
      </c>
      <c r="Q6" t="s">
        <v>249</v>
      </c>
      <c r="R6" t="s">
        <v>249</v>
      </c>
      <c r="S6" t="s">
        <v>249</v>
      </c>
      <c r="T6" t="s">
        <v>249</v>
      </c>
      <c r="U6" t="s">
        <v>250</v>
      </c>
      <c r="V6" s="3" t="s">
        <v>80</v>
      </c>
      <c r="W6" s="3" t="s">
        <v>91</v>
      </c>
    </row>
    <row r="7" spans="1:23" x14ac:dyDescent="0.2">
      <c r="A7" t="s">
        <v>50</v>
      </c>
      <c r="B7" t="str">
        <f t="shared" si="0"/>
        <v>Spring N Application</v>
      </c>
      <c r="D7" t="s">
        <v>53</v>
      </c>
      <c r="E7" s="1">
        <v>-12</v>
      </c>
      <c r="F7" s="1">
        <f>E7*'Dollar Conversion'!$Q$3</f>
        <v>-15.075142622887485</v>
      </c>
      <c r="G7" s="1">
        <f t="shared" si="1"/>
        <v>0</v>
      </c>
      <c r="H7" s="2">
        <f>'Green Emissions - N'!G15</f>
        <v>11.102512533037871</v>
      </c>
      <c r="I7" s="2">
        <v>0</v>
      </c>
      <c r="J7">
        <v>0</v>
      </c>
      <c r="L7" s="18">
        <v>0.09</v>
      </c>
      <c r="M7" s="18">
        <v>0</v>
      </c>
      <c r="N7">
        <v>0</v>
      </c>
      <c r="Q7" t="s">
        <v>249</v>
      </c>
      <c r="R7" t="s">
        <v>249</v>
      </c>
      <c r="S7" t="s">
        <v>249</v>
      </c>
      <c r="T7" t="s">
        <v>249</v>
      </c>
      <c r="U7" t="s">
        <v>250</v>
      </c>
      <c r="V7" s="3" t="s">
        <v>80</v>
      </c>
      <c r="W7" s="3" t="s">
        <v>91</v>
      </c>
    </row>
    <row r="8" spans="1:23" x14ac:dyDescent="0.2">
      <c r="A8" t="s">
        <v>51</v>
      </c>
      <c r="B8" t="str">
        <f t="shared" si="0"/>
        <v>Cover Crop</v>
      </c>
      <c r="D8" t="s">
        <v>53</v>
      </c>
      <c r="E8" s="1">
        <v>38</v>
      </c>
      <c r="F8" s="1">
        <f>E8*'Dollar Conversion'!$Q$3</f>
        <v>47.737951639143702</v>
      </c>
      <c r="G8" s="1">
        <f t="shared" si="1"/>
        <v>35.007831202038716</v>
      </c>
      <c r="H8" s="2">
        <f>'Green Emissions - N'!G2</f>
        <v>0.55084444444444447</v>
      </c>
      <c r="I8" s="2">
        <f>'Green Emissions - P'!G2</f>
        <v>8.1035479307827316</v>
      </c>
      <c r="J8">
        <v>0</v>
      </c>
      <c r="L8" s="18">
        <v>0.22</v>
      </c>
      <c r="M8" s="18">
        <v>0.3</v>
      </c>
      <c r="N8">
        <v>0</v>
      </c>
      <c r="Q8" t="s">
        <v>249</v>
      </c>
      <c r="R8" t="s">
        <v>249</v>
      </c>
      <c r="S8" t="s">
        <v>249</v>
      </c>
      <c r="T8" t="s">
        <v>249</v>
      </c>
      <c r="U8" t="s">
        <v>249</v>
      </c>
      <c r="V8" s="3" t="s">
        <v>80</v>
      </c>
      <c r="W8" s="3" t="s">
        <v>91</v>
      </c>
    </row>
    <row r="9" spans="1:23" x14ac:dyDescent="0.2">
      <c r="A9" t="s">
        <v>52</v>
      </c>
      <c r="B9" t="str">
        <f t="shared" si="0"/>
        <v>Crop Rotation</v>
      </c>
      <c r="D9" t="s">
        <v>53</v>
      </c>
      <c r="E9" s="1">
        <v>39</v>
      </c>
      <c r="F9" s="1">
        <f>E9*'Dollar Conversion'!$Q$3</f>
        <v>48.994213524384328</v>
      </c>
      <c r="G9" s="1">
        <v>0</v>
      </c>
      <c r="H9" s="2">
        <v>0</v>
      </c>
      <c r="I9" s="2">
        <v>0</v>
      </c>
      <c r="J9">
        <v>0</v>
      </c>
      <c r="L9" s="18">
        <v>0.34</v>
      </c>
      <c r="M9" s="18">
        <v>0</v>
      </c>
      <c r="N9">
        <v>0</v>
      </c>
      <c r="Q9" t="s">
        <v>249</v>
      </c>
      <c r="R9" t="s">
        <v>249</v>
      </c>
      <c r="S9" t="s">
        <v>249</v>
      </c>
      <c r="T9" t="s">
        <v>249</v>
      </c>
      <c r="U9" t="s">
        <v>249</v>
      </c>
      <c r="V9" s="3" t="s">
        <v>80</v>
      </c>
      <c r="W9" s="3" t="s">
        <v>91</v>
      </c>
    </row>
    <row r="10" spans="1:23" x14ac:dyDescent="0.2">
      <c r="H10" s="1"/>
    </row>
    <row r="22" spans="5:9" x14ac:dyDescent="0.2">
      <c r="E22" s="4"/>
      <c r="F22" s="4"/>
      <c r="G22" s="4"/>
      <c r="H22" s="4"/>
      <c r="I22" s="4"/>
    </row>
    <row r="23" spans="5:9" x14ac:dyDescent="0.2">
      <c r="E23" s="4"/>
      <c r="F23" s="4"/>
      <c r="G23" s="4"/>
      <c r="H23" s="4"/>
      <c r="I23" s="4"/>
    </row>
    <row r="24" spans="5:9" x14ac:dyDescent="0.2">
      <c r="E24" s="4"/>
      <c r="F24" s="4"/>
      <c r="G24" s="4"/>
      <c r="H24" s="4"/>
      <c r="I24" s="4"/>
    </row>
    <row r="25" spans="5:9" x14ac:dyDescent="0.2">
      <c r="E25" s="4"/>
      <c r="F25" s="4"/>
      <c r="G25" s="4"/>
      <c r="H25" s="4"/>
      <c r="I25" s="4"/>
    </row>
    <row r="26" spans="5:9" x14ac:dyDescent="0.2">
      <c r="E26" s="4"/>
      <c r="F26" s="4"/>
      <c r="G26" s="4"/>
      <c r="H26" s="4"/>
      <c r="I26" s="4"/>
    </row>
    <row r="27" spans="5:9" x14ac:dyDescent="0.2">
      <c r="E27" s="4"/>
      <c r="F27" s="4"/>
      <c r="G27" s="4"/>
      <c r="H27" s="4"/>
      <c r="I27" s="4"/>
    </row>
    <row r="28" spans="5:9" x14ac:dyDescent="0.2">
      <c r="E28" s="4"/>
      <c r="F28" s="4"/>
      <c r="G28" s="4"/>
      <c r="H28" s="4"/>
      <c r="I28" s="4"/>
    </row>
    <row r="29" spans="5:9" x14ac:dyDescent="0.2">
      <c r="E29" s="4"/>
      <c r="F29" s="4"/>
      <c r="G29" s="4"/>
      <c r="H29" s="4"/>
      <c r="I29" s="4"/>
    </row>
  </sheetData>
  <hyperlinks>
    <hyperlink ref="V3" r:id="rId1" xr:uid="{975244D1-FD04-9844-A099-61730708A638}"/>
    <hyperlink ref="V4" r:id="rId2" xr:uid="{27CF9722-03A3-9442-AE74-C50FF0977375}"/>
    <hyperlink ref="V5" r:id="rId3" xr:uid="{82EE061B-F93C-8B43-95E8-E96EA1EB102D}"/>
    <hyperlink ref="V6" r:id="rId4" xr:uid="{5EDC4338-01B2-F847-8D19-2FE53E95ACD5}"/>
    <hyperlink ref="V7" r:id="rId5" xr:uid="{D8CBAF89-F5B9-5742-B1BE-DAAA9BC74E26}"/>
    <hyperlink ref="V8" r:id="rId6" xr:uid="{139B098F-457C-D24A-AD3F-65A35D2629CE}"/>
    <hyperlink ref="V9" r:id="rId7" xr:uid="{67527DA1-204F-F842-9177-7007A9658D3E}"/>
    <hyperlink ref="W3" r:id="rId8" xr:uid="{A0147FE8-C548-304B-976E-6A7D6993B6F1}"/>
    <hyperlink ref="W4" r:id="rId9" xr:uid="{A2F0DDA8-61AB-D343-8670-03D701260646}"/>
    <hyperlink ref="W5" r:id="rId10" xr:uid="{165F93E1-C55B-BF42-8A13-2D6D490AC256}"/>
    <hyperlink ref="W6" r:id="rId11" xr:uid="{109B5816-DA42-794F-A010-AF49337146D0}"/>
    <hyperlink ref="W7" r:id="rId12" xr:uid="{8D73A3B9-F21F-894B-B59C-49F097609014}"/>
    <hyperlink ref="W8" r:id="rId13" xr:uid="{98651C38-3DE1-6C43-AFF3-572BAA1F6748}"/>
    <hyperlink ref="W9" r:id="rId14" xr:uid="{98C099D4-697E-2348-8C99-5AEE429F1334}"/>
  </hyperlinks>
  <pageMargins left="0.7" right="0.7" top="0.75" bottom="0.75" header="0.3" footer="0.3"/>
  <drawing r:id="rId15"/>
  <legacy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7B7B-83CD-6141-AF6D-C6E0245FDE9A}">
  <sheetPr>
    <tabColor theme="9" tint="0.59999389629810485"/>
  </sheetPr>
  <dimension ref="A1:AB29"/>
  <sheetViews>
    <sheetView zoomScale="160" zoomScaleNormal="160" workbookViewId="0">
      <pane xSplit="1" topLeftCell="B1" activePane="topRight" state="frozen"/>
      <selection pane="topRight" activeCell="H15" sqref="H15"/>
    </sheetView>
  </sheetViews>
  <sheetFormatPr baseColWidth="10" defaultRowHeight="16" x14ac:dyDescent="0.2"/>
  <cols>
    <col min="1" max="1" width="18" bestFit="1" customWidth="1"/>
    <col min="2" max="2" width="16.5" bestFit="1" customWidth="1"/>
    <col min="3" max="3" width="6.6640625" bestFit="1" customWidth="1"/>
    <col min="4" max="4" width="6.6640625" customWidth="1"/>
    <col min="5" max="5" width="6.1640625" bestFit="1" customWidth="1"/>
    <col min="7" max="7" width="12.83203125" bestFit="1" customWidth="1"/>
    <col min="8" max="8" width="12.83203125" customWidth="1"/>
    <col min="9" max="9" width="13.1640625" bestFit="1" customWidth="1"/>
    <col min="10" max="10" width="13.1640625" customWidth="1"/>
    <col min="11" max="11" width="15.6640625" bestFit="1" customWidth="1"/>
    <col min="12" max="12" width="15.33203125" bestFit="1" customWidth="1"/>
    <col min="13" max="14" width="13.33203125" bestFit="1" customWidth="1"/>
    <col min="15" max="15" width="11" bestFit="1" customWidth="1"/>
    <col min="16" max="16" width="11.1640625" bestFit="1" customWidth="1"/>
    <col min="17" max="17" width="22.5" bestFit="1" customWidth="1"/>
    <col min="18" max="18" width="37" bestFit="1" customWidth="1"/>
    <col min="19" max="19" width="37.5" bestFit="1" customWidth="1"/>
    <col min="20" max="20" width="13.33203125" bestFit="1" customWidth="1"/>
    <col min="21" max="24" width="13.33203125" customWidth="1"/>
    <col min="25" max="25" width="15.83203125" bestFit="1" customWidth="1"/>
    <col min="26" max="26" width="13.33203125" customWidth="1"/>
    <col min="27" max="27" width="12.33203125" bestFit="1" customWidth="1"/>
  </cols>
  <sheetData>
    <row r="1" spans="1:28" s="7" customFormat="1" x14ac:dyDescent="0.2">
      <c r="A1" s="5" t="s">
        <v>2</v>
      </c>
      <c r="B1" s="5" t="s">
        <v>36</v>
      </c>
      <c r="C1" s="5" t="s">
        <v>277</v>
      </c>
      <c r="D1" s="5" t="s">
        <v>279</v>
      </c>
      <c r="E1" s="5" t="s">
        <v>27</v>
      </c>
      <c r="F1" s="5" t="s">
        <v>3</v>
      </c>
      <c r="G1" s="5" t="s">
        <v>100</v>
      </c>
      <c r="H1" s="5" t="s">
        <v>100</v>
      </c>
      <c r="I1" s="5" t="s">
        <v>96</v>
      </c>
      <c r="J1" s="5" t="s">
        <v>97</v>
      </c>
      <c r="K1" s="5" t="s">
        <v>92</v>
      </c>
      <c r="L1" s="5" t="s">
        <v>94</v>
      </c>
      <c r="M1" s="5" t="s">
        <v>20</v>
      </c>
      <c r="N1" s="5" t="s">
        <v>23</v>
      </c>
      <c r="O1" s="5" t="s">
        <v>4</v>
      </c>
      <c r="P1" s="5" t="s">
        <v>5</v>
      </c>
      <c r="Q1" s="5" t="s">
        <v>24</v>
      </c>
      <c r="R1" s="5" t="s">
        <v>16</v>
      </c>
      <c r="S1" s="5" t="s">
        <v>17</v>
      </c>
      <c r="T1" s="5" t="s">
        <v>248</v>
      </c>
      <c r="U1" s="5" t="s">
        <v>257</v>
      </c>
      <c r="V1" s="5" t="s">
        <v>258</v>
      </c>
      <c r="W1" s="5" t="s">
        <v>259</v>
      </c>
      <c r="X1" s="5" t="s">
        <v>260</v>
      </c>
      <c r="Y1" s="5" t="s">
        <v>306</v>
      </c>
      <c r="Z1" s="5" t="s">
        <v>282</v>
      </c>
      <c r="AA1" s="5" t="s">
        <v>1</v>
      </c>
    </row>
    <row r="2" spans="1:28" s="7" customFormat="1" x14ac:dyDescent="0.2">
      <c r="A2" s="6" t="s">
        <v>0</v>
      </c>
      <c r="E2" s="6"/>
      <c r="F2" s="5"/>
      <c r="G2" s="6" t="s">
        <v>101</v>
      </c>
      <c r="H2" s="6" t="s">
        <v>98</v>
      </c>
      <c r="I2" s="6" t="s">
        <v>75</v>
      </c>
      <c r="J2" s="6" t="s">
        <v>98</v>
      </c>
      <c r="K2" s="6" t="s">
        <v>93</v>
      </c>
      <c r="L2" s="6" t="s">
        <v>95</v>
      </c>
      <c r="M2" s="6" t="s">
        <v>21</v>
      </c>
      <c r="N2" s="6" t="s">
        <v>21</v>
      </c>
      <c r="O2" s="6" t="s">
        <v>54</v>
      </c>
      <c r="P2" s="6" t="s">
        <v>54</v>
      </c>
      <c r="Q2" s="6" t="s">
        <v>25</v>
      </c>
      <c r="R2" s="6" t="s">
        <v>26</v>
      </c>
      <c r="S2" s="6" t="s">
        <v>26</v>
      </c>
      <c r="T2" s="6"/>
      <c r="U2" s="6" t="s">
        <v>261</v>
      </c>
      <c r="V2" s="6" t="s">
        <v>261</v>
      </c>
      <c r="W2" s="6" t="s">
        <v>261</v>
      </c>
      <c r="X2" s="6" t="s">
        <v>261</v>
      </c>
      <c r="Y2" s="6" t="s">
        <v>261</v>
      </c>
      <c r="Z2" s="6" t="s">
        <v>54</v>
      </c>
      <c r="AA2" s="5"/>
    </row>
    <row r="3" spans="1:28" x14ac:dyDescent="0.2">
      <c r="A3" t="s">
        <v>102</v>
      </c>
      <c r="B3" t="str">
        <f>A3</f>
        <v>Buffers</v>
      </c>
      <c r="C3" t="s">
        <v>271</v>
      </c>
      <c r="D3" t="s">
        <v>280</v>
      </c>
      <c r="E3">
        <v>5</v>
      </c>
      <c r="F3" t="s">
        <v>53</v>
      </c>
      <c r="G3" s="1">
        <v>1.6</v>
      </c>
      <c r="H3" s="1">
        <v>12</v>
      </c>
      <c r="I3" s="1">
        <f>G3*'Dollar Conversion'!$Q$6</f>
        <v>1.9509764298541292</v>
      </c>
      <c r="J3" s="1">
        <f>H3*'Dollar Conversion'!$Q$6</f>
        <v>14.632323223905969</v>
      </c>
      <c r="K3" s="2">
        <f>'Green Emissions - N'!G20</f>
        <v>0.10025753474610297</v>
      </c>
      <c r="L3" s="41">
        <f>'Green Emissions - P'!G19</f>
        <v>2.6548241406006943</v>
      </c>
      <c r="M3">
        <v>0</v>
      </c>
      <c r="N3">
        <v>0</v>
      </c>
      <c r="O3" s="18">
        <v>0.9</v>
      </c>
      <c r="P3" s="18">
        <v>0.5</v>
      </c>
      <c r="Q3">
        <v>0</v>
      </c>
      <c r="T3" t="s">
        <v>249</v>
      </c>
      <c r="U3" t="s">
        <v>250</v>
      </c>
      <c r="V3" t="s">
        <v>250</v>
      </c>
      <c r="W3" t="s">
        <v>249</v>
      </c>
      <c r="X3" t="s">
        <v>249</v>
      </c>
      <c r="Y3" t="s">
        <v>249</v>
      </c>
      <c r="Z3" s="45" t="e">
        <f>#REF!</f>
        <v>#REF!</v>
      </c>
      <c r="AA3" s="3" t="s">
        <v>91</v>
      </c>
      <c r="AB3" s="3"/>
    </row>
    <row r="4" spans="1:28" x14ac:dyDescent="0.2">
      <c r="A4" t="s">
        <v>47</v>
      </c>
      <c r="B4" t="str">
        <f t="shared" ref="B4:B9" si="0">A4</f>
        <v>Bioreactors</v>
      </c>
      <c r="C4" t="s">
        <v>272</v>
      </c>
      <c r="D4" t="s">
        <v>280</v>
      </c>
      <c r="E4">
        <v>5</v>
      </c>
      <c r="F4" t="s">
        <v>53</v>
      </c>
      <c r="G4" s="1">
        <v>2.2000000000000002</v>
      </c>
      <c r="H4" s="1">
        <v>0</v>
      </c>
      <c r="I4" s="1">
        <f>G4*'Dollar Conversion'!$Q$6</f>
        <v>2.6825925910494277</v>
      </c>
      <c r="J4" s="1">
        <f>H4*'Dollar Conversion'!$Q$6</f>
        <v>0</v>
      </c>
      <c r="K4" s="2">
        <f>'Green Emissions - N'!B2</f>
        <v>0.69556447643512431</v>
      </c>
      <c r="L4" s="41">
        <v>0</v>
      </c>
      <c r="M4">
        <v>0</v>
      </c>
      <c r="N4">
        <v>0</v>
      </c>
      <c r="O4" s="18">
        <v>0.25</v>
      </c>
      <c r="P4" s="18">
        <v>0</v>
      </c>
      <c r="Q4">
        <v>0</v>
      </c>
      <c r="T4" t="s">
        <v>249</v>
      </c>
      <c r="U4" t="s">
        <v>250</v>
      </c>
      <c r="V4" t="s">
        <v>249</v>
      </c>
      <c r="W4" t="s">
        <v>249</v>
      </c>
      <c r="X4" t="s">
        <v>249</v>
      </c>
      <c r="Y4" t="s">
        <v>249</v>
      </c>
      <c r="Z4" s="45" t="e">
        <f>#REF!</f>
        <v>#REF!</v>
      </c>
      <c r="AA4" s="3" t="s">
        <v>91</v>
      </c>
      <c r="AB4" s="3"/>
    </row>
    <row r="5" spans="1:28" x14ac:dyDescent="0.2">
      <c r="A5" t="s">
        <v>48</v>
      </c>
      <c r="B5" t="str">
        <f t="shared" si="0"/>
        <v>Wetland</v>
      </c>
      <c r="C5" t="s">
        <v>273</v>
      </c>
      <c r="D5" t="s">
        <v>280</v>
      </c>
      <c r="E5">
        <v>5</v>
      </c>
      <c r="F5" t="s">
        <v>53</v>
      </c>
      <c r="G5" s="1">
        <v>4</v>
      </c>
      <c r="H5" s="1">
        <v>0</v>
      </c>
      <c r="I5" s="1">
        <f>G5*'Dollar Conversion'!$Q$6</f>
        <v>4.8774410746353229</v>
      </c>
      <c r="J5" s="1">
        <f>H5*'Dollar Conversion'!$Q$6</f>
        <v>0</v>
      </c>
      <c r="K5" s="2">
        <f>'Green Emissions - N'!L53</f>
        <v>-3.8975548447566473</v>
      </c>
      <c r="L5" s="41">
        <v>0</v>
      </c>
      <c r="M5">
        <v>0</v>
      </c>
      <c r="N5">
        <v>0</v>
      </c>
      <c r="O5" s="18">
        <v>0.5</v>
      </c>
      <c r="P5" s="18">
        <v>0</v>
      </c>
      <c r="Q5">
        <v>0</v>
      </c>
      <c r="T5" t="s">
        <v>249</v>
      </c>
      <c r="U5" t="s">
        <v>249</v>
      </c>
      <c r="V5" t="s">
        <v>249</v>
      </c>
      <c r="W5" t="s">
        <v>250</v>
      </c>
      <c r="X5" t="s">
        <v>249</v>
      </c>
      <c r="Y5" t="s">
        <v>249</v>
      </c>
      <c r="Z5" s="45" t="e">
        <f>#REF!</f>
        <v>#REF!</v>
      </c>
      <c r="AA5" s="3" t="s">
        <v>91</v>
      </c>
      <c r="AB5" s="3"/>
    </row>
    <row r="6" spans="1:28" x14ac:dyDescent="0.2">
      <c r="A6" t="s">
        <v>49</v>
      </c>
      <c r="B6" t="str">
        <f t="shared" si="0"/>
        <v>N Rate Reduction</v>
      </c>
      <c r="C6" t="s">
        <v>278</v>
      </c>
      <c r="D6" t="s">
        <v>281</v>
      </c>
      <c r="E6">
        <v>5</v>
      </c>
      <c r="F6" t="s">
        <v>53</v>
      </c>
      <c r="G6" s="1">
        <v>-4.25</v>
      </c>
      <c r="H6" s="1">
        <v>-48.8</v>
      </c>
      <c r="I6" s="1">
        <f>G6*'Dollar Conversion'!$Q$6</f>
        <v>-5.182281141800031</v>
      </c>
      <c r="J6" s="1">
        <f>H6*'Dollar Conversion'!$Q$6</f>
        <v>-59.504781110550937</v>
      </c>
      <c r="K6" s="2">
        <f>'Green Emissions - N'!G8</f>
        <v>-9.2071428571428573</v>
      </c>
      <c r="L6" s="41">
        <f>J6/I6*K6</f>
        <v>-105.71966386554621</v>
      </c>
      <c r="M6">
        <v>0</v>
      </c>
      <c r="N6">
        <v>0</v>
      </c>
      <c r="O6" s="18">
        <v>0.1</v>
      </c>
      <c r="P6" s="18">
        <v>7.0000000000000007E-2</v>
      </c>
      <c r="Q6">
        <v>0</v>
      </c>
      <c r="T6" t="s">
        <v>249</v>
      </c>
      <c r="U6" t="s">
        <v>249</v>
      </c>
      <c r="V6" t="s">
        <v>249</v>
      </c>
      <c r="W6" t="s">
        <v>249</v>
      </c>
      <c r="X6" t="s">
        <v>250</v>
      </c>
      <c r="Y6" t="s">
        <v>250</v>
      </c>
      <c r="Z6" s="45" t="e">
        <f>#REF!</f>
        <v>#REF!</v>
      </c>
      <c r="AA6" s="3" t="s">
        <v>91</v>
      </c>
      <c r="AB6" s="3"/>
    </row>
    <row r="7" spans="1:28" x14ac:dyDescent="0.2">
      <c r="A7" t="s">
        <v>264</v>
      </c>
      <c r="B7" t="str">
        <f t="shared" si="0"/>
        <v>Split N Application</v>
      </c>
      <c r="C7" t="s">
        <v>274</v>
      </c>
      <c r="D7" t="s">
        <v>281</v>
      </c>
      <c r="E7">
        <v>5</v>
      </c>
      <c r="F7" t="s">
        <v>53</v>
      </c>
      <c r="G7" s="1">
        <v>6.2</v>
      </c>
      <c r="H7" s="1">
        <v>0</v>
      </c>
      <c r="I7" s="1">
        <f>G7*'Dollar Conversion'!$Q$6</f>
        <v>7.5600336656847507</v>
      </c>
      <c r="J7" s="1">
        <f>H7*'Dollar Conversion'!$Q$6</f>
        <v>0</v>
      </c>
      <c r="K7" s="2">
        <f>'Green Emissions - N'!G15</f>
        <v>11.102512533037871</v>
      </c>
      <c r="L7" s="41">
        <v>0</v>
      </c>
      <c r="M7">
        <v>0</v>
      </c>
      <c r="N7">
        <v>0</v>
      </c>
      <c r="O7" s="18">
        <v>0.1</v>
      </c>
      <c r="P7" s="18">
        <v>0</v>
      </c>
      <c r="Q7">
        <v>0</v>
      </c>
      <c r="T7" t="s">
        <v>249</v>
      </c>
      <c r="U7" t="s">
        <v>249</v>
      </c>
      <c r="V7" t="s">
        <v>249</v>
      </c>
      <c r="W7" t="s">
        <v>249</v>
      </c>
      <c r="X7" t="s">
        <v>250</v>
      </c>
      <c r="Y7" t="s">
        <v>250</v>
      </c>
      <c r="Z7" s="45" t="e">
        <f>#REF!</f>
        <v>#REF!</v>
      </c>
      <c r="AA7" s="3" t="s">
        <v>91</v>
      </c>
      <c r="AB7" s="3"/>
    </row>
    <row r="8" spans="1:28" x14ac:dyDescent="0.2">
      <c r="A8" t="s">
        <v>51</v>
      </c>
      <c r="B8" t="str">
        <f t="shared" si="0"/>
        <v>Cover Crop</v>
      </c>
      <c r="C8" t="s">
        <v>275</v>
      </c>
      <c r="D8" t="s">
        <v>281</v>
      </c>
      <c r="E8">
        <v>5</v>
      </c>
      <c r="F8" t="s">
        <v>53</v>
      </c>
      <c r="G8" s="1">
        <v>3.2</v>
      </c>
      <c r="H8" s="1">
        <v>130</v>
      </c>
      <c r="I8" s="1">
        <f>G8*'Dollar Conversion'!$Q$6</f>
        <v>3.9019528597082584</v>
      </c>
      <c r="J8" s="1">
        <f>H8*'Dollar Conversion'!$Q$6</f>
        <v>158.516834925648</v>
      </c>
      <c r="K8" s="2">
        <f>'Green Emissions - N'!G2</f>
        <v>0.55084444444444447</v>
      </c>
      <c r="L8" s="41">
        <f>'Green Emissions - P'!G2</f>
        <v>8.1035479307827316</v>
      </c>
      <c r="M8">
        <v>0</v>
      </c>
      <c r="N8">
        <v>0</v>
      </c>
      <c r="O8" s="18">
        <v>0.3</v>
      </c>
      <c r="P8" s="18">
        <v>0.3</v>
      </c>
      <c r="Q8">
        <v>0</v>
      </c>
      <c r="T8" t="s">
        <v>249</v>
      </c>
      <c r="U8" t="s">
        <v>249</v>
      </c>
      <c r="V8" t="s">
        <v>249</v>
      </c>
      <c r="W8" t="s">
        <v>249</v>
      </c>
      <c r="X8" t="s">
        <v>249</v>
      </c>
      <c r="Y8" t="s">
        <v>250</v>
      </c>
      <c r="Z8" s="45" t="e">
        <f>#REF!</f>
        <v>#REF!</v>
      </c>
      <c r="AA8" s="3" t="s">
        <v>91</v>
      </c>
      <c r="AB8" s="3"/>
    </row>
    <row r="9" spans="1:28" x14ac:dyDescent="0.2">
      <c r="A9" t="s">
        <v>265</v>
      </c>
      <c r="B9" t="str">
        <f t="shared" si="0"/>
        <v>No-till</v>
      </c>
      <c r="C9" t="s">
        <v>276</v>
      </c>
      <c r="D9" t="s">
        <v>281</v>
      </c>
      <c r="E9">
        <v>5</v>
      </c>
      <c r="F9" t="s">
        <v>53</v>
      </c>
      <c r="G9" s="1">
        <v>0</v>
      </c>
      <c r="H9" s="1">
        <v>-16.600000000000001</v>
      </c>
      <c r="I9" s="1">
        <f>G9*'Dollar Conversion'!$Q$6</f>
        <v>0</v>
      </c>
      <c r="J9" s="1">
        <f>H9*'Dollar Conversion'!$Q$6</f>
        <v>-20.241380459736593</v>
      </c>
      <c r="K9" s="41">
        <v>0</v>
      </c>
      <c r="L9" s="41">
        <f>'Green Emissions - P'!G11</f>
        <v>-91.350687499999992</v>
      </c>
      <c r="M9">
        <v>0</v>
      </c>
      <c r="N9">
        <v>0</v>
      </c>
      <c r="O9" s="18">
        <v>0</v>
      </c>
      <c r="P9" s="18">
        <v>0.5</v>
      </c>
      <c r="Q9">
        <v>0</v>
      </c>
      <c r="T9" t="s">
        <v>249</v>
      </c>
      <c r="U9" t="s">
        <v>249</v>
      </c>
      <c r="V9" t="s">
        <v>249</v>
      </c>
      <c r="W9" t="s">
        <v>249</v>
      </c>
      <c r="X9" t="s">
        <v>249</v>
      </c>
      <c r="Y9" t="s">
        <v>250</v>
      </c>
      <c r="Z9" s="45" t="e">
        <f>#REF!</f>
        <v>#REF!</v>
      </c>
      <c r="AA9" s="3" t="s">
        <v>91</v>
      </c>
      <c r="AB9" s="3"/>
    </row>
    <row r="10" spans="1:28" x14ac:dyDescent="0.2">
      <c r="K10" s="1"/>
    </row>
    <row r="22" spans="7:16" x14ac:dyDescent="0.2">
      <c r="G22" s="4"/>
      <c r="H22" s="4"/>
      <c r="I22" s="4"/>
      <c r="J22" s="4"/>
      <c r="K22" s="4"/>
      <c r="L22" s="28"/>
    </row>
    <row r="23" spans="7:16" x14ac:dyDescent="0.2">
      <c r="G23" s="4"/>
      <c r="H23" s="4"/>
      <c r="I23" s="4"/>
      <c r="J23" s="4"/>
      <c r="K23" s="4"/>
      <c r="L23" s="28"/>
    </row>
    <row r="24" spans="7:16" x14ac:dyDescent="0.2">
      <c r="G24" s="4"/>
      <c r="H24" s="4"/>
      <c r="I24" s="4"/>
      <c r="J24" s="4"/>
      <c r="K24" s="4"/>
      <c r="L24" s="28"/>
    </row>
    <row r="25" spans="7:16" x14ac:dyDescent="0.2">
      <c r="G25" s="4"/>
      <c r="H25" s="4"/>
      <c r="I25" s="4"/>
      <c r="J25" s="4"/>
      <c r="K25" s="4"/>
      <c r="L25" s="28"/>
    </row>
    <row r="26" spans="7:16" x14ac:dyDescent="0.2">
      <c r="G26" s="4"/>
      <c r="H26" s="4"/>
      <c r="I26" s="4"/>
      <c r="J26" s="4"/>
      <c r="K26" s="4"/>
      <c r="L26" s="26"/>
      <c r="M26" s="26"/>
      <c r="N26" s="26"/>
      <c r="O26" s="26"/>
      <c r="P26" s="26"/>
    </row>
    <row r="27" spans="7:16" x14ac:dyDescent="0.2">
      <c r="G27" s="4"/>
      <c r="H27" s="4"/>
      <c r="I27" s="4"/>
      <c r="J27" s="4"/>
      <c r="K27" s="4"/>
      <c r="L27" s="28"/>
    </row>
    <row r="28" spans="7:16" x14ac:dyDescent="0.2">
      <c r="G28" s="4"/>
      <c r="H28" s="4"/>
      <c r="I28" s="2"/>
      <c r="J28" s="2"/>
      <c r="K28" s="4"/>
      <c r="L28" s="4"/>
    </row>
    <row r="29" spans="7:16" x14ac:dyDescent="0.2">
      <c r="G29" s="4"/>
      <c r="H29" s="4"/>
      <c r="I29" s="4"/>
      <c r="J29" s="4"/>
      <c r="K29" s="4"/>
      <c r="L29" s="4"/>
    </row>
  </sheetData>
  <hyperlinks>
    <hyperlink ref="AA3" r:id="rId1" xr:uid="{2E32C00B-307F-624B-A2AF-5C7803BE0E30}"/>
    <hyperlink ref="AA4" r:id="rId2" xr:uid="{CD0809F4-D9CF-D948-A736-DEDCCF3DEF00}"/>
    <hyperlink ref="AA5" r:id="rId3" xr:uid="{06BA0C3C-E95A-8A40-B194-AA786D115FEB}"/>
    <hyperlink ref="AA6" r:id="rId4" xr:uid="{52169660-1B94-014A-9322-03067CBF2F4A}"/>
    <hyperlink ref="AA7" r:id="rId5" xr:uid="{8D30FC0F-7BA0-F047-823B-F5C4473A1E61}"/>
    <hyperlink ref="AA8" r:id="rId6" xr:uid="{30879214-67C1-284F-833A-EEB2385462C9}"/>
    <hyperlink ref="AA9" r:id="rId7" xr:uid="{6D11766C-173C-B644-B343-0F89B27169E0}"/>
  </hyperlinks>
  <pageMargins left="0.7" right="0.7" top="0.75" bottom="0.75" header="0.3" footer="0.3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DA92-07AB-834D-9A18-3D17340F9BA0}">
  <sheetPr>
    <tabColor theme="9" tint="0.59999389629810485"/>
  </sheetPr>
  <dimension ref="A1:AB29"/>
  <sheetViews>
    <sheetView zoomScale="160" zoomScaleNormal="160" workbookViewId="0">
      <pane xSplit="1" topLeftCell="B1" activePane="topRight" state="frozen"/>
      <selection pane="topRight" activeCell="Y5" sqref="Y5"/>
    </sheetView>
  </sheetViews>
  <sheetFormatPr baseColWidth="10" defaultRowHeight="16" x14ac:dyDescent="0.2"/>
  <cols>
    <col min="1" max="1" width="18" bestFit="1" customWidth="1"/>
    <col min="2" max="2" width="16.5" bestFit="1" customWidth="1"/>
    <col min="3" max="3" width="6.6640625" bestFit="1" customWidth="1"/>
    <col min="4" max="4" width="6.6640625" customWidth="1"/>
    <col min="5" max="5" width="6.1640625" bestFit="1" customWidth="1"/>
    <col min="7" max="7" width="12.83203125" bestFit="1" customWidth="1"/>
    <col min="8" max="8" width="12.83203125" customWidth="1"/>
    <col min="9" max="9" width="13.1640625" bestFit="1" customWidth="1"/>
    <col min="10" max="10" width="13.1640625" customWidth="1"/>
    <col min="11" max="11" width="15.6640625" bestFit="1" customWidth="1"/>
    <col min="12" max="12" width="15.33203125" bestFit="1" customWidth="1"/>
    <col min="13" max="14" width="13.33203125" bestFit="1" customWidth="1"/>
    <col min="15" max="15" width="11" bestFit="1" customWidth="1"/>
    <col min="16" max="16" width="11.1640625" bestFit="1" customWidth="1"/>
    <col min="17" max="17" width="22.5" bestFit="1" customWidth="1"/>
    <col min="18" max="18" width="37" bestFit="1" customWidth="1"/>
    <col min="19" max="19" width="37.5" bestFit="1" customWidth="1"/>
    <col min="20" max="20" width="13.33203125" bestFit="1" customWidth="1"/>
    <col min="21" max="26" width="13.33203125" customWidth="1"/>
    <col min="27" max="27" width="12.33203125" bestFit="1" customWidth="1"/>
  </cols>
  <sheetData>
    <row r="1" spans="1:28" s="7" customFormat="1" x14ac:dyDescent="0.2">
      <c r="A1" s="5" t="s">
        <v>2</v>
      </c>
      <c r="B1" s="5" t="s">
        <v>36</v>
      </c>
      <c r="C1" s="5" t="s">
        <v>277</v>
      </c>
      <c r="D1" s="5" t="s">
        <v>279</v>
      </c>
      <c r="E1" s="5" t="s">
        <v>27</v>
      </c>
      <c r="F1" s="5" t="s">
        <v>3</v>
      </c>
      <c r="G1" s="5" t="s">
        <v>100</v>
      </c>
      <c r="H1" s="5" t="s">
        <v>100</v>
      </c>
      <c r="I1" s="5" t="s">
        <v>96</v>
      </c>
      <c r="J1" s="5" t="s">
        <v>97</v>
      </c>
      <c r="K1" s="5" t="s">
        <v>92</v>
      </c>
      <c r="L1" s="5" t="s">
        <v>94</v>
      </c>
      <c r="M1" s="5" t="s">
        <v>20</v>
      </c>
      <c r="N1" s="5" t="s">
        <v>23</v>
      </c>
      <c r="O1" s="5" t="s">
        <v>4</v>
      </c>
      <c r="P1" s="5" t="s">
        <v>5</v>
      </c>
      <c r="Q1" s="5" t="s">
        <v>24</v>
      </c>
      <c r="R1" s="5" t="s">
        <v>16</v>
      </c>
      <c r="S1" s="5" t="s">
        <v>17</v>
      </c>
      <c r="T1" s="5" t="s">
        <v>248</v>
      </c>
      <c r="U1" s="5" t="s">
        <v>257</v>
      </c>
      <c r="V1" s="5" t="s">
        <v>258</v>
      </c>
      <c r="W1" s="5" t="s">
        <v>259</v>
      </c>
      <c r="X1" s="5" t="s">
        <v>260</v>
      </c>
      <c r="Y1" s="5" t="s">
        <v>306</v>
      </c>
      <c r="Z1" s="5" t="s">
        <v>282</v>
      </c>
      <c r="AA1" s="5" t="s">
        <v>1</v>
      </c>
    </row>
    <row r="2" spans="1:28" s="7" customFormat="1" x14ac:dyDescent="0.2">
      <c r="A2" s="6" t="s">
        <v>0</v>
      </c>
      <c r="E2" s="6"/>
      <c r="F2" s="5"/>
      <c r="G2" s="6" t="s">
        <v>101</v>
      </c>
      <c r="H2" s="6" t="s">
        <v>98</v>
      </c>
      <c r="I2" s="6" t="s">
        <v>75</v>
      </c>
      <c r="J2" s="6" t="s">
        <v>98</v>
      </c>
      <c r="K2" s="6" t="s">
        <v>93</v>
      </c>
      <c r="L2" s="6" t="s">
        <v>95</v>
      </c>
      <c r="M2" s="6" t="s">
        <v>21</v>
      </c>
      <c r="N2" s="6" t="s">
        <v>21</v>
      </c>
      <c r="O2" s="6" t="s">
        <v>54</v>
      </c>
      <c r="P2" s="6" t="s">
        <v>54</v>
      </c>
      <c r="Q2" s="6" t="s">
        <v>25</v>
      </c>
      <c r="R2" s="6" t="s">
        <v>26</v>
      </c>
      <c r="S2" s="6" t="s">
        <v>26</v>
      </c>
      <c r="T2" s="6"/>
      <c r="U2" s="6" t="s">
        <v>261</v>
      </c>
      <c r="V2" s="6" t="s">
        <v>261</v>
      </c>
      <c r="W2" s="6" t="s">
        <v>261</v>
      </c>
      <c r="X2" s="6" t="s">
        <v>261</v>
      </c>
      <c r="Y2" s="6" t="s">
        <v>261</v>
      </c>
      <c r="Z2" s="6" t="s">
        <v>54</v>
      </c>
      <c r="AA2" s="5"/>
    </row>
    <row r="3" spans="1:28" x14ac:dyDescent="0.2">
      <c r="A3" t="s">
        <v>102</v>
      </c>
      <c r="B3" t="str">
        <f>A3</f>
        <v>Buffers</v>
      </c>
      <c r="C3" t="s">
        <v>271</v>
      </c>
      <c r="D3" t="s">
        <v>280</v>
      </c>
      <c r="E3">
        <v>5</v>
      </c>
      <c r="F3" t="s">
        <v>53</v>
      </c>
      <c r="G3" s="1">
        <v>1.6</v>
      </c>
      <c r="H3" s="1">
        <v>12</v>
      </c>
      <c r="I3" s="1">
        <f>G3*'Dollar Conversion'!$Q$6</f>
        <v>1.9509764298541292</v>
      </c>
      <c r="J3" s="1">
        <f>H3*'Dollar Conversion'!$Q$6</f>
        <v>14.632323223905969</v>
      </c>
      <c r="K3" s="47">
        <f>'Green Emissions - N'!G20</f>
        <v>0.10025753474610297</v>
      </c>
      <c r="L3" s="41">
        <f>'Green Emissions - P'!G19</f>
        <v>2.6548241406006943</v>
      </c>
      <c r="M3">
        <v>0</v>
      </c>
      <c r="N3">
        <v>0</v>
      </c>
      <c r="O3" s="18">
        <v>0.9</v>
      </c>
      <c r="P3" s="18">
        <v>0.5</v>
      </c>
      <c r="Q3">
        <v>0</v>
      </c>
      <c r="T3" t="s">
        <v>249</v>
      </c>
      <c r="U3" t="s">
        <v>250</v>
      </c>
      <c r="V3" t="s">
        <v>250</v>
      </c>
      <c r="W3" t="s">
        <v>249</v>
      </c>
      <c r="X3" t="s">
        <v>249</v>
      </c>
      <c r="Y3" s="2">
        <f>1/15</f>
        <v>6.6666666666666666E-2</v>
      </c>
      <c r="Z3" s="45" t="e">
        <f>#REF!</f>
        <v>#REF!</v>
      </c>
      <c r="AA3" s="3" t="s">
        <v>91</v>
      </c>
      <c r="AB3" s="3"/>
    </row>
    <row r="4" spans="1:28" x14ac:dyDescent="0.2">
      <c r="A4" t="s">
        <v>47</v>
      </c>
      <c r="B4" t="str">
        <f t="shared" ref="B4:B9" si="0">A4</f>
        <v>Bioreactors</v>
      </c>
      <c r="C4" t="s">
        <v>272</v>
      </c>
      <c r="D4" t="s">
        <v>280</v>
      </c>
      <c r="E4">
        <v>5</v>
      </c>
      <c r="F4" t="s">
        <v>53</v>
      </c>
      <c r="G4" s="1">
        <v>2.2000000000000002</v>
      </c>
      <c r="H4" s="1">
        <v>0</v>
      </c>
      <c r="I4" s="1">
        <f>G4*'Dollar Conversion'!$Q$6</f>
        <v>2.6825925910494277</v>
      </c>
      <c r="J4" s="1">
        <f>H4*'Dollar Conversion'!$Q$6</f>
        <v>0</v>
      </c>
      <c r="K4" s="2">
        <f>'Green Emissions - N'!B2</f>
        <v>0.69556447643512431</v>
      </c>
      <c r="L4" s="41">
        <v>0</v>
      </c>
      <c r="M4">
        <v>0</v>
      </c>
      <c r="N4">
        <v>0</v>
      </c>
      <c r="O4" s="18">
        <v>0.25</v>
      </c>
      <c r="P4" s="18">
        <v>0</v>
      </c>
      <c r="Q4">
        <v>0</v>
      </c>
      <c r="T4" t="s">
        <v>249</v>
      </c>
      <c r="U4" t="s">
        <v>250</v>
      </c>
      <c r="V4" t="s">
        <v>249</v>
      </c>
      <c r="W4" t="s">
        <v>249</v>
      </c>
      <c r="X4" t="s">
        <v>249</v>
      </c>
      <c r="Y4" s="2">
        <f>1/10</f>
        <v>0.1</v>
      </c>
      <c r="Z4" s="45" t="e">
        <f>#REF!</f>
        <v>#REF!</v>
      </c>
      <c r="AA4" s="3" t="s">
        <v>91</v>
      </c>
      <c r="AB4" s="3"/>
    </row>
    <row r="5" spans="1:28" x14ac:dyDescent="0.2">
      <c r="A5" t="s">
        <v>48</v>
      </c>
      <c r="B5" t="str">
        <f t="shared" si="0"/>
        <v>Wetland</v>
      </c>
      <c r="C5" t="s">
        <v>273</v>
      </c>
      <c r="D5" t="s">
        <v>280</v>
      </c>
      <c r="E5">
        <v>5</v>
      </c>
      <c r="F5" t="s">
        <v>53</v>
      </c>
      <c r="G5" s="1">
        <v>4</v>
      </c>
      <c r="H5" s="1">
        <v>0</v>
      </c>
      <c r="I5" s="1">
        <f>G5*'Dollar Conversion'!$Q$6</f>
        <v>4.8774410746353229</v>
      </c>
      <c r="J5" s="1">
        <f>H5*'Dollar Conversion'!$Q$6</f>
        <v>0</v>
      </c>
      <c r="K5" s="2">
        <f>'Green Emissions - N'!L53</f>
        <v>-3.8975548447566473</v>
      </c>
      <c r="L5" s="41">
        <v>0</v>
      </c>
      <c r="M5">
        <v>0</v>
      </c>
      <c r="N5">
        <v>0</v>
      </c>
      <c r="O5" s="18">
        <v>0.5</v>
      </c>
      <c r="P5" s="18">
        <v>0</v>
      </c>
      <c r="Q5">
        <v>0</v>
      </c>
      <c r="T5" t="s">
        <v>249</v>
      </c>
      <c r="U5" t="s">
        <v>249</v>
      </c>
      <c r="V5" t="s">
        <v>249</v>
      </c>
      <c r="W5" t="s">
        <v>250</v>
      </c>
      <c r="X5" t="s">
        <v>249</v>
      </c>
      <c r="Y5" s="2">
        <f>1/40</f>
        <v>2.5000000000000001E-2</v>
      </c>
      <c r="Z5" s="45" t="e">
        <f>#REF!</f>
        <v>#REF!</v>
      </c>
      <c r="AA5" s="3" t="s">
        <v>91</v>
      </c>
      <c r="AB5" s="3"/>
    </row>
    <row r="6" spans="1:28" x14ac:dyDescent="0.2">
      <c r="A6" t="s">
        <v>49</v>
      </c>
      <c r="B6" t="str">
        <f t="shared" si="0"/>
        <v>N Rate Reduction</v>
      </c>
      <c r="C6" t="s">
        <v>278</v>
      </c>
      <c r="D6" t="s">
        <v>281</v>
      </c>
      <c r="E6">
        <v>5</v>
      </c>
      <c r="F6" t="s">
        <v>53</v>
      </c>
      <c r="G6" s="1">
        <v>-4.25</v>
      </c>
      <c r="H6" s="1">
        <v>-48.8</v>
      </c>
      <c r="I6" s="1">
        <v>0</v>
      </c>
      <c r="J6" s="1">
        <v>0</v>
      </c>
      <c r="K6" s="2">
        <f>'Green Emissions - N'!G8</f>
        <v>-9.2071428571428573</v>
      </c>
      <c r="L6" s="41">
        <f>'Green Water Treatment Illinois'!L6</f>
        <v>-105.71966386554621</v>
      </c>
      <c r="M6">
        <v>0</v>
      </c>
      <c r="N6">
        <v>0</v>
      </c>
      <c r="O6" s="18">
        <v>0.1</v>
      </c>
      <c r="P6" s="18">
        <v>7.0000000000000007E-2</v>
      </c>
      <c r="Q6">
        <v>0</v>
      </c>
      <c r="T6" t="s">
        <v>249</v>
      </c>
      <c r="U6" t="s">
        <v>249</v>
      </c>
      <c r="V6" t="s">
        <v>249</v>
      </c>
      <c r="W6" t="s">
        <v>249</v>
      </c>
      <c r="X6" t="s">
        <v>250</v>
      </c>
      <c r="Y6" t="s">
        <v>250</v>
      </c>
      <c r="Z6" s="45" t="e">
        <f>#REF!</f>
        <v>#REF!</v>
      </c>
      <c r="AA6" s="3" t="s">
        <v>91</v>
      </c>
      <c r="AB6" s="3"/>
    </row>
    <row r="7" spans="1:28" x14ac:dyDescent="0.2">
      <c r="A7" t="s">
        <v>264</v>
      </c>
      <c r="B7" t="str">
        <f t="shared" si="0"/>
        <v>Split N Application</v>
      </c>
      <c r="C7" t="s">
        <v>274</v>
      </c>
      <c r="D7" t="s">
        <v>281</v>
      </c>
      <c r="E7">
        <v>5</v>
      </c>
      <c r="F7" t="s">
        <v>53</v>
      </c>
      <c r="G7" s="1">
        <v>6.2</v>
      </c>
      <c r="H7" s="1">
        <v>0</v>
      </c>
      <c r="I7" s="1">
        <f>G7*'Dollar Conversion'!$Q$6</f>
        <v>7.5600336656847507</v>
      </c>
      <c r="J7" s="1">
        <f>H7*'Dollar Conversion'!$Q$6</f>
        <v>0</v>
      </c>
      <c r="K7" s="2">
        <f>'Green Emissions - N'!G15</f>
        <v>11.102512533037871</v>
      </c>
      <c r="L7" s="41">
        <v>0</v>
      </c>
      <c r="M7">
        <v>0</v>
      </c>
      <c r="N7">
        <v>0</v>
      </c>
      <c r="O7" s="18">
        <v>0.1</v>
      </c>
      <c r="P7" s="18">
        <v>0</v>
      </c>
      <c r="Q7">
        <v>0</v>
      </c>
      <c r="T7" t="s">
        <v>249</v>
      </c>
      <c r="U7" t="s">
        <v>249</v>
      </c>
      <c r="V7" t="s">
        <v>249</v>
      </c>
      <c r="W7" t="s">
        <v>249</v>
      </c>
      <c r="X7" t="s">
        <v>250</v>
      </c>
      <c r="Y7" t="s">
        <v>250</v>
      </c>
      <c r="Z7" s="45" t="e">
        <f>#REF!</f>
        <v>#REF!</v>
      </c>
      <c r="AA7" s="3" t="s">
        <v>91</v>
      </c>
      <c r="AB7" s="3"/>
    </row>
    <row r="8" spans="1:28" x14ac:dyDescent="0.2">
      <c r="A8" t="s">
        <v>51</v>
      </c>
      <c r="B8" t="str">
        <f t="shared" si="0"/>
        <v>Cover Crop</v>
      </c>
      <c r="C8" t="s">
        <v>275</v>
      </c>
      <c r="D8" t="s">
        <v>281</v>
      </c>
      <c r="E8">
        <v>5</v>
      </c>
      <c r="F8" t="s">
        <v>53</v>
      </c>
      <c r="G8" s="1">
        <v>3.2</v>
      </c>
      <c r="H8" s="1">
        <v>130</v>
      </c>
      <c r="I8" s="1">
        <f>G8*'Dollar Conversion'!$Q$6</f>
        <v>3.9019528597082584</v>
      </c>
      <c r="J8" s="1">
        <f>H8*'Dollar Conversion'!$Q$6</f>
        <v>158.516834925648</v>
      </c>
      <c r="K8" s="2">
        <f>'Green Emissions - N'!G2</f>
        <v>0.55084444444444447</v>
      </c>
      <c r="L8" s="41">
        <f>'Green Emissions - P'!G2</f>
        <v>8.1035479307827316</v>
      </c>
      <c r="M8">
        <v>0</v>
      </c>
      <c r="N8">
        <v>0</v>
      </c>
      <c r="O8" s="18">
        <v>0.3</v>
      </c>
      <c r="P8" s="18">
        <v>0.3</v>
      </c>
      <c r="Q8">
        <v>0</v>
      </c>
      <c r="T8" t="s">
        <v>249</v>
      </c>
      <c r="U8" t="s">
        <v>249</v>
      </c>
      <c r="V8" t="s">
        <v>249</v>
      </c>
      <c r="W8" t="s">
        <v>249</v>
      </c>
      <c r="X8" t="s">
        <v>249</v>
      </c>
      <c r="Y8" t="s">
        <v>250</v>
      </c>
      <c r="Z8" s="45" t="e">
        <f>#REF!</f>
        <v>#REF!</v>
      </c>
      <c r="AA8" s="3" t="s">
        <v>91</v>
      </c>
      <c r="AB8" s="3"/>
    </row>
    <row r="9" spans="1:28" x14ac:dyDescent="0.2">
      <c r="A9" t="s">
        <v>265</v>
      </c>
      <c r="B9" t="str">
        <f t="shared" si="0"/>
        <v>No-till</v>
      </c>
      <c r="C9" t="s">
        <v>276</v>
      </c>
      <c r="D9" t="s">
        <v>281</v>
      </c>
      <c r="E9">
        <v>5</v>
      </c>
      <c r="F9" t="s">
        <v>53</v>
      </c>
      <c r="G9" s="1">
        <v>0</v>
      </c>
      <c r="H9" s="1">
        <v>-16.600000000000001</v>
      </c>
      <c r="I9" s="1">
        <f>G9*'Dollar Conversion'!$Q$6</f>
        <v>0</v>
      </c>
      <c r="J9" s="1">
        <v>0</v>
      </c>
      <c r="K9" s="41">
        <v>0</v>
      </c>
      <c r="L9" s="41">
        <f>'Green Emissions - P'!G11</f>
        <v>-91.350687499999992</v>
      </c>
      <c r="M9">
        <v>0</v>
      </c>
      <c r="N9">
        <v>0</v>
      </c>
      <c r="O9" s="18">
        <v>0</v>
      </c>
      <c r="P9" s="18">
        <v>0.5</v>
      </c>
      <c r="Q9">
        <v>0</v>
      </c>
      <c r="T9" t="s">
        <v>249</v>
      </c>
      <c r="U9" t="s">
        <v>249</v>
      </c>
      <c r="V9" t="s">
        <v>249</v>
      </c>
      <c r="W9" t="s">
        <v>249</v>
      </c>
      <c r="X9" t="s">
        <v>249</v>
      </c>
      <c r="Y9" t="s">
        <v>250</v>
      </c>
      <c r="Z9" s="45" t="e">
        <f>#REF!</f>
        <v>#REF!</v>
      </c>
      <c r="AA9" s="3" t="s">
        <v>91</v>
      </c>
      <c r="AB9" s="3"/>
    </row>
    <row r="10" spans="1:28" x14ac:dyDescent="0.2">
      <c r="K10" s="1"/>
    </row>
    <row r="22" spans="7:16" x14ac:dyDescent="0.2">
      <c r="G22" s="4"/>
      <c r="H22" s="4"/>
      <c r="I22" s="4"/>
      <c r="J22" s="4"/>
      <c r="K22" s="4"/>
      <c r="L22" s="28"/>
    </row>
    <row r="23" spans="7:16" x14ac:dyDescent="0.2">
      <c r="G23" s="4"/>
      <c r="H23" s="4"/>
      <c r="I23" s="4"/>
      <c r="J23" s="4"/>
      <c r="K23" s="4"/>
      <c r="L23" s="28"/>
    </row>
    <row r="24" spans="7:16" x14ac:dyDescent="0.2">
      <c r="G24" s="4"/>
      <c r="H24" s="4"/>
      <c r="I24" s="4"/>
      <c r="J24" s="4"/>
      <c r="K24" s="4"/>
      <c r="L24" s="28"/>
    </row>
    <row r="25" spans="7:16" x14ac:dyDescent="0.2">
      <c r="G25" s="4"/>
      <c r="H25" s="4"/>
      <c r="I25" s="4"/>
      <c r="J25" s="4"/>
      <c r="K25" s="4"/>
      <c r="L25" s="28"/>
    </row>
    <row r="26" spans="7:16" x14ac:dyDescent="0.2">
      <c r="G26" s="4"/>
      <c r="H26" s="4"/>
      <c r="I26" s="4"/>
      <c r="J26" s="4"/>
      <c r="K26" s="4"/>
      <c r="L26" s="26"/>
      <c r="M26" s="26"/>
      <c r="N26" s="26"/>
      <c r="O26" s="26"/>
      <c r="P26" s="26"/>
    </row>
    <row r="27" spans="7:16" x14ac:dyDescent="0.2">
      <c r="G27" s="4"/>
      <c r="H27" s="4"/>
      <c r="I27" s="4"/>
      <c r="J27" s="4"/>
      <c r="K27" s="4"/>
      <c r="L27" s="28"/>
    </row>
    <row r="28" spans="7:16" x14ac:dyDescent="0.2">
      <c r="G28" s="4"/>
      <c r="H28" s="4"/>
      <c r="I28" s="2"/>
      <c r="J28" s="2"/>
      <c r="K28" s="4"/>
      <c r="L28" s="4"/>
    </row>
    <row r="29" spans="7:16" x14ac:dyDescent="0.2">
      <c r="G29" s="4"/>
      <c r="H29" s="4"/>
      <c r="I29" s="4"/>
      <c r="J29" s="4"/>
      <c r="K29" s="4"/>
      <c r="L29" s="4"/>
    </row>
  </sheetData>
  <hyperlinks>
    <hyperlink ref="AA3" r:id="rId1" xr:uid="{D837B4DD-8010-A540-BE82-42D289FE2D5D}"/>
    <hyperlink ref="AA4" r:id="rId2" xr:uid="{F23A4B6A-CE65-9C43-A0BC-83161748B003}"/>
    <hyperlink ref="AA5" r:id="rId3" xr:uid="{9EFAF35C-6953-2B4E-AEEA-0052BBF012C9}"/>
    <hyperlink ref="AA6" r:id="rId4" xr:uid="{CF2E62A4-101F-3C44-8A75-736D6743DEDC}"/>
    <hyperlink ref="AA7" r:id="rId5" xr:uid="{96D2FBAC-D60D-8F4C-AF41-2CEECDE75148}"/>
    <hyperlink ref="AA8" r:id="rId6" xr:uid="{E4C29F4D-F639-E047-87CF-3E266CD15D19}"/>
    <hyperlink ref="AA9" r:id="rId7" xr:uid="{F72D2935-D2A0-2549-B02D-30EB58C045A5}"/>
  </hyperlinks>
  <pageMargins left="0.7" right="0.7" top="0.75" bottom="0.75" header="0.3" footer="0.3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9E75-C907-CC4F-A76F-1DB1E8EDA9BD}">
  <sheetPr>
    <tabColor theme="9" tint="0.59999389629810485"/>
  </sheetPr>
  <dimension ref="A1:X29"/>
  <sheetViews>
    <sheetView zoomScale="160" zoomScaleNormal="160" workbookViewId="0">
      <pane xSplit="1" topLeftCell="B1" activePane="topRight" state="frozen"/>
      <selection pane="topRight" activeCell="I11" sqref="I11"/>
    </sheetView>
  </sheetViews>
  <sheetFormatPr baseColWidth="10" defaultRowHeight="16" x14ac:dyDescent="0.2"/>
  <cols>
    <col min="1" max="2" width="18" bestFit="1" customWidth="1"/>
    <col min="3" max="3" width="6.1640625" bestFit="1" customWidth="1"/>
    <col min="5" max="5" width="12.83203125" bestFit="1" customWidth="1"/>
    <col min="6" max="6" width="12.83203125" customWidth="1"/>
    <col min="7" max="7" width="13.1640625" bestFit="1" customWidth="1"/>
    <col min="8" max="8" width="13.1640625" customWidth="1"/>
    <col min="9" max="9" width="15.6640625" bestFit="1" customWidth="1"/>
    <col min="10" max="10" width="15.33203125" bestFit="1" customWidth="1"/>
    <col min="11" max="12" width="13.33203125" bestFit="1" customWidth="1"/>
    <col min="13" max="13" width="11" bestFit="1" customWidth="1"/>
    <col min="14" max="14" width="11.1640625" bestFit="1" customWidth="1"/>
    <col min="15" max="15" width="22.5" bestFit="1" customWidth="1"/>
    <col min="16" max="16" width="37" bestFit="1" customWidth="1"/>
    <col min="17" max="17" width="37.5" bestFit="1" customWidth="1"/>
    <col min="18" max="18" width="13.33203125" bestFit="1" customWidth="1"/>
    <col min="19" max="22" width="13.33203125" customWidth="1"/>
    <col min="23" max="23" width="12.33203125" bestFit="1" customWidth="1"/>
  </cols>
  <sheetData>
    <row r="1" spans="1:24" s="7" customFormat="1" x14ac:dyDescent="0.2">
      <c r="A1" s="5" t="s">
        <v>2</v>
      </c>
      <c r="B1" s="5" t="s">
        <v>36</v>
      </c>
      <c r="C1" s="5" t="s">
        <v>27</v>
      </c>
      <c r="D1" s="5" t="s">
        <v>3</v>
      </c>
      <c r="E1" s="5" t="s">
        <v>100</v>
      </c>
      <c r="F1" s="5" t="s">
        <v>100</v>
      </c>
      <c r="G1" s="5" t="s">
        <v>96</v>
      </c>
      <c r="H1" s="5" t="s">
        <v>97</v>
      </c>
      <c r="I1" s="5" t="s">
        <v>92</v>
      </c>
      <c r="J1" s="5" t="s">
        <v>94</v>
      </c>
      <c r="K1" s="5" t="s">
        <v>20</v>
      </c>
      <c r="L1" s="5" t="s">
        <v>23</v>
      </c>
      <c r="M1" s="5" t="s">
        <v>4</v>
      </c>
      <c r="N1" s="5" t="s">
        <v>5</v>
      </c>
      <c r="O1" s="5" t="s">
        <v>24</v>
      </c>
      <c r="P1" s="5" t="s">
        <v>16</v>
      </c>
      <c r="Q1" s="5" t="s">
        <v>17</v>
      </c>
      <c r="R1" s="5" t="s">
        <v>248</v>
      </c>
      <c r="S1" s="5" t="s">
        <v>257</v>
      </c>
      <c r="T1" s="5" t="s">
        <v>258</v>
      </c>
      <c r="U1" s="5" t="s">
        <v>259</v>
      </c>
      <c r="V1" s="5" t="s">
        <v>260</v>
      </c>
      <c r="W1" s="5" t="s">
        <v>1</v>
      </c>
    </row>
    <row r="2" spans="1:24" s="7" customFormat="1" x14ac:dyDescent="0.2">
      <c r="A2" s="6" t="s">
        <v>0</v>
      </c>
      <c r="C2" s="6"/>
      <c r="D2" s="5"/>
      <c r="E2" s="6" t="s">
        <v>101</v>
      </c>
      <c r="F2" s="6" t="s">
        <v>98</v>
      </c>
      <c r="G2" s="6" t="s">
        <v>75</v>
      </c>
      <c r="H2" s="6" t="s">
        <v>98</v>
      </c>
      <c r="I2" s="6" t="s">
        <v>93</v>
      </c>
      <c r="J2" s="6" t="s">
        <v>95</v>
      </c>
      <c r="K2" s="6" t="s">
        <v>21</v>
      </c>
      <c r="L2" s="6" t="s">
        <v>21</v>
      </c>
      <c r="M2" s="6" t="s">
        <v>54</v>
      </c>
      <c r="N2" s="6" t="s">
        <v>54</v>
      </c>
      <c r="O2" s="6" t="s">
        <v>25</v>
      </c>
      <c r="P2" s="6" t="s">
        <v>26</v>
      </c>
      <c r="Q2" s="6" t="s">
        <v>26</v>
      </c>
      <c r="R2" s="6"/>
      <c r="S2" s="6" t="s">
        <v>261</v>
      </c>
      <c r="T2" s="6" t="s">
        <v>261</v>
      </c>
      <c r="U2" s="6" t="s">
        <v>261</v>
      </c>
      <c r="V2" s="6" t="s">
        <v>261</v>
      </c>
      <c r="W2" s="5"/>
    </row>
    <row r="3" spans="1:24" x14ac:dyDescent="0.2">
      <c r="A3" t="s">
        <v>102</v>
      </c>
      <c r="B3" t="str">
        <f>A3</f>
        <v>Buffers</v>
      </c>
      <c r="C3">
        <v>5</v>
      </c>
      <c r="D3" t="s">
        <v>53</v>
      </c>
      <c r="E3" s="1">
        <v>1.6</v>
      </c>
      <c r="F3" s="1">
        <v>12</v>
      </c>
      <c r="G3" s="1">
        <v>5</v>
      </c>
      <c r="H3" s="1">
        <v>5</v>
      </c>
      <c r="I3" s="2">
        <v>1</v>
      </c>
      <c r="J3" s="41">
        <v>1</v>
      </c>
      <c r="K3">
        <v>0</v>
      </c>
      <c r="L3">
        <v>0</v>
      </c>
      <c r="M3" s="18">
        <v>0.9</v>
      </c>
      <c r="N3" s="18">
        <v>0.5</v>
      </c>
      <c r="O3">
        <v>0</v>
      </c>
      <c r="R3" t="s">
        <v>249</v>
      </c>
      <c r="S3" t="s">
        <v>250</v>
      </c>
      <c r="T3" t="s">
        <v>250</v>
      </c>
      <c r="U3" t="s">
        <v>249</v>
      </c>
      <c r="V3" t="s">
        <v>249</v>
      </c>
      <c r="W3" s="3" t="s">
        <v>91</v>
      </c>
      <c r="X3" s="3"/>
    </row>
    <row r="4" spans="1:24" x14ac:dyDescent="0.2">
      <c r="A4" t="s">
        <v>47</v>
      </c>
      <c r="B4" t="str">
        <f t="shared" ref="B4:B9" si="0">A4</f>
        <v>Bioreactors</v>
      </c>
      <c r="C4">
        <v>5</v>
      </c>
      <c r="D4" t="s">
        <v>53</v>
      </c>
      <c r="E4" s="1">
        <v>2.2000000000000002</v>
      </c>
      <c r="F4" s="1">
        <v>0</v>
      </c>
      <c r="G4" s="1">
        <f>E4*'Dollar Conversion'!$Q$6</f>
        <v>2.6825925910494277</v>
      </c>
      <c r="H4" s="1">
        <f>F4*'Dollar Conversion'!$Q$6</f>
        <v>0</v>
      </c>
      <c r="I4" s="2">
        <f>'Green Emissions - N'!B2</f>
        <v>0.69556447643512431</v>
      </c>
      <c r="J4" s="41">
        <v>0</v>
      </c>
      <c r="K4">
        <v>0</v>
      </c>
      <c r="L4">
        <v>0</v>
      </c>
      <c r="M4" s="18">
        <v>0.25</v>
      </c>
      <c r="N4" s="18">
        <v>0</v>
      </c>
      <c r="O4">
        <v>0</v>
      </c>
      <c r="R4" t="s">
        <v>249</v>
      </c>
      <c r="S4" t="s">
        <v>250</v>
      </c>
      <c r="T4" t="s">
        <v>249</v>
      </c>
      <c r="U4" t="s">
        <v>249</v>
      </c>
      <c r="V4" t="s">
        <v>249</v>
      </c>
      <c r="W4" s="3" t="s">
        <v>91</v>
      </c>
      <c r="X4" s="3"/>
    </row>
    <row r="5" spans="1:24" x14ac:dyDescent="0.2">
      <c r="A5" t="s">
        <v>48</v>
      </c>
      <c r="B5" t="str">
        <f t="shared" si="0"/>
        <v>Wetland</v>
      </c>
      <c r="C5">
        <v>5</v>
      </c>
      <c r="D5" t="s">
        <v>53</v>
      </c>
      <c r="E5" s="1">
        <v>4</v>
      </c>
      <c r="F5" s="1">
        <v>0</v>
      </c>
      <c r="G5" s="1">
        <f>E5*'Dollar Conversion'!$Q$6</f>
        <v>4.8774410746353229</v>
      </c>
      <c r="H5" s="1">
        <f>F5*'Dollar Conversion'!$Q$6</f>
        <v>0</v>
      </c>
      <c r="I5" s="2">
        <f>'Green Emissions - N'!L53</f>
        <v>-3.8975548447566473</v>
      </c>
      <c r="J5" s="41">
        <v>0</v>
      </c>
      <c r="K5">
        <v>0</v>
      </c>
      <c r="L5">
        <v>0</v>
      </c>
      <c r="M5" s="18">
        <v>0.5</v>
      </c>
      <c r="N5" s="18">
        <v>0</v>
      </c>
      <c r="O5">
        <v>0</v>
      </c>
      <c r="R5" t="s">
        <v>249</v>
      </c>
      <c r="S5" t="s">
        <v>249</v>
      </c>
      <c r="T5" t="s">
        <v>249</v>
      </c>
      <c r="U5" t="s">
        <v>250</v>
      </c>
      <c r="V5" t="s">
        <v>249</v>
      </c>
      <c r="W5" s="3" t="s">
        <v>91</v>
      </c>
      <c r="X5" s="3"/>
    </row>
    <row r="6" spans="1:24" x14ac:dyDescent="0.2">
      <c r="A6" t="s">
        <v>49</v>
      </c>
      <c r="B6" t="str">
        <f t="shared" si="0"/>
        <v>N Rate Reduction</v>
      </c>
      <c r="C6">
        <v>5</v>
      </c>
      <c r="D6" t="s">
        <v>53</v>
      </c>
      <c r="E6" s="1">
        <v>-4.25</v>
      </c>
      <c r="F6" s="1">
        <v>-48.8</v>
      </c>
      <c r="G6" s="44">
        <v>100000</v>
      </c>
      <c r="H6" s="44">
        <v>-100000</v>
      </c>
      <c r="I6" s="44">
        <v>-100000</v>
      </c>
      <c r="J6" s="44">
        <v>100000</v>
      </c>
      <c r="K6">
        <v>0</v>
      </c>
      <c r="L6">
        <v>0</v>
      </c>
      <c r="M6" s="18">
        <v>0.1</v>
      </c>
      <c r="N6" s="18">
        <v>7.0000000000000007E-2</v>
      </c>
      <c r="O6">
        <v>0</v>
      </c>
      <c r="R6" t="s">
        <v>249</v>
      </c>
      <c r="S6" t="s">
        <v>249</v>
      </c>
      <c r="T6" t="s">
        <v>249</v>
      </c>
      <c r="U6" t="s">
        <v>249</v>
      </c>
      <c r="V6" t="s">
        <v>250</v>
      </c>
      <c r="W6" s="3" t="s">
        <v>91</v>
      </c>
      <c r="X6" s="3"/>
    </row>
    <row r="7" spans="1:24" x14ac:dyDescent="0.2">
      <c r="A7" t="s">
        <v>264</v>
      </c>
      <c r="B7" t="str">
        <f t="shared" si="0"/>
        <v>Split N Application</v>
      </c>
      <c r="C7">
        <v>5</v>
      </c>
      <c r="D7" t="s">
        <v>53</v>
      </c>
      <c r="E7" s="1">
        <v>6.2</v>
      </c>
      <c r="F7" s="1">
        <v>0</v>
      </c>
      <c r="G7" s="1">
        <f>E7*'Dollar Conversion'!$Q$6</f>
        <v>7.5600336656847507</v>
      </c>
      <c r="H7" s="1">
        <f>F7*'Dollar Conversion'!$Q$6</f>
        <v>0</v>
      </c>
      <c r="I7" s="2">
        <f>'Green Emissions - N'!G15</f>
        <v>11.102512533037871</v>
      </c>
      <c r="J7" s="41">
        <v>0</v>
      </c>
      <c r="K7">
        <v>0</v>
      </c>
      <c r="L7">
        <v>0</v>
      </c>
      <c r="M7" s="18">
        <v>0.1</v>
      </c>
      <c r="N7" s="18">
        <v>0</v>
      </c>
      <c r="O7">
        <v>0</v>
      </c>
      <c r="R7" t="s">
        <v>249</v>
      </c>
      <c r="S7" t="s">
        <v>249</v>
      </c>
      <c r="T7" t="s">
        <v>249</v>
      </c>
      <c r="U7" t="s">
        <v>249</v>
      </c>
      <c r="V7" t="s">
        <v>250</v>
      </c>
      <c r="W7" s="3" t="s">
        <v>91</v>
      </c>
      <c r="X7" s="3"/>
    </row>
    <row r="8" spans="1:24" x14ac:dyDescent="0.2">
      <c r="A8" t="s">
        <v>51</v>
      </c>
      <c r="B8" t="str">
        <f t="shared" si="0"/>
        <v>Cover Crop</v>
      </c>
      <c r="C8">
        <v>5</v>
      </c>
      <c r="D8" t="s">
        <v>53</v>
      </c>
      <c r="E8" s="1">
        <v>3.2</v>
      </c>
      <c r="F8" s="1">
        <v>130</v>
      </c>
      <c r="G8" s="44">
        <v>-100000</v>
      </c>
      <c r="H8" s="44">
        <v>100000</v>
      </c>
      <c r="I8" s="44">
        <v>100000</v>
      </c>
      <c r="J8" s="44">
        <v>-100000</v>
      </c>
      <c r="K8">
        <v>0</v>
      </c>
      <c r="L8">
        <v>0</v>
      </c>
      <c r="M8" s="18">
        <v>0.3</v>
      </c>
      <c r="N8" s="18">
        <v>0.3</v>
      </c>
      <c r="O8">
        <v>0</v>
      </c>
      <c r="R8" t="s">
        <v>249</v>
      </c>
      <c r="S8" t="s">
        <v>249</v>
      </c>
      <c r="T8" t="s">
        <v>249</v>
      </c>
      <c r="U8" t="s">
        <v>249</v>
      </c>
      <c r="V8" t="s">
        <v>249</v>
      </c>
      <c r="W8" s="3" t="s">
        <v>91</v>
      </c>
      <c r="X8" s="3"/>
    </row>
    <row r="9" spans="1:24" x14ac:dyDescent="0.2">
      <c r="A9" t="s">
        <v>265</v>
      </c>
      <c r="B9" t="str">
        <f t="shared" si="0"/>
        <v>No-till</v>
      </c>
      <c r="C9">
        <v>5</v>
      </c>
      <c r="D9" t="s">
        <v>53</v>
      </c>
      <c r="E9" s="1">
        <v>0</v>
      </c>
      <c r="F9" s="1">
        <v>-16.600000000000001</v>
      </c>
      <c r="G9" s="1">
        <f>E9*'Dollar Conversion'!$Q$6</f>
        <v>0</v>
      </c>
      <c r="H9" s="1">
        <v>0</v>
      </c>
      <c r="I9" s="41">
        <v>0</v>
      </c>
      <c r="J9" s="41">
        <f>'Green Emissions - P'!G11</f>
        <v>-91.350687499999992</v>
      </c>
      <c r="K9">
        <v>0</v>
      </c>
      <c r="L9">
        <v>0</v>
      </c>
      <c r="M9" s="18">
        <v>0</v>
      </c>
      <c r="N9" s="18">
        <v>0.5</v>
      </c>
      <c r="O9">
        <v>0</v>
      </c>
      <c r="R9" t="s">
        <v>249</v>
      </c>
      <c r="S9" t="s">
        <v>249</v>
      </c>
      <c r="T9" t="s">
        <v>249</v>
      </c>
      <c r="U9" t="s">
        <v>249</v>
      </c>
      <c r="V9" t="s">
        <v>249</v>
      </c>
      <c r="W9" s="3" t="s">
        <v>91</v>
      </c>
      <c r="X9" s="3"/>
    </row>
    <row r="10" spans="1:24" x14ac:dyDescent="0.2">
      <c r="I10" s="1"/>
    </row>
    <row r="22" spans="5:14" x14ac:dyDescent="0.2">
      <c r="E22" s="4"/>
      <c r="F22" s="4"/>
      <c r="G22" s="4"/>
      <c r="H22" s="4"/>
      <c r="I22" s="4"/>
      <c r="J22" s="28"/>
    </row>
    <row r="23" spans="5:14" x14ac:dyDescent="0.2">
      <c r="E23" s="4"/>
      <c r="F23" s="4"/>
      <c r="G23" s="4"/>
      <c r="H23" s="4"/>
      <c r="I23" s="4"/>
      <c r="J23" s="28"/>
    </row>
    <row r="24" spans="5:14" x14ac:dyDescent="0.2">
      <c r="E24" s="4"/>
      <c r="F24" s="4"/>
      <c r="G24" s="4"/>
      <c r="H24" s="4"/>
      <c r="I24" s="4"/>
      <c r="J24" s="28"/>
    </row>
    <row r="25" spans="5:14" x14ac:dyDescent="0.2">
      <c r="E25" s="4"/>
      <c r="F25" s="4"/>
      <c r="G25" s="4"/>
      <c r="H25" s="4"/>
      <c r="I25" s="4"/>
      <c r="J25" s="28"/>
    </row>
    <row r="26" spans="5:14" x14ac:dyDescent="0.2">
      <c r="E26" s="4"/>
      <c r="F26" s="4"/>
      <c r="G26" s="4"/>
      <c r="H26" s="4"/>
      <c r="I26" s="4"/>
      <c r="J26" s="26"/>
      <c r="K26" s="26"/>
      <c r="L26" s="26"/>
      <c r="M26" s="26"/>
      <c r="N26" s="26"/>
    </row>
    <row r="27" spans="5:14" x14ac:dyDescent="0.2">
      <c r="E27" s="4"/>
      <c r="F27" s="4"/>
      <c r="G27" s="4"/>
      <c r="H27" s="4"/>
      <c r="I27" s="4"/>
      <c r="J27" s="28"/>
    </row>
    <row r="28" spans="5:14" x14ac:dyDescent="0.2">
      <c r="E28" s="4"/>
      <c r="F28" s="4"/>
      <c r="G28" s="4"/>
      <c r="H28" s="4"/>
      <c r="I28" s="4"/>
      <c r="J28" s="4"/>
    </row>
    <row r="29" spans="5:14" x14ac:dyDescent="0.2">
      <c r="E29" s="4"/>
      <c r="F29" s="4"/>
      <c r="G29" s="4"/>
      <c r="H29" s="4"/>
      <c r="I29" s="4"/>
      <c r="J29" s="4"/>
    </row>
  </sheetData>
  <hyperlinks>
    <hyperlink ref="W3" r:id="rId1" xr:uid="{EE3C16B9-36BC-FE4A-B958-5300ACBA0394}"/>
    <hyperlink ref="W4" r:id="rId2" xr:uid="{AF06A2FC-E841-A64C-BD0B-18DD790D31E3}"/>
    <hyperlink ref="W5" r:id="rId3" xr:uid="{79A183A0-F41A-7C40-88A5-CFAA2CC9E560}"/>
    <hyperlink ref="W6" r:id="rId4" xr:uid="{72E6B9AE-DE06-EF4B-B657-5C321DB02E73}"/>
    <hyperlink ref="W7" r:id="rId5" xr:uid="{0217D2A8-2E8A-CE47-84D8-AD20D3176188}"/>
    <hyperlink ref="W8" r:id="rId6" xr:uid="{D5DC2D0E-481E-9447-8F2C-0338412A5867}"/>
    <hyperlink ref="W9" r:id="rId7" xr:uid="{F1307B6A-B7EE-4041-95EE-EA67628FF530}"/>
  </hyperlinks>
  <pageMargins left="0.7" right="0.7" top="0.75" bottom="0.75" header="0.3" footer="0.3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CB93-382B-7647-8D24-14524E75999F}">
  <sheetPr>
    <tabColor rgb="FF92D050"/>
  </sheetPr>
  <dimension ref="A1:N53"/>
  <sheetViews>
    <sheetView workbookViewId="0">
      <selection activeCell="B7" sqref="B7"/>
    </sheetView>
  </sheetViews>
  <sheetFormatPr baseColWidth="10" defaultRowHeight="16" x14ac:dyDescent="0.2"/>
  <cols>
    <col min="1" max="1" width="24.33203125" bestFit="1" customWidth="1"/>
    <col min="2" max="2" width="15.6640625" bestFit="1" customWidth="1"/>
    <col min="3" max="3" width="24.5" bestFit="1" customWidth="1"/>
    <col min="4" max="4" width="35.83203125" bestFit="1" customWidth="1"/>
    <col min="5" max="5" width="8.83203125" customWidth="1"/>
    <col min="6" max="6" width="24.33203125" bestFit="1" customWidth="1"/>
    <col min="7" max="8" width="15.6640625" customWidth="1"/>
    <col min="9" max="9" width="35.5" bestFit="1" customWidth="1"/>
    <col min="10" max="10" width="9" customWidth="1"/>
    <col min="11" max="11" width="29.5" bestFit="1" customWidth="1"/>
    <col min="12" max="12" width="15.5" bestFit="1" customWidth="1"/>
    <col min="13" max="13" width="17.83203125" bestFit="1" customWidth="1"/>
    <col min="14" max="14" width="13.83203125" bestFit="1" customWidth="1"/>
    <col min="17" max="17" width="15.5" bestFit="1" customWidth="1"/>
    <col min="18" max="18" width="18" bestFit="1" customWidth="1"/>
  </cols>
  <sheetData>
    <row r="1" spans="1:14" x14ac:dyDescent="0.2">
      <c r="B1" s="39" t="s">
        <v>47</v>
      </c>
      <c r="C1" s="3" t="s">
        <v>1</v>
      </c>
      <c r="D1" t="s">
        <v>122</v>
      </c>
      <c r="G1" s="39" t="s">
        <v>51</v>
      </c>
      <c r="I1" t="s">
        <v>122</v>
      </c>
      <c r="L1" s="39" t="s">
        <v>48</v>
      </c>
      <c r="N1" t="s">
        <v>122</v>
      </c>
    </row>
    <row r="2" spans="1:14" x14ac:dyDescent="0.2">
      <c r="A2" s="31" t="s">
        <v>103</v>
      </c>
      <c r="B2" s="32">
        <f>B15+B21+B25+B30+B32</f>
        <v>0.69556447643512431</v>
      </c>
      <c r="C2" s="5" t="s">
        <v>93</v>
      </c>
      <c r="D2" s="6"/>
      <c r="E2" s="6"/>
      <c r="F2" s="31" t="s">
        <v>103</v>
      </c>
      <c r="G2" s="32">
        <f>G3*G4*B39/G5</f>
        <v>0.55084444444444447</v>
      </c>
      <c r="H2" s="5" t="s">
        <v>93</v>
      </c>
      <c r="I2" s="6"/>
      <c r="J2" s="6"/>
      <c r="K2" s="31" t="s">
        <v>103</v>
      </c>
      <c r="L2" s="32">
        <f>L14+L16+L24+L29+L36+L53</f>
        <v>-3.5772015269755575</v>
      </c>
      <c r="M2" s="5" t="s">
        <v>93</v>
      </c>
      <c r="N2" s="6"/>
    </row>
    <row r="3" spans="1:14" x14ac:dyDescent="0.2">
      <c r="A3" t="s">
        <v>105</v>
      </c>
      <c r="B3">
        <v>10</v>
      </c>
      <c r="C3" t="s">
        <v>104</v>
      </c>
      <c r="F3" t="s">
        <v>154</v>
      </c>
      <c r="G3">
        <v>0.24787999999999999</v>
      </c>
      <c r="H3" t="s">
        <v>153</v>
      </c>
      <c r="K3" t="s">
        <v>190</v>
      </c>
      <c r="L3">
        <f>12/12*B43</f>
        <v>0.30480000000000002</v>
      </c>
      <c r="M3" t="s">
        <v>167</v>
      </c>
    </row>
    <row r="4" spans="1:14" x14ac:dyDescent="0.2">
      <c r="A4" t="s">
        <v>106</v>
      </c>
      <c r="B4">
        <v>5</v>
      </c>
      <c r="C4" t="s">
        <v>104</v>
      </c>
      <c r="F4" t="s">
        <v>155</v>
      </c>
      <c r="G4">
        <v>700</v>
      </c>
      <c r="H4" t="s">
        <v>156</v>
      </c>
      <c r="I4" s="3" t="s">
        <v>1</v>
      </c>
      <c r="K4" t="s">
        <v>194</v>
      </c>
      <c r="L4" s="29">
        <v>0.02</v>
      </c>
      <c r="N4" t="s">
        <v>305</v>
      </c>
    </row>
    <row r="5" spans="1:14" x14ac:dyDescent="0.2">
      <c r="A5" t="s">
        <v>107</v>
      </c>
      <c r="B5">
        <v>3</v>
      </c>
      <c r="C5" t="s">
        <v>104</v>
      </c>
      <c r="F5" t="s">
        <v>251</v>
      </c>
      <c r="G5" s="37">
        <f>B6*B7*B39*'Green Water Treatment Illinois'!O8</f>
        <v>142.88147999999998</v>
      </c>
      <c r="H5" t="s">
        <v>111</v>
      </c>
      <c r="K5" t="s">
        <v>192</v>
      </c>
      <c r="L5">
        <f>L4*$B$6*$B$42</f>
        <v>4046.86</v>
      </c>
      <c r="M5" t="s">
        <v>191</v>
      </c>
    </row>
    <row r="6" spans="1:14" x14ac:dyDescent="0.2">
      <c r="A6" t="s">
        <v>108</v>
      </c>
      <c r="B6">
        <v>50</v>
      </c>
      <c r="C6" t="s">
        <v>109</v>
      </c>
      <c r="K6" t="s">
        <v>193</v>
      </c>
      <c r="L6" s="18">
        <f>2*L4</f>
        <v>0.04</v>
      </c>
      <c r="N6" t="s">
        <v>305</v>
      </c>
    </row>
    <row r="7" spans="1:14" x14ac:dyDescent="0.2">
      <c r="A7" t="s">
        <v>252</v>
      </c>
      <c r="B7">
        <v>21</v>
      </c>
      <c r="C7" t="s">
        <v>110</v>
      </c>
      <c r="G7" s="39" t="s">
        <v>49</v>
      </c>
      <c r="I7" t="s">
        <v>122</v>
      </c>
      <c r="K7" t="s">
        <v>195</v>
      </c>
      <c r="L7" s="22">
        <f>L6*$B$6*$B$42</f>
        <v>8093.72</v>
      </c>
      <c r="M7" t="s">
        <v>191</v>
      </c>
    </row>
    <row r="8" spans="1:14" x14ac:dyDescent="0.2">
      <c r="A8" t="s">
        <v>251</v>
      </c>
      <c r="B8" s="37">
        <f>B6*B7*B39*'Green Water Treatment Illinois'!O4</f>
        <v>119.06789999999999</v>
      </c>
      <c r="C8" t="s">
        <v>111</v>
      </c>
      <c r="F8" s="31" t="s">
        <v>103</v>
      </c>
      <c r="G8" s="32">
        <f>G11*(G10-G9)/G12</f>
        <v>-9.2071428571428573</v>
      </c>
      <c r="H8" s="5" t="s">
        <v>93</v>
      </c>
      <c r="I8" s="6"/>
    </row>
    <row r="9" spans="1:14" x14ac:dyDescent="0.2">
      <c r="A9" t="s">
        <v>140</v>
      </c>
      <c r="B9">
        <v>10</v>
      </c>
      <c r="C9" t="s">
        <v>139</v>
      </c>
      <c r="F9" t="s">
        <v>157</v>
      </c>
      <c r="G9" s="28">
        <f>190*B39</f>
        <v>86.182479999999998</v>
      </c>
      <c r="H9" t="s">
        <v>163</v>
      </c>
      <c r="K9" t="s">
        <v>251</v>
      </c>
      <c r="L9" s="37">
        <f>B6*B7*B39*'Green Water Treatment Illinois'!O5</f>
        <v>238.13579999999999</v>
      </c>
      <c r="M9" t="s">
        <v>111</v>
      </c>
    </row>
    <row r="10" spans="1:14" x14ac:dyDescent="0.2">
      <c r="A10" t="s">
        <v>142</v>
      </c>
      <c r="B10" s="29">
        <v>0.1</v>
      </c>
      <c r="F10" t="s">
        <v>158</v>
      </c>
      <c r="G10" s="28">
        <f>140*B39</f>
        <v>63.502879999999998</v>
      </c>
      <c r="H10" t="s">
        <v>163</v>
      </c>
      <c r="I10" s="3" t="s">
        <v>1</v>
      </c>
      <c r="K10" t="s">
        <v>196</v>
      </c>
      <c r="L10">
        <v>40</v>
      </c>
      <c r="M10" t="s">
        <v>139</v>
      </c>
    </row>
    <row r="11" spans="1:14" x14ac:dyDescent="0.2">
      <c r="D11" t="s">
        <v>307</v>
      </c>
      <c r="F11" t="s">
        <v>160</v>
      </c>
      <c r="G11" s="28">
        <v>5.1559999999999997</v>
      </c>
      <c r="H11" t="s">
        <v>161</v>
      </c>
      <c r="I11" t="s">
        <v>159</v>
      </c>
    </row>
    <row r="12" spans="1:14" x14ac:dyDescent="0.2">
      <c r="A12" t="s">
        <v>113</v>
      </c>
      <c r="B12">
        <f>PRODUCT(B3:B5)</f>
        <v>150</v>
      </c>
      <c r="C12" t="s">
        <v>116</v>
      </c>
      <c r="F12" t="s">
        <v>162</v>
      </c>
      <c r="G12" s="28">
        <f>(104-76)*B39</f>
        <v>12.700576</v>
      </c>
      <c r="H12" t="s">
        <v>164</v>
      </c>
      <c r="K12" t="s">
        <v>114</v>
      </c>
      <c r="L12" s="22">
        <f>(L7+L5)*L3</f>
        <v>3700.4487840000002</v>
      </c>
      <c r="M12" t="s">
        <v>149</v>
      </c>
    </row>
    <row r="13" spans="1:14" x14ac:dyDescent="0.2">
      <c r="A13" t="s">
        <v>117</v>
      </c>
      <c r="B13">
        <v>2.7550000000000002E-2</v>
      </c>
      <c r="C13" t="s">
        <v>118</v>
      </c>
      <c r="D13" t="s">
        <v>119</v>
      </c>
      <c r="K13" t="s">
        <v>126</v>
      </c>
      <c r="L13">
        <v>0.52476</v>
      </c>
      <c r="M13" t="s">
        <v>127</v>
      </c>
      <c r="N13" t="s">
        <v>128</v>
      </c>
    </row>
    <row r="14" spans="1:14" x14ac:dyDescent="0.2">
      <c r="A14" t="s">
        <v>120</v>
      </c>
      <c r="B14">
        <v>190</v>
      </c>
      <c r="C14" t="s">
        <v>121</v>
      </c>
      <c r="D14" s="3" t="s">
        <v>1</v>
      </c>
      <c r="E14" s="3"/>
      <c r="G14" s="39" t="s">
        <v>50</v>
      </c>
      <c r="K14" t="s">
        <v>150</v>
      </c>
      <c r="L14" s="30">
        <f>L12*L13/(L9*L10)</f>
        <v>0.20385925844537447</v>
      </c>
      <c r="M14" t="s">
        <v>138</v>
      </c>
    </row>
    <row r="15" spans="1:14" x14ac:dyDescent="0.2">
      <c r="A15" t="s">
        <v>137</v>
      </c>
      <c r="B15" s="30">
        <f>B12*B38*B14*B13/(B8*B9)</f>
        <v>0.50417406549120303</v>
      </c>
      <c r="C15" t="s">
        <v>138</v>
      </c>
      <c r="F15" s="31" t="s">
        <v>103</v>
      </c>
      <c r="G15" s="32">
        <f>B6*B47*G16/G17</f>
        <v>11.102512533037871</v>
      </c>
      <c r="H15" s="5" t="s">
        <v>93</v>
      </c>
    </row>
    <row r="16" spans="1:14" x14ac:dyDescent="0.2">
      <c r="B16" s="26"/>
      <c r="F16" t="s">
        <v>253</v>
      </c>
      <c r="G16" s="42">
        <v>26.132909999999999</v>
      </c>
      <c r="H16" t="s">
        <v>254</v>
      </c>
      <c r="I16" t="s">
        <v>256</v>
      </c>
      <c r="K16" t="s">
        <v>179</v>
      </c>
      <c r="L16" s="30">
        <f>G48/(L9*L10)</f>
        <v>8.3828099248526265E-3</v>
      </c>
      <c r="M16" t="s">
        <v>138</v>
      </c>
    </row>
    <row r="17" spans="1:14" x14ac:dyDescent="0.2">
      <c r="A17" t="s">
        <v>112</v>
      </c>
      <c r="B17">
        <f>B3*B4+2*B5*B4+2*B3*B5</f>
        <v>140</v>
      </c>
      <c r="C17" t="s">
        <v>115</v>
      </c>
      <c r="F17" t="s">
        <v>251</v>
      </c>
      <c r="G17" s="37">
        <f>B6*B7*B39*'Green Water Treatment Illinois'!O7</f>
        <v>47.627160000000003</v>
      </c>
      <c r="H17" t="s">
        <v>111</v>
      </c>
    </row>
    <row r="18" spans="1:14" x14ac:dyDescent="0.2">
      <c r="A18" t="s">
        <v>146</v>
      </c>
      <c r="B18">
        <v>6.0000000000000001E-3</v>
      </c>
      <c r="C18" t="s">
        <v>147</v>
      </c>
      <c r="K18" t="s">
        <v>199</v>
      </c>
      <c r="L18" s="2">
        <v>2</v>
      </c>
    </row>
    <row r="19" spans="1:14" x14ac:dyDescent="0.2">
      <c r="A19" t="s">
        <v>123</v>
      </c>
      <c r="B19">
        <v>1.0770900000000001</v>
      </c>
      <c r="C19" t="s">
        <v>124</v>
      </c>
      <c r="D19" t="s">
        <v>125</v>
      </c>
      <c r="G19" s="39" t="s">
        <v>102</v>
      </c>
      <c r="I19" t="s">
        <v>122</v>
      </c>
      <c r="K19" t="s">
        <v>197</v>
      </c>
      <c r="L19" s="2">
        <f>SQRT(L5*L18)</f>
        <v>89.965104346074099</v>
      </c>
      <c r="M19" t="s">
        <v>167</v>
      </c>
    </row>
    <row r="20" spans="1:14" x14ac:dyDescent="0.2">
      <c r="A20" t="s">
        <v>131</v>
      </c>
      <c r="B20">
        <v>0.94</v>
      </c>
      <c r="C20" t="s">
        <v>132</v>
      </c>
      <c r="D20" s="3" t="s">
        <v>1</v>
      </c>
      <c r="E20" s="3"/>
      <c r="F20" s="31" t="s">
        <v>103</v>
      </c>
      <c r="G20" s="32">
        <f>G31+G36+G38</f>
        <v>0.10025753474610297</v>
      </c>
      <c r="H20" s="5" t="s">
        <v>93</v>
      </c>
      <c r="I20" s="6"/>
      <c r="K20" t="s">
        <v>198</v>
      </c>
      <c r="L20" s="2">
        <f>L19/L18</f>
        <v>44.98255217303705</v>
      </c>
      <c r="M20" t="s">
        <v>167</v>
      </c>
    </row>
    <row r="21" spans="1:14" x14ac:dyDescent="0.2">
      <c r="A21" t="s">
        <v>141</v>
      </c>
      <c r="B21" s="30">
        <f>B20*B40*(B41*B18*B17*B38)*B19*(1+B10)/(B8*B9)</f>
        <v>1.6686440495187797E-2</v>
      </c>
      <c r="C21" t="s">
        <v>138</v>
      </c>
      <c r="F21" t="s">
        <v>108</v>
      </c>
      <c r="G21">
        <v>50</v>
      </c>
      <c r="H21" t="s">
        <v>109</v>
      </c>
      <c r="K21" t="s">
        <v>200</v>
      </c>
      <c r="L21" s="22">
        <f>2*L19+2*L20</f>
        <v>269.8953130382223</v>
      </c>
      <c r="M21" t="s">
        <v>167</v>
      </c>
    </row>
    <row r="22" spans="1:14" x14ac:dyDescent="0.2">
      <c r="B22" s="26"/>
      <c r="F22" t="s">
        <v>165</v>
      </c>
      <c r="G22" s="2">
        <f>SQRT(G21*B42)</f>
        <v>449.8255217303705</v>
      </c>
      <c r="H22" t="s">
        <v>167</v>
      </c>
      <c r="K22" t="s">
        <v>174</v>
      </c>
      <c r="L22" s="22">
        <f>1.54*G36</f>
        <v>0.12126468069493131</v>
      </c>
      <c r="M22" t="s">
        <v>176</v>
      </c>
      <c r="N22" s="3" t="s">
        <v>1</v>
      </c>
    </row>
    <row r="23" spans="1:14" x14ac:dyDescent="0.2">
      <c r="A23" t="s">
        <v>114</v>
      </c>
      <c r="B23" s="22">
        <f>B12*(1+B10)*B38</f>
        <v>126.15157499999999</v>
      </c>
      <c r="C23" t="s">
        <v>149</v>
      </c>
      <c r="F23" t="s">
        <v>168</v>
      </c>
      <c r="G23" s="2">
        <f>(1+8/2/12)*B43</f>
        <v>0.40639999999999998</v>
      </c>
      <c r="H23" t="s">
        <v>167</v>
      </c>
      <c r="I23" s="3" t="s">
        <v>1</v>
      </c>
      <c r="K23" t="s">
        <v>172</v>
      </c>
      <c r="L23">
        <v>0.49112</v>
      </c>
      <c r="M23" t="s">
        <v>177</v>
      </c>
      <c r="N23" t="s">
        <v>173</v>
      </c>
    </row>
    <row r="24" spans="1:14" x14ac:dyDescent="0.2">
      <c r="A24" t="s">
        <v>126</v>
      </c>
      <c r="B24">
        <v>0.52476</v>
      </c>
      <c r="C24" t="s">
        <v>127</v>
      </c>
      <c r="D24" t="s">
        <v>128</v>
      </c>
      <c r="F24" t="s">
        <v>170</v>
      </c>
      <c r="G24" s="2">
        <f>2*B43</f>
        <v>0.60960000000000003</v>
      </c>
      <c r="H24" t="s">
        <v>167</v>
      </c>
      <c r="I24" s="3" t="s">
        <v>1</v>
      </c>
      <c r="K24" t="s">
        <v>178</v>
      </c>
      <c r="L24" s="30">
        <f>L21*L22*L23/(L9*L10)</f>
        <v>1.6874565909435213E-3</v>
      </c>
      <c r="M24" t="s">
        <v>138</v>
      </c>
    </row>
    <row r="25" spans="1:14" x14ac:dyDescent="0.2">
      <c r="A25" t="s">
        <v>150</v>
      </c>
      <c r="B25" s="30">
        <f>B23*B24/(B9*B8)</f>
        <v>5.5597940752293441E-2</v>
      </c>
      <c r="C25" t="s">
        <v>138</v>
      </c>
    </row>
    <row r="26" spans="1:14" x14ac:dyDescent="0.2">
      <c r="B26" s="26"/>
      <c r="F26" t="s">
        <v>251</v>
      </c>
      <c r="G26" s="37">
        <f>B6*B7*B39*'Green Water Treatment Illinois'!O3</f>
        <v>428.64443999999997</v>
      </c>
      <c r="H26" t="s">
        <v>111</v>
      </c>
      <c r="K26" t="s">
        <v>204</v>
      </c>
      <c r="L26">
        <f>L5*(3/12*B43)</f>
        <v>308.37073200000003</v>
      </c>
      <c r="M26" t="s">
        <v>149</v>
      </c>
    </row>
    <row r="27" spans="1:14" x14ac:dyDescent="0.2">
      <c r="A27" t="s">
        <v>151</v>
      </c>
      <c r="B27">
        <f>B3*B4</f>
        <v>50</v>
      </c>
      <c r="C27" t="s">
        <v>115</v>
      </c>
      <c r="F27" t="s">
        <v>309</v>
      </c>
      <c r="G27">
        <v>15</v>
      </c>
      <c r="H27" t="s">
        <v>139</v>
      </c>
      <c r="I27" s="3" t="s">
        <v>1</v>
      </c>
      <c r="K27" t="s">
        <v>205</v>
      </c>
      <c r="L27">
        <v>32</v>
      </c>
      <c r="M27" t="s">
        <v>121</v>
      </c>
      <c r="N27" s="3" t="s">
        <v>1</v>
      </c>
    </row>
    <row r="28" spans="1:14" x14ac:dyDescent="0.2">
      <c r="A28" t="s">
        <v>136</v>
      </c>
      <c r="B28">
        <v>8.3668099999999992</v>
      </c>
      <c r="C28" t="s">
        <v>130</v>
      </c>
      <c r="D28" t="s">
        <v>129</v>
      </c>
      <c r="K28" t="s">
        <v>201</v>
      </c>
      <c r="L28">
        <v>0.10059999999999999</v>
      </c>
      <c r="M28" t="s">
        <v>203</v>
      </c>
      <c r="N28" t="s">
        <v>202</v>
      </c>
    </row>
    <row r="29" spans="1:14" x14ac:dyDescent="0.2">
      <c r="A29" t="s">
        <v>135</v>
      </c>
      <c r="B29">
        <v>4.75</v>
      </c>
      <c r="C29" t="s">
        <v>133</v>
      </c>
      <c r="D29" s="3" t="s">
        <v>134</v>
      </c>
      <c r="E29" s="3"/>
      <c r="F29" t="s">
        <v>114</v>
      </c>
      <c r="G29" s="22">
        <f>G24*G23*G22</f>
        <v>111.44042250223328</v>
      </c>
      <c r="H29" t="s">
        <v>149</v>
      </c>
      <c r="K29" s="34" t="s">
        <v>206</v>
      </c>
      <c r="L29" s="35">
        <f>L26*L27*L28/(L9*L10)</f>
        <v>0.10421648702698211</v>
      </c>
      <c r="M29" s="34" t="s">
        <v>138</v>
      </c>
    </row>
    <row r="30" spans="1:14" x14ac:dyDescent="0.2">
      <c r="A30" t="s">
        <v>152</v>
      </c>
      <c r="B30" s="30">
        <f>B29/16*B27*(1+B10)*B39*B28/(B8*B9)</f>
        <v>5.2043550297619048E-2</v>
      </c>
      <c r="C30" t="s">
        <v>138</v>
      </c>
      <c r="F30" t="s">
        <v>126</v>
      </c>
      <c r="G30">
        <v>0.52476</v>
      </c>
      <c r="H30" t="s">
        <v>127</v>
      </c>
      <c r="I30" t="s">
        <v>128</v>
      </c>
    </row>
    <row r="31" spans="1:14" x14ac:dyDescent="0.2">
      <c r="F31" t="s">
        <v>150</v>
      </c>
      <c r="G31" s="30">
        <f>G29*G30/(G26*G27)</f>
        <v>9.0952579271018404E-3</v>
      </c>
      <c r="H31" t="s">
        <v>138</v>
      </c>
      <c r="K31" t="s">
        <v>207</v>
      </c>
      <c r="L31">
        <f>AVERAGE(212.5,212.5,287.5)</f>
        <v>237.5</v>
      </c>
      <c r="M31" t="s">
        <v>208</v>
      </c>
      <c r="N31" s="3" t="s">
        <v>1</v>
      </c>
    </row>
    <row r="32" spans="1:14" x14ac:dyDescent="0.2">
      <c r="A32" t="s">
        <v>179</v>
      </c>
      <c r="B32" s="30">
        <f>G48/(B8*B9)</f>
        <v>6.7062479398821012E-2</v>
      </c>
      <c r="C32" t="s">
        <v>138</v>
      </c>
      <c r="K32" t="s">
        <v>209</v>
      </c>
      <c r="L32">
        <f>AVERAGE(132802,194007,358472)</f>
        <v>228427</v>
      </c>
      <c r="M32" t="s">
        <v>214</v>
      </c>
    </row>
    <row r="33" spans="1:14" x14ac:dyDescent="0.2">
      <c r="F33" t="s">
        <v>171</v>
      </c>
      <c r="G33" s="22">
        <f>G22</f>
        <v>449.8255217303705</v>
      </c>
      <c r="H33" t="s">
        <v>167</v>
      </c>
      <c r="K33" t="s">
        <v>210</v>
      </c>
      <c r="L33">
        <f>L31*(L7+L5)</f>
        <v>2883387.75</v>
      </c>
      <c r="M33" t="s">
        <v>211</v>
      </c>
    </row>
    <row r="34" spans="1:14" x14ac:dyDescent="0.2">
      <c r="F34" t="s">
        <v>174</v>
      </c>
      <c r="G34" s="22">
        <f>1.54*B44</f>
        <v>2.2917663999999998</v>
      </c>
      <c r="H34" t="s">
        <v>176</v>
      </c>
      <c r="I34" s="3" t="s">
        <v>1</v>
      </c>
      <c r="K34" t="s">
        <v>212</v>
      </c>
      <c r="L34">
        <f>L33/L32</f>
        <v>12.622797436380113</v>
      </c>
      <c r="M34" t="s">
        <v>213</v>
      </c>
    </row>
    <row r="35" spans="1:14" x14ac:dyDescent="0.2">
      <c r="F35" t="s">
        <v>172</v>
      </c>
      <c r="G35">
        <v>0.49112</v>
      </c>
      <c r="H35" t="s">
        <v>177</v>
      </c>
      <c r="I35" t="s">
        <v>173</v>
      </c>
      <c r="K35" t="s">
        <v>215</v>
      </c>
      <c r="L35">
        <v>1.66568</v>
      </c>
      <c r="M35" t="s">
        <v>217</v>
      </c>
      <c r="N35" t="s">
        <v>216</v>
      </c>
    </row>
    <row r="36" spans="1:14" x14ac:dyDescent="0.2">
      <c r="F36" t="s">
        <v>178</v>
      </c>
      <c r="G36" s="30">
        <f>G33*G34*G35/(G26*G27)</f>
        <v>7.8743299152552793E-2</v>
      </c>
      <c r="H36" t="s">
        <v>138</v>
      </c>
      <c r="K36" t="s">
        <v>218</v>
      </c>
      <c r="L36" s="35">
        <f>L35*L34/(L9*L10)</f>
        <v>2.2073057929372264E-3</v>
      </c>
      <c r="M36" t="s">
        <v>138</v>
      </c>
    </row>
    <row r="37" spans="1:14" x14ac:dyDescent="0.2">
      <c r="A37" s="48" t="s">
        <v>243</v>
      </c>
      <c r="B37" s="48"/>
    </row>
    <row r="38" spans="1:14" x14ac:dyDescent="0.2">
      <c r="A38" t="s">
        <v>145</v>
      </c>
      <c r="B38" s="2">
        <v>0.76455499999999998</v>
      </c>
      <c r="F38" t="s">
        <v>179</v>
      </c>
      <c r="G38" s="30">
        <f>G48/(G26*G27)</f>
        <v>1.2418977666448333E-2</v>
      </c>
      <c r="H38" t="s">
        <v>138</v>
      </c>
      <c r="K38" t="s">
        <v>241</v>
      </c>
      <c r="L38" t="s">
        <v>242</v>
      </c>
    </row>
    <row r="39" spans="1:14" x14ac:dyDescent="0.2">
      <c r="A39" t="s">
        <v>144</v>
      </c>
      <c r="B39" s="2">
        <v>0.453592</v>
      </c>
      <c r="D39" s="22">
        <f>B7*B39</f>
        <v>9.5254320000000003</v>
      </c>
      <c r="K39" t="s">
        <v>219</v>
      </c>
      <c r="L39">
        <v>2</v>
      </c>
      <c r="M39" t="s">
        <v>225</v>
      </c>
    </row>
    <row r="40" spans="1:14" x14ac:dyDescent="0.2">
      <c r="A40" t="s">
        <v>143</v>
      </c>
      <c r="B40" s="2">
        <v>1000</v>
      </c>
      <c r="G40" s="39" t="s">
        <v>179</v>
      </c>
      <c r="I40" t="s">
        <v>122</v>
      </c>
      <c r="K40" t="s">
        <v>220</v>
      </c>
      <c r="L40">
        <v>1</v>
      </c>
      <c r="M40" t="s">
        <v>226</v>
      </c>
    </row>
    <row r="41" spans="1:14" x14ac:dyDescent="0.2">
      <c r="A41" t="s">
        <v>148</v>
      </c>
      <c r="B41" s="2">
        <v>2.7777799999999998E-2</v>
      </c>
      <c r="F41" t="s">
        <v>186</v>
      </c>
      <c r="G41" s="2">
        <f>9*B43</f>
        <v>2.7432000000000003</v>
      </c>
      <c r="H41" t="s">
        <v>167</v>
      </c>
      <c r="K41" t="s">
        <v>221</v>
      </c>
      <c r="L41">
        <v>50</v>
      </c>
      <c r="M41" t="s">
        <v>234</v>
      </c>
    </row>
    <row r="42" spans="1:14" x14ac:dyDescent="0.2">
      <c r="A42" t="s">
        <v>166</v>
      </c>
      <c r="B42" s="2">
        <v>4046.86</v>
      </c>
      <c r="F42" t="s">
        <v>180</v>
      </c>
      <c r="G42" s="2">
        <f>12/12*B43</f>
        <v>0.30480000000000002</v>
      </c>
      <c r="H42" t="s">
        <v>167</v>
      </c>
      <c r="I42" s="3" t="s">
        <v>1</v>
      </c>
      <c r="K42" t="s">
        <v>222</v>
      </c>
      <c r="L42">
        <v>4.7</v>
      </c>
      <c r="M42" t="s">
        <v>234</v>
      </c>
    </row>
    <row r="43" spans="1:14" x14ac:dyDescent="0.2">
      <c r="A43" t="s">
        <v>169</v>
      </c>
      <c r="B43" s="2">
        <v>0.30480000000000002</v>
      </c>
      <c r="F43" t="s">
        <v>181</v>
      </c>
      <c r="G43" s="2">
        <f>(11+5/8)/12*B43</f>
        <v>0.29527500000000001</v>
      </c>
      <c r="H43" t="s">
        <v>167</v>
      </c>
      <c r="I43" s="3" t="s">
        <v>1</v>
      </c>
      <c r="K43" t="s">
        <v>223</v>
      </c>
      <c r="L43">
        <v>0</v>
      </c>
      <c r="M43" t="s">
        <v>234</v>
      </c>
    </row>
    <row r="44" spans="1:14" x14ac:dyDescent="0.2">
      <c r="A44" t="s">
        <v>175</v>
      </c>
      <c r="B44" s="2">
        <v>1.4881599999999999</v>
      </c>
      <c r="F44" t="s">
        <v>187</v>
      </c>
      <c r="G44" s="2">
        <f>0.5/12*B43</f>
        <v>1.2699999999999999E-2</v>
      </c>
      <c r="H44" t="s">
        <v>167</v>
      </c>
      <c r="K44" t="s">
        <v>224</v>
      </c>
      <c r="L44">
        <v>0.8</v>
      </c>
      <c r="M44" t="s">
        <v>234</v>
      </c>
    </row>
    <row r="45" spans="1:14" x14ac:dyDescent="0.2">
      <c r="A45" t="s">
        <v>235</v>
      </c>
      <c r="B45" s="38">
        <v>1E-4</v>
      </c>
      <c r="F45" t="s">
        <v>188</v>
      </c>
      <c r="G45" s="22">
        <f>(3*(G41*G43)+2*(G42*G43)+2*(G43*G41))*G44</f>
        <v>5.3720892558E-2</v>
      </c>
      <c r="H45" t="s">
        <v>149</v>
      </c>
      <c r="K45" t="s">
        <v>228</v>
      </c>
      <c r="L45">
        <v>0.8</v>
      </c>
      <c r="M45" t="s">
        <v>234</v>
      </c>
    </row>
    <row r="46" spans="1:14" x14ac:dyDescent="0.2">
      <c r="A46" t="s">
        <v>239</v>
      </c>
      <c r="B46" s="2">
        <f>44/12</f>
        <v>3.6666666666666665</v>
      </c>
      <c r="F46" t="s">
        <v>185</v>
      </c>
      <c r="G46">
        <v>1380</v>
      </c>
      <c r="H46" t="s">
        <v>121</v>
      </c>
      <c r="I46" s="3" t="s">
        <v>1</v>
      </c>
      <c r="K46" t="s">
        <v>229</v>
      </c>
      <c r="L46">
        <v>2.2400000000000002</v>
      </c>
      <c r="M46" t="s">
        <v>234</v>
      </c>
    </row>
    <row r="47" spans="1:14" x14ac:dyDescent="0.2">
      <c r="A47" t="s">
        <v>255</v>
      </c>
      <c r="B47">
        <v>0.40468599999999999</v>
      </c>
      <c r="F47" t="s">
        <v>182</v>
      </c>
      <c r="G47">
        <v>1.0770900000000001</v>
      </c>
      <c r="H47" t="s">
        <v>183</v>
      </c>
      <c r="I47" t="s">
        <v>125</v>
      </c>
      <c r="K47" t="s">
        <v>227</v>
      </c>
      <c r="L47">
        <v>1</v>
      </c>
      <c r="M47" t="s">
        <v>234</v>
      </c>
    </row>
    <row r="48" spans="1:14" x14ac:dyDescent="0.2">
      <c r="F48" t="s">
        <v>184</v>
      </c>
      <c r="G48" s="33">
        <f>G47*G46*G45</f>
        <v>79.849885908108789</v>
      </c>
      <c r="H48" t="s">
        <v>189</v>
      </c>
      <c r="K48" t="s">
        <v>230</v>
      </c>
      <c r="L48">
        <f>L42-L45</f>
        <v>3.9000000000000004</v>
      </c>
      <c r="M48" t="s">
        <v>234</v>
      </c>
    </row>
    <row r="49" spans="11:13" x14ac:dyDescent="0.2">
      <c r="K49" t="s">
        <v>231</v>
      </c>
      <c r="L49">
        <f t="shared" ref="L49" si="0">L43-L46</f>
        <v>-2.2400000000000002</v>
      </c>
      <c r="M49" t="s">
        <v>234</v>
      </c>
    </row>
    <row r="50" spans="11:13" x14ac:dyDescent="0.2">
      <c r="K50" t="s">
        <v>232</v>
      </c>
      <c r="L50">
        <f>(L44-L47)*L41</f>
        <v>-9.9999999999999982</v>
      </c>
      <c r="M50" t="s">
        <v>234</v>
      </c>
    </row>
    <row r="51" spans="11:13" x14ac:dyDescent="0.2">
      <c r="K51" t="s">
        <v>233</v>
      </c>
      <c r="L51">
        <f>SUM(L48:L50)</f>
        <v>-8.3399999999999981</v>
      </c>
      <c r="M51" t="s">
        <v>234</v>
      </c>
    </row>
    <row r="52" spans="11:13" x14ac:dyDescent="0.2">
      <c r="K52" t="s">
        <v>236</v>
      </c>
      <c r="L52" s="2">
        <f>(L5+L7)*B45</f>
        <v>1.2140580000000001</v>
      </c>
      <c r="M52" t="s">
        <v>237</v>
      </c>
    </row>
    <row r="53" spans="11:13" x14ac:dyDescent="0.2">
      <c r="K53" t="s">
        <v>238</v>
      </c>
      <c r="L53" s="35">
        <f>L51*L52*B46*1000/(L9*L10)</f>
        <v>-3.8975548447566473</v>
      </c>
      <c r="M53" t="s">
        <v>240</v>
      </c>
    </row>
  </sheetData>
  <mergeCells count="1">
    <mergeCell ref="A37:B37"/>
  </mergeCells>
  <hyperlinks>
    <hyperlink ref="C1" r:id="rId1" xr:uid="{3B31153E-6D06-6A48-B9BF-CF4A69CD456D}"/>
    <hyperlink ref="D20" r:id="rId2" xr:uid="{A2D5B84B-4992-E440-9D3F-71287B4D068B}"/>
    <hyperlink ref="D29" r:id="rId3" xr:uid="{633EEA98-9CDA-7F4C-960E-B9231FEA6B83}"/>
    <hyperlink ref="D14" r:id="rId4" xr:uid="{4B175233-F939-F644-8753-EB2865809748}"/>
    <hyperlink ref="I4" r:id="rId5" xr:uid="{E0A61A23-E13E-7B44-B034-1737B74A64EE}"/>
    <hyperlink ref="I10" r:id="rId6" xr:uid="{ECCFE209-3F4E-3645-82A9-9645D9BAE25B}"/>
    <hyperlink ref="I23" r:id="rId7" xr:uid="{65AA5EE2-A482-CC44-A8EE-D4ED760AB0A3}"/>
    <hyperlink ref="I24" r:id="rId8" xr:uid="{5842A831-2749-F040-9B5D-7540B316F493}"/>
    <hyperlink ref="I34" r:id="rId9" xr:uid="{D428593E-EFFB-164F-8121-E2D8F9B28B97}"/>
    <hyperlink ref="I42" r:id="rId10" xr:uid="{B9D4F67E-AC47-0E40-96C7-3FA03AA83CF4}"/>
    <hyperlink ref="I43" r:id="rId11" xr:uid="{80AF7626-579B-7B44-A28C-D7F39AC0C952}"/>
    <hyperlink ref="I46" r:id="rId12" xr:uid="{B7387E90-DA9A-234C-9619-71C87432A7A6}"/>
    <hyperlink ref="N22" r:id="rId13" xr:uid="{04FBC5C5-395D-1B4E-B252-7492F78AB3DB}"/>
    <hyperlink ref="N27" r:id="rId14" xr:uid="{5FABAA6D-627A-F64B-92AE-04A77FF85612}"/>
    <hyperlink ref="N31" r:id="rId15" xr:uid="{D11FBFE3-E5AA-D243-AD20-9604C52330A4}"/>
    <hyperlink ref="I27" r:id="rId16" location=":~:text=The%20minimum%20expected%20lifespan%20of%20this%20practice%20is%20at%20least%2015%20years.&amp;text=The%20buffer%20acts%20as%20an,nitrates%20from%20subsurface%20drainage%20water." xr:uid="{6BE9C1A5-C93B-3F48-96E0-231E770C6AB9}"/>
  </hyperlinks>
  <pageMargins left="0.7" right="0.7" top="0.75" bottom="0.75" header="0.3" footer="0.3"/>
  <legacy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D648-8E00-A44F-AD9B-083C59D402A7}">
  <sheetPr>
    <tabColor rgb="FF92D050"/>
  </sheetPr>
  <dimension ref="A1:N53"/>
  <sheetViews>
    <sheetView topLeftCell="A2" workbookViewId="0">
      <selection activeCell="H55" sqref="H55"/>
    </sheetView>
  </sheetViews>
  <sheetFormatPr baseColWidth="10" defaultRowHeight="16" x14ac:dyDescent="0.2"/>
  <cols>
    <col min="1" max="1" width="24.33203125" bestFit="1" customWidth="1"/>
    <col min="2" max="2" width="15.6640625" bestFit="1" customWidth="1"/>
    <col min="3" max="3" width="24.5" bestFit="1" customWidth="1"/>
    <col min="4" max="4" width="35.83203125" bestFit="1" customWidth="1"/>
    <col min="5" max="5" width="8.83203125" customWidth="1"/>
    <col min="6" max="6" width="24.33203125" bestFit="1" customWidth="1"/>
    <col min="7" max="8" width="15.6640625" customWidth="1"/>
    <col min="9" max="9" width="35.5" bestFit="1" customWidth="1"/>
    <col min="10" max="10" width="9" customWidth="1"/>
    <col min="11" max="11" width="29.5" bestFit="1" customWidth="1"/>
    <col min="12" max="12" width="9.5" bestFit="1" customWidth="1"/>
    <col min="13" max="13" width="17.83203125" bestFit="1" customWidth="1"/>
    <col min="14" max="14" width="13.83203125" bestFit="1" customWidth="1"/>
    <col min="17" max="17" width="15.5" bestFit="1" customWidth="1"/>
    <col min="18" max="18" width="18" bestFit="1" customWidth="1"/>
  </cols>
  <sheetData>
    <row r="1" spans="1:14" x14ac:dyDescent="0.2">
      <c r="A1" t="s">
        <v>108</v>
      </c>
      <c r="B1">
        <v>50</v>
      </c>
      <c r="C1" t="s">
        <v>109</v>
      </c>
      <c r="G1" s="39" t="s">
        <v>51</v>
      </c>
      <c r="I1" t="s">
        <v>122</v>
      </c>
      <c r="L1" s="39" t="s">
        <v>48</v>
      </c>
      <c r="N1" t="s">
        <v>122</v>
      </c>
    </row>
    <row r="2" spans="1:14" x14ac:dyDescent="0.2">
      <c r="A2" t="s">
        <v>244</v>
      </c>
      <c r="B2">
        <v>1.6</v>
      </c>
      <c r="C2" t="s">
        <v>245</v>
      </c>
      <c r="D2" s="3" t="s">
        <v>1</v>
      </c>
      <c r="E2" s="6"/>
      <c r="F2" s="31" t="s">
        <v>103</v>
      </c>
      <c r="G2" s="32">
        <f>G3*G4*B10/G5</f>
        <v>8.1035479307827316</v>
      </c>
      <c r="H2" s="5" t="s">
        <v>93</v>
      </c>
      <c r="I2" s="6"/>
      <c r="J2" s="6"/>
      <c r="K2" s="31" t="s">
        <v>103</v>
      </c>
      <c r="L2" s="32">
        <f>L14+L16+L24+L29+L36+L53</f>
        <v>-12.998043436506677</v>
      </c>
      <c r="M2" s="5" t="s">
        <v>93</v>
      </c>
      <c r="N2" s="6"/>
    </row>
    <row r="3" spans="1:14" x14ac:dyDescent="0.2">
      <c r="A3" t="s">
        <v>269</v>
      </c>
      <c r="B3" s="37">
        <f>B2/B18*B1</f>
        <v>32.374901357722429</v>
      </c>
      <c r="C3" t="s">
        <v>247</v>
      </c>
      <c r="F3" t="s">
        <v>154</v>
      </c>
      <c r="G3">
        <v>0.24787999999999999</v>
      </c>
      <c r="H3" t="s">
        <v>153</v>
      </c>
      <c r="K3" t="s">
        <v>190</v>
      </c>
      <c r="L3">
        <f>12/12*B14</f>
        <v>0.30480000000000002</v>
      </c>
      <c r="M3" t="s">
        <v>167</v>
      </c>
    </row>
    <row r="4" spans="1:14" x14ac:dyDescent="0.2">
      <c r="F4" t="s">
        <v>155</v>
      </c>
      <c r="G4">
        <v>700</v>
      </c>
      <c r="H4" t="s">
        <v>156</v>
      </c>
      <c r="I4" s="3" t="s">
        <v>1</v>
      </c>
      <c r="K4" t="s">
        <v>194</v>
      </c>
      <c r="L4" s="29">
        <v>0.02</v>
      </c>
      <c r="N4" t="s">
        <v>305</v>
      </c>
    </row>
    <row r="5" spans="1:14" x14ac:dyDescent="0.2">
      <c r="F5" t="s">
        <v>270</v>
      </c>
      <c r="G5" s="37">
        <f>B3*'Green Water Treatment Illinois'!P8</f>
        <v>9.7124704073167276</v>
      </c>
      <c r="H5" t="s">
        <v>111</v>
      </c>
      <c r="K5" t="s">
        <v>192</v>
      </c>
      <c r="L5">
        <f>L4*$B$1*$B$13</f>
        <v>4046.86</v>
      </c>
      <c r="M5" t="s">
        <v>191</v>
      </c>
    </row>
    <row r="6" spans="1:14" x14ac:dyDescent="0.2">
      <c r="C6">
        <f>B2/B18</f>
        <v>0.6474980271544486</v>
      </c>
      <c r="K6" t="s">
        <v>193</v>
      </c>
      <c r="L6" s="18">
        <f>2*L4</f>
        <v>0.04</v>
      </c>
      <c r="N6" t="s">
        <v>305</v>
      </c>
    </row>
    <row r="7" spans="1:14" x14ac:dyDescent="0.2">
      <c r="G7" s="39" t="s">
        <v>49</v>
      </c>
      <c r="I7" t="s">
        <v>122</v>
      </c>
      <c r="K7" t="s">
        <v>195</v>
      </c>
      <c r="L7">
        <f>L6*$B$1*$B$13</f>
        <v>8093.72</v>
      </c>
      <c r="M7" t="s">
        <v>191</v>
      </c>
    </row>
    <row r="8" spans="1:14" x14ac:dyDescent="0.2">
      <c r="A8" s="48" t="s">
        <v>243</v>
      </c>
      <c r="B8" s="48"/>
      <c r="F8" s="31" t="s">
        <v>103</v>
      </c>
      <c r="G8" s="40" t="e">
        <f>G11*(G10-G9)/G12</f>
        <v>#VALUE!</v>
      </c>
      <c r="H8" s="5" t="s">
        <v>93</v>
      </c>
      <c r="I8" s="6"/>
    </row>
    <row r="9" spans="1:14" x14ac:dyDescent="0.2">
      <c r="A9" t="s">
        <v>145</v>
      </c>
      <c r="B9" s="2">
        <v>0.76455499999999998</v>
      </c>
      <c r="G9" s="28"/>
      <c r="K9" t="s">
        <v>270</v>
      </c>
      <c r="L9" s="37">
        <f>B3/'Green Water Treatment Illinois'!O4*'Green Water Treatment Illinois'!O5</f>
        <v>64.749802715444858</v>
      </c>
      <c r="M9" t="s">
        <v>111</v>
      </c>
    </row>
    <row r="10" spans="1:14" x14ac:dyDescent="0.2">
      <c r="A10" t="s">
        <v>144</v>
      </c>
      <c r="B10" s="2">
        <v>0.453592</v>
      </c>
      <c r="G10" s="39" t="s">
        <v>266</v>
      </c>
      <c r="I10" t="s">
        <v>122</v>
      </c>
      <c r="K10" t="s">
        <v>196</v>
      </c>
      <c r="L10">
        <v>40</v>
      </c>
      <c r="M10" t="s">
        <v>139</v>
      </c>
    </row>
    <row r="11" spans="1:14" x14ac:dyDescent="0.2">
      <c r="A11" t="s">
        <v>143</v>
      </c>
      <c r="B11" s="2">
        <v>1000</v>
      </c>
      <c r="F11" s="31" t="s">
        <v>103</v>
      </c>
      <c r="G11" s="32">
        <f>G12*B1/B18/G13</f>
        <v>-91.350687499999992</v>
      </c>
      <c r="H11" s="5" t="s">
        <v>93</v>
      </c>
      <c r="I11" s="6"/>
    </row>
    <row r="12" spans="1:14" x14ac:dyDescent="0.2">
      <c r="A12" t="s">
        <v>148</v>
      </c>
      <c r="B12" s="2">
        <v>2.7777799999999998E-2</v>
      </c>
      <c r="F12" t="s">
        <v>267</v>
      </c>
      <c r="G12" s="28">
        <f>-73.08055</f>
        <v>-73.080550000000002</v>
      </c>
      <c r="H12" t="s">
        <v>254</v>
      </c>
      <c r="I12" t="s">
        <v>268</v>
      </c>
      <c r="K12" t="s">
        <v>114</v>
      </c>
      <c r="L12" s="22">
        <f>(L7+L5)*L3</f>
        <v>3700.4487840000002</v>
      </c>
      <c r="M12" t="s">
        <v>149</v>
      </c>
    </row>
    <row r="13" spans="1:14" x14ac:dyDescent="0.2">
      <c r="A13" t="s">
        <v>166</v>
      </c>
      <c r="B13" s="2">
        <v>4046.86</v>
      </c>
      <c r="F13" t="s">
        <v>270</v>
      </c>
      <c r="G13" s="37">
        <f>B3*'Green Water Treatment Illinois'!P9</f>
        <v>16.187450678861214</v>
      </c>
      <c r="H13" t="s">
        <v>111</v>
      </c>
      <c r="K13" t="s">
        <v>126</v>
      </c>
      <c r="L13">
        <v>0.52476</v>
      </c>
      <c r="M13" t="s">
        <v>127</v>
      </c>
      <c r="N13" t="s">
        <v>128</v>
      </c>
    </row>
    <row r="14" spans="1:14" x14ac:dyDescent="0.2">
      <c r="A14" t="s">
        <v>169</v>
      </c>
      <c r="B14" s="2">
        <v>0.30480000000000002</v>
      </c>
      <c r="E14" s="3"/>
      <c r="K14" t="s">
        <v>150</v>
      </c>
      <c r="L14" s="30">
        <f>L12*L13/(L9*L10)</f>
        <v>0.74975035538936419</v>
      </c>
      <c r="M14" t="s">
        <v>138</v>
      </c>
    </row>
    <row r="15" spans="1:14" x14ac:dyDescent="0.2">
      <c r="A15" t="s">
        <v>175</v>
      </c>
      <c r="B15" s="2">
        <v>1.4881599999999999</v>
      </c>
      <c r="G15" s="39" t="s">
        <v>50</v>
      </c>
    </row>
    <row r="16" spans="1:14" x14ac:dyDescent="0.2">
      <c r="A16" t="s">
        <v>235</v>
      </c>
      <c r="B16" s="38">
        <v>1E-4</v>
      </c>
      <c r="F16" s="31" t="s">
        <v>103</v>
      </c>
      <c r="G16" s="32">
        <v>0</v>
      </c>
      <c r="H16" s="5" t="s">
        <v>93</v>
      </c>
      <c r="K16" t="s">
        <v>179</v>
      </c>
      <c r="L16" s="30">
        <f>G47/(L9*L10)</f>
        <v>3.0830165714567533E-2</v>
      </c>
      <c r="M16" t="s">
        <v>138</v>
      </c>
    </row>
    <row r="17" spans="1:14" x14ac:dyDescent="0.2">
      <c r="A17" t="s">
        <v>239</v>
      </c>
      <c r="B17" s="2">
        <f>44/12</f>
        <v>3.6666666666666665</v>
      </c>
    </row>
    <row r="18" spans="1:14" x14ac:dyDescent="0.2">
      <c r="A18" t="s">
        <v>246</v>
      </c>
      <c r="B18">
        <v>2.47105</v>
      </c>
      <c r="G18" s="39" t="s">
        <v>102</v>
      </c>
      <c r="I18" t="s">
        <v>122</v>
      </c>
      <c r="K18" t="s">
        <v>199</v>
      </c>
      <c r="L18" s="2">
        <v>2</v>
      </c>
    </row>
    <row r="19" spans="1:14" x14ac:dyDescent="0.2">
      <c r="F19" s="31" t="s">
        <v>103</v>
      </c>
      <c r="G19" s="32">
        <f>G30+G35+G37</f>
        <v>2.6548241406006943</v>
      </c>
      <c r="H19" s="5" t="s">
        <v>93</v>
      </c>
      <c r="I19" s="6"/>
      <c r="K19" t="s">
        <v>197</v>
      </c>
      <c r="L19" s="2">
        <f>SQRT(L5*L18)</f>
        <v>89.965104346074099</v>
      </c>
      <c r="M19" t="s">
        <v>167</v>
      </c>
    </row>
    <row r="20" spans="1:14" x14ac:dyDescent="0.2">
      <c r="E20" s="3"/>
      <c r="F20" t="s">
        <v>108</v>
      </c>
      <c r="G20">
        <v>50</v>
      </c>
      <c r="H20" t="s">
        <v>109</v>
      </c>
      <c r="K20" t="s">
        <v>198</v>
      </c>
      <c r="L20" s="2">
        <f>L19/L18</f>
        <v>44.98255217303705</v>
      </c>
      <c r="M20" t="s">
        <v>167</v>
      </c>
    </row>
    <row r="21" spans="1:14" x14ac:dyDescent="0.2">
      <c r="F21" t="s">
        <v>165</v>
      </c>
      <c r="G21" s="2">
        <f>SQRT(G20*B13)</f>
        <v>449.8255217303705</v>
      </c>
      <c r="H21" t="s">
        <v>167</v>
      </c>
      <c r="K21" t="s">
        <v>200</v>
      </c>
      <c r="L21" s="22">
        <f>2*L19+2*L20</f>
        <v>269.8953130382223</v>
      </c>
      <c r="M21" t="s">
        <v>167</v>
      </c>
    </row>
    <row r="22" spans="1:14" x14ac:dyDescent="0.2">
      <c r="F22" t="s">
        <v>168</v>
      </c>
      <c r="G22" s="2">
        <f>(1+8/2/12)*B14</f>
        <v>0.40639999999999998</v>
      </c>
      <c r="H22" t="s">
        <v>167</v>
      </c>
      <c r="I22" s="3" t="s">
        <v>1</v>
      </c>
      <c r="K22" t="s">
        <v>174</v>
      </c>
      <c r="L22" s="22">
        <f>1.54*G35</f>
        <v>3.2110943334725506</v>
      </c>
      <c r="M22" t="s">
        <v>176</v>
      </c>
      <c r="N22" s="3" t="s">
        <v>1</v>
      </c>
    </row>
    <row r="23" spans="1:14" x14ac:dyDescent="0.2">
      <c r="F23" t="s">
        <v>170</v>
      </c>
      <c r="G23" s="2">
        <f>2*B14</f>
        <v>0.60960000000000003</v>
      </c>
      <c r="H23" t="s">
        <v>167</v>
      </c>
      <c r="I23" s="3" t="s">
        <v>1</v>
      </c>
      <c r="K23" t="s">
        <v>172</v>
      </c>
      <c r="L23">
        <v>0.49112</v>
      </c>
      <c r="M23" t="s">
        <v>177</v>
      </c>
      <c r="N23" t="s">
        <v>173</v>
      </c>
    </row>
    <row r="24" spans="1:14" x14ac:dyDescent="0.2">
      <c r="K24" t="s">
        <v>178</v>
      </c>
      <c r="L24" s="30">
        <f>L21*L22*L23/(L9*L10)</f>
        <v>0.16433784453318487</v>
      </c>
      <c r="M24" t="s">
        <v>138</v>
      </c>
    </row>
    <row r="25" spans="1:14" x14ac:dyDescent="0.2">
      <c r="F25" t="s">
        <v>270</v>
      </c>
      <c r="G25" s="37">
        <f>B3*'Green Water Treatment Illinois'!P3</f>
        <v>16.187450678861214</v>
      </c>
      <c r="H25" t="s">
        <v>111</v>
      </c>
    </row>
    <row r="26" spans="1:14" x14ac:dyDescent="0.2">
      <c r="F26" t="s">
        <v>308</v>
      </c>
      <c r="G26">
        <f>'Green Emissions - N'!G27</f>
        <v>15</v>
      </c>
      <c r="H26" t="s">
        <v>139</v>
      </c>
      <c r="K26" t="s">
        <v>204</v>
      </c>
      <c r="L26">
        <f>L5*(3/12*B14)</f>
        <v>308.37073200000003</v>
      </c>
      <c r="M26" t="s">
        <v>149</v>
      </c>
    </row>
    <row r="27" spans="1:14" x14ac:dyDescent="0.2">
      <c r="K27" t="s">
        <v>205</v>
      </c>
      <c r="L27">
        <v>32</v>
      </c>
      <c r="M27" t="s">
        <v>121</v>
      </c>
      <c r="N27" s="3" t="s">
        <v>1</v>
      </c>
    </row>
    <row r="28" spans="1:14" x14ac:dyDescent="0.2">
      <c r="F28" t="s">
        <v>114</v>
      </c>
      <c r="G28" s="22">
        <f>G23*G22*G21</f>
        <v>111.44042250223328</v>
      </c>
      <c r="H28" t="s">
        <v>149</v>
      </c>
      <c r="K28" t="s">
        <v>201</v>
      </c>
      <c r="L28">
        <v>0.10059999999999999</v>
      </c>
      <c r="M28" t="s">
        <v>203</v>
      </c>
      <c r="N28" t="s">
        <v>202</v>
      </c>
    </row>
    <row r="29" spans="1:14" x14ac:dyDescent="0.2">
      <c r="E29" s="3"/>
      <c r="F29" t="s">
        <v>126</v>
      </c>
      <c r="G29">
        <v>0.52476</v>
      </c>
      <c r="H29" t="s">
        <v>127</v>
      </c>
      <c r="I29" t="s">
        <v>128</v>
      </c>
      <c r="K29" s="34" t="s">
        <v>206</v>
      </c>
      <c r="L29" s="35">
        <f>L26*L27*L28/(L9*L10)</f>
        <v>0.38328574714622582</v>
      </c>
      <c r="M29" s="34" t="s">
        <v>138</v>
      </c>
    </row>
    <row r="30" spans="1:14" x14ac:dyDescent="0.2">
      <c r="F30" t="s">
        <v>150</v>
      </c>
      <c r="G30" s="30">
        <f>G28*G29/(G25*G26)</f>
        <v>0.24084284907871589</v>
      </c>
      <c r="H30" t="s">
        <v>138</v>
      </c>
    </row>
    <row r="31" spans="1:14" x14ac:dyDescent="0.2">
      <c r="K31" t="s">
        <v>207</v>
      </c>
      <c r="L31">
        <f>AVERAGE(212.5,212.5,287.5)</f>
        <v>237.5</v>
      </c>
      <c r="M31" t="s">
        <v>208</v>
      </c>
      <c r="N31" s="3" t="s">
        <v>1</v>
      </c>
    </row>
    <row r="32" spans="1:14" x14ac:dyDescent="0.2">
      <c r="F32" t="s">
        <v>171</v>
      </c>
      <c r="G32" s="22">
        <f>G21</f>
        <v>449.8255217303705</v>
      </c>
      <c r="H32" t="s">
        <v>167</v>
      </c>
      <c r="K32" t="s">
        <v>209</v>
      </c>
      <c r="L32">
        <f>AVERAGE(132802,194007,358472)</f>
        <v>228427</v>
      </c>
      <c r="M32" t="s">
        <v>214</v>
      </c>
    </row>
    <row r="33" spans="6:14" x14ac:dyDescent="0.2">
      <c r="F33" t="s">
        <v>174</v>
      </c>
      <c r="G33" s="22">
        <f>1.54*B15</f>
        <v>2.2917663999999998</v>
      </c>
      <c r="H33" t="s">
        <v>176</v>
      </c>
      <c r="I33" s="3" t="s">
        <v>1</v>
      </c>
      <c r="K33" t="s">
        <v>210</v>
      </c>
      <c r="L33">
        <f>L31*(L7+L5)</f>
        <v>2883387.75</v>
      </c>
      <c r="M33" t="s">
        <v>211</v>
      </c>
    </row>
    <row r="34" spans="6:14" x14ac:dyDescent="0.2">
      <c r="F34" t="s">
        <v>172</v>
      </c>
      <c r="G34">
        <v>0.49112</v>
      </c>
      <c r="H34" t="s">
        <v>177</v>
      </c>
      <c r="I34" t="s">
        <v>173</v>
      </c>
      <c r="K34" t="s">
        <v>212</v>
      </c>
      <c r="L34">
        <f>L33/L32</f>
        <v>12.622797436380113</v>
      </c>
      <c r="M34" t="s">
        <v>213</v>
      </c>
    </row>
    <row r="35" spans="6:14" x14ac:dyDescent="0.2">
      <c r="F35" t="s">
        <v>178</v>
      </c>
      <c r="G35" s="30">
        <f>G32*G33*G34/(G25*G26)</f>
        <v>2.0851261905665912</v>
      </c>
      <c r="H35" t="s">
        <v>138</v>
      </c>
      <c r="K35" t="s">
        <v>215</v>
      </c>
      <c r="L35">
        <v>1.66568</v>
      </c>
      <c r="M35" t="s">
        <v>217</v>
      </c>
      <c r="N35" t="s">
        <v>216</v>
      </c>
    </row>
    <row r="36" spans="6:14" x14ac:dyDescent="0.2">
      <c r="K36" t="s">
        <v>218</v>
      </c>
      <c r="L36" s="35">
        <f>L35*L34/(L9*L10)</f>
        <v>8.1179943227897965E-3</v>
      </c>
      <c r="M36" t="s">
        <v>138</v>
      </c>
    </row>
    <row r="37" spans="6:14" x14ac:dyDescent="0.2">
      <c r="F37" t="s">
        <v>179</v>
      </c>
      <c r="G37" s="30">
        <f>G47/(G25*G26)</f>
        <v>0.328855100955387</v>
      </c>
      <c r="H37" t="s">
        <v>138</v>
      </c>
    </row>
    <row r="38" spans="6:14" x14ac:dyDescent="0.2">
      <c r="K38" t="s">
        <v>241</v>
      </c>
      <c r="L38" t="s">
        <v>242</v>
      </c>
    </row>
    <row r="39" spans="6:14" x14ac:dyDescent="0.2">
      <c r="G39" s="39" t="s">
        <v>179</v>
      </c>
      <c r="I39" t="s">
        <v>122</v>
      </c>
      <c r="K39" t="s">
        <v>219</v>
      </c>
      <c r="L39">
        <v>2</v>
      </c>
      <c r="M39" t="s">
        <v>225</v>
      </c>
    </row>
    <row r="40" spans="6:14" x14ac:dyDescent="0.2">
      <c r="F40" t="s">
        <v>186</v>
      </c>
      <c r="G40" s="2">
        <f>9*B14</f>
        <v>2.7432000000000003</v>
      </c>
      <c r="H40" t="s">
        <v>167</v>
      </c>
      <c r="K40" t="s">
        <v>220</v>
      </c>
      <c r="L40">
        <v>1</v>
      </c>
      <c r="M40" t="s">
        <v>226</v>
      </c>
    </row>
    <row r="41" spans="6:14" x14ac:dyDescent="0.2">
      <c r="F41" t="s">
        <v>180</v>
      </c>
      <c r="G41" s="2">
        <f>12/12*B14</f>
        <v>0.30480000000000002</v>
      </c>
      <c r="H41" t="s">
        <v>167</v>
      </c>
      <c r="I41" s="3" t="s">
        <v>1</v>
      </c>
      <c r="K41" t="s">
        <v>221</v>
      </c>
      <c r="L41">
        <v>50</v>
      </c>
      <c r="M41" t="s">
        <v>234</v>
      </c>
    </row>
    <row r="42" spans="6:14" x14ac:dyDescent="0.2">
      <c r="F42" t="s">
        <v>181</v>
      </c>
      <c r="G42" s="2">
        <f>(11+5/8)/12*B14</f>
        <v>0.29527500000000001</v>
      </c>
      <c r="H42" t="s">
        <v>167</v>
      </c>
      <c r="I42" s="3" t="s">
        <v>1</v>
      </c>
      <c r="K42" t="s">
        <v>222</v>
      </c>
      <c r="L42">
        <v>4.7</v>
      </c>
      <c r="M42" t="s">
        <v>234</v>
      </c>
    </row>
    <row r="43" spans="6:14" x14ac:dyDescent="0.2">
      <c r="F43" t="s">
        <v>187</v>
      </c>
      <c r="G43" s="2">
        <f>0.5/12*B14</f>
        <v>1.2699999999999999E-2</v>
      </c>
      <c r="H43" t="s">
        <v>167</v>
      </c>
      <c r="K43" t="s">
        <v>223</v>
      </c>
      <c r="L43">
        <v>0</v>
      </c>
      <c r="M43" t="s">
        <v>234</v>
      </c>
    </row>
    <row r="44" spans="6:14" x14ac:dyDescent="0.2">
      <c r="F44" t="s">
        <v>188</v>
      </c>
      <c r="G44" s="22">
        <f>(3*(G40*G42)+2*(G41*G42)+2*(G42*G40))*G43</f>
        <v>5.3720892558E-2</v>
      </c>
      <c r="H44" t="s">
        <v>149</v>
      </c>
      <c r="K44" t="s">
        <v>224</v>
      </c>
      <c r="L44">
        <v>0.8</v>
      </c>
      <c r="M44" t="s">
        <v>234</v>
      </c>
    </row>
    <row r="45" spans="6:14" x14ac:dyDescent="0.2">
      <c r="F45" t="s">
        <v>185</v>
      </c>
      <c r="G45">
        <v>1380</v>
      </c>
      <c r="H45" t="s">
        <v>121</v>
      </c>
      <c r="I45" s="3" t="s">
        <v>1</v>
      </c>
      <c r="K45" t="s">
        <v>228</v>
      </c>
      <c r="L45">
        <v>0.8</v>
      </c>
      <c r="M45" t="s">
        <v>234</v>
      </c>
    </row>
    <row r="46" spans="6:14" x14ac:dyDescent="0.2">
      <c r="F46" t="s">
        <v>182</v>
      </c>
      <c r="G46">
        <v>1.0770900000000001</v>
      </c>
      <c r="H46" t="s">
        <v>183</v>
      </c>
      <c r="I46" t="s">
        <v>125</v>
      </c>
      <c r="K46" t="s">
        <v>229</v>
      </c>
      <c r="L46">
        <v>2.2400000000000002</v>
      </c>
      <c r="M46" t="s">
        <v>234</v>
      </c>
    </row>
    <row r="47" spans="6:14" x14ac:dyDescent="0.2">
      <c r="F47" t="s">
        <v>184</v>
      </c>
      <c r="G47" s="33">
        <f>G46*G45*G44</f>
        <v>79.849885908108789</v>
      </c>
      <c r="H47" t="s">
        <v>189</v>
      </c>
      <c r="K47" t="s">
        <v>227</v>
      </c>
      <c r="L47">
        <v>1</v>
      </c>
      <c r="M47" t="s">
        <v>234</v>
      </c>
    </row>
    <row r="48" spans="6:14" x14ac:dyDescent="0.2">
      <c r="K48" t="s">
        <v>230</v>
      </c>
      <c r="L48">
        <f>L42-L45</f>
        <v>3.9000000000000004</v>
      </c>
      <c r="M48" t="s">
        <v>234</v>
      </c>
    </row>
    <row r="49" spans="11:13" x14ac:dyDescent="0.2">
      <c r="K49" t="s">
        <v>231</v>
      </c>
      <c r="L49">
        <f t="shared" ref="L49" si="0">L43-L46</f>
        <v>-2.2400000000000002</v>
      </c>
      <c r="M49" t="s">
        <v>234</v>
      </c>
    </row>
    <row r="50" spans="11:13" x14ac:dyDescent="0.2">
      <c r="K50" t="s">
        <v>232</v>
      </c>
      <c r="L50">
        <f>(L44-L47)*L41</f>
        <v>-9.9999999999999982</v>
      </c>
      <c r="M50" t="s">
        <v>234</v>
      </c>
    </row>
    <row r="51" spans="11:13" x14ac:dyDescent="0.2">
      <c r="K51" t="s">
        <v>233</v>
      </c>
      <c r="L51">
        <f>SUM(L48:L50)</f>
        <v>-8.3399999999999981</v>
      </c>
      <c r="M51" t="s">
        <v>234</v>
      </c>
    </row>
    <row r="52" spans="11:13" x14ac:dyDescent="0.2">
      <c r="K52" t="s">
        <v>236</v>
      </c>
      <c r="L52" s="2">
        <f>(L5+L7)*B16</f>
        <v>1.2140580000000001</v>
      </c>
      <c r="M52" t="s">
        <v>237</v>
      </c>
    </row>
    <row r="53" spans="11:13" x14ac:dyDescent="0.2">
      <c r="K53" t="s">
        <v>238</v>
      </c>
      <c r="L53" s="35">
        <f>L51*L52*B17*1000/(L9*L10)</f>
        <v>-14.33436554361281</v>
      </c>
      <c r="M53" t="s">
        <v>240</v>
      </c>
    </row>
  </sheetData>
  <mergeCells count="1">
    <mergeCell ref="A8:B8"/>
  </mergeCells>
  <hyperlinks>
    <hyperlink ref="I4" r:id="rId1" xr:uid="{8A5494C6-1B31-DC47-8C1B-B87BA4913883}"/>
    <hyperlink ref="I22" r:id="rId2" xr:uid="{1EF8EEE2-1281-364D-8456-632146947EF6}"/>
    <hyperlink ref="I23" r:id="rId3" xr:uid="{475B16EE-C54A-8B45-95D2-2AF686DA4D3D}"/>
    <hyperlink ref="I33" r:id="rId4" xr:uid="{B6121B60-8E61-EF46-973F-E83D8EFF9BE6}"/>
    <hyperlink ref="I41" r:id="rId5" xr:uid="{30834C0C-F53B-2847-AD06-02170E1B105C}"/>
    <hyperlink ref="I42" r:id="rId6" xr:uid="{72B61982-A425-004C-A881-8A70CFFCE927}"/>
    <hyperlink ref="I45" r:id="rId7" xr:uid="{C0F0F84E-BE61-4F4C-8FFC-65BFE6786F62}"/>
    <hyperlink ref="N22" r:id="rId8" xr:uid="{62C0C098-BB79-864C-A385-FFE6C31C4853}"/>
    <hyperlink ref="N27" r:id="rId9" xr:uid="{CFAF40BB-9FF1-824E-8C94-F091E4521692}"/>
    <hyperlink ref="N31" r:id="rId10" xr:uid="{4F533CCB-BC4B-FF4D-A048-592C1E44EFA3}"/>
    <hyperlink ref="D2" r:id="rId11" xr:uid="{BF60EA37-D91A-FF4F-9D72-9367D603DC5C}"/>
  </hyperlinks>
  <pageMargins left="0.7" right="0.7" top="0.75" bottom="0.75" header="0.3" footer="0.3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C420-AB2B-1846-A606-837F5DD62626}">
  <sheetPr>
    <tabColor theme="0" tint="-0.14999847407452621"/>
  </sheetPr>
  <dimension ref="A1:X30"/>
  <sheetViews>
    <sheetView topLeftCell="L1" zoomScale="150" zoomScaleNormal="150" workbookViewId="0">
      <selection activeCell="O10" sqref="O10"/>
    </sheetView>
  </sheetViews>
  <sheetFormatPr baseColWidth="10" defaultRowHeight="16" x14ac:dyDescent="0.2"/>
  <cols>
    <col min="1" max="1" width="83.6640625" bestFit="1" customWidth="1"/>
    <col min="2" max="2" width="17" bestFit="1" customWidth="1"/>
    <col min="3" max="3" width="6.1640625" bestFit="1" customWidth="1"/>
    <col min="5" max="5" width="10.1640625" bestFit="1" customWidth="1"/>
    <col min="6" max="6" width="12.5" bestFit="1" customWidth="1"/>
    <col min="7" max="7" width="12.83203125" bestFit="1" customWidth="1"/>
    <col min="8" max="8" width="12.83203125" customWidth="1"/>
    <col min="9" max="9" width="15.6640625" bestFit="1" customWidth="1"/>
    <col min="10" max="10" width="15.33203125" bestFit="1" customWidth="1"/>
    <col min="11" max="11" width="16.6640625" bestFit="1" customWidth="1"/>
    <col min="12" max="12" width="13.33203125" bestFit="1" customWidth="1"/>
    <col min="13" max="13" width="11" bestFit="1" customWidth="1"/>
    <col min="14" max="14" width="11.1640625" bestFit="1" customWidth="1"/>
    <col min="15" max="15" width="22.5" bestFit="1" customWidth="1"/>
    <col min="16" max="16" width="37" bestFit="1" customWidth="1"/>
    <col min="17" max="17" width="37.5" bestFit="1" customWidth="1"/>
    <col min="18" max="18" width="13.33203125" bestFit="1" customWidth="1"/>
    <col min="19" max="22" width="13.33203125" customWidth="1"/>
    <col min="23" max="23" width="15.83203125" bestFit="1" customWidth="1"/>
    <col min="24" max="24" width="12.33203125" bestFit="1" customWidth="1"/>
  </cols>
  <sheetData>
    <row r="1" spans="1:24" s="7" customFormat="1" x14ac:dyDescent="0.2">
      <c r="A1" s="5" t="s">
        <v>2</v>
      </c>
      <c r="B1" s="5" t="s">
        <v>36</v>
      </c>
      <c r="C1" s="5" t="s">
        <v>27</v>
      </c>
      <c r="D1" s="5" t="s">
        <v>3</v>
      </c>
      <c r="E1" s="5" t="s">
        <v>78</v>
      </c>
      <c r="F1" s="5" t="s">
        <v>99</v>
      </c>
      <c r="G1" s="5" t="s">
        <v>96</v>
      </c>
      <c r="H1" s="5" t="s">
        <v>97</v>
      </c>
      <c r="I1" s="5" t="s">
        <v>92</v>
      </c>
      <c r="J1" s="5" t="s">
        <v>94</v>
      </c>
      <c r="K1" s="5" t="s">
        <v>20</v>
      </c>
      <c r="L1" s="5" t="s">
        <v>23</v>
      </c>
      <c r="M1" s="5" t="s">
        <v>4</v>
      </c>
      <c r="N1" s="5" t="s">
        <v>5</v>
      </c>
      <c r="O1" s="5" t="s">
        <v>24</v>
      </c>
      <c r="P1" s="5" t="s">
        <v>304</v>
      </c>
      <c r="Q1" s="5" t="s">
        <v>303</v>
      </c>
      <c r="R1" s="5" t="s">
        <v>248</v>
      </c>
      <c r="S1" s="5" t="s">
        <v>257</v>
      </c>
      <c r="T1" s="5" t="s">
        <v>258</v>
      </c>
      <c r="U1" s="5" t="s">
        <v>259</v>
      </c>
      <c r="V1" s="5" t="s">
        <v>260</v>
      </c>
      <c r="W1" s="5" t="s">
        <v>306</v>
      </c>
      <c r="X1" s="5" t="s">
        <v>1</v>
      </c>
    </row>
    <row r="2" spans="1:24" s="7" customFormat="1" x14ac:dyDescent="0.2">
      <c r="A2" s="6" t="s">
        <v>0</v>
      </c>
      <c r="C2" s="6"/>
      <c r="D2" s="5"/>
      <c r="E2" s="6" t="s">
        <v>56</v>
      </c>
      <c r="F2" s="6" t="s">
        <v>76</v>
      </c>
      <c r="G2" s="6" t="s">
        <v>75</v>
      </c>
      <c r="H2" s="6" t="s">
        <v>98</v>
      </c>
      <c r="I2" s="6" t="s">
        <v>93</v>
      </c>
      <c r="J2" s="6" t="s">
        <v>95</v>
      </c>
      <c r="K2" s="6" t="s">
        <v>21</v>
      </c>
      <c r="L2" s="6" t="s">
        <v>21</v>
      </c>
      <c r="M2" s="6" t="s">
        <v>22</v>
      </c>
      <c r="N2" s="6" t="s">
        <v>22</v>
      </c>
      <c r="O2" s="6" t="s">
        <v>25</v>
      </c>
      <c r="P2" s="6" t="s">
        <v>26</v>
      </c>
      <c r="Q2" s="6" t="s">
        <v>26</v>
      </c>
      <c r="R2" s="6"/>
      <c r="S2" s="6" t="s">
        <v>261</v>
      </c>
      <c r="T2" s="6" t="s">
        <v>261</v>
      </c>
      <c r="U2" s="6" t="s">
        <v>261</v>
      </c>
      <c r="V2" s="6" t="s">
        <v>261</v>
      </c>
      <c r="W2" s="6" t="s">
        <v>261</v>
      </c>
      <c r="X2" s="5"/>
    </row>
    <row r="3" spans="1:24" x14ac:dyDescent="0.2">
      <c r="A3" t="s">
        <v>37</v>
      </c>
      <c r="B3" t="s">
        <v>6</v>
      </c>
      <c r="C3">
        <v>1</v>
      </c>
      <c r="D3" t="s">
        <v>19</v>
      </c>
      <c r="E3" s="1">
        <v>0.64</v>
      </c>
      <c r="F3" s="1">
        <f>E3*'Dollar Conversion'!$Q$4</f>
        <v>0.79117329007839954</v>
      </c>
      <c r="G3" s="1">
        <f>F3/(M3/1000)</f>
        <v>81.564256709113366</v>
      </c>
      <c r="H3" s="1">
        <f>F3/(N3/1000)</f>
        <v>13186.22150130666</v>
      </c>
      <c r="I3" s="2">
        <f>K3/(M3/1000)</f>
        <v>53.608247422680421</v>
      </c>
      <c r="J3" s="2">
        <f>K3/(N3/1000)</f>
        <v>8666.6666666666679</v>
      </c>
      <c r="K3" s="2">
        <v>0.52</v>
      </c>
      <c r="L3" s="2">
        <v>0.44</v>
      </c>
      <c r="M3">
        <v>9.6999999999999993</v>
      </c>
      <c r="N3">
        <v>0.06</v>
      </c>
      <c r="O3" s="2">
        <v>0.2</v>
      </c>
      <c r="P3" t="s">
        <v>18</v>
      </c>
      <c r="Q3" t="s">
        <v>18</v>
      </c>
      <c r="R3" s="7" t="s">
        <v>250</v>
      </c>
      <c r="S3" t="s">
        <v>249</v>
      </c>
      <c r="T3" t="s">
        <v>249</v>
      </c>
      <c r="U3" t="s">
        <v>249</v>
      </c>
      <c r="V3" t="s">
        <v>249</v>
      </c>
      <c r="W3" t="s">
        <v>249</v>
      </c>
      <c r="X3" s="3" t="s">
        <v>15</v>
      </c>
    </row>
    <row r="4" spans="1:24" x14ac:dyDescent="0.2">
      <c r="A4" t="s">
        <v>38</v>
      </c>
      <c r="B4" t="s">
        <v>7</v>
      </c>
      <c r="C4">
        <v>2</v>
      </c>
      <c r="D4" t="s">
        <v>19</v>
      </c>
      <c r="E4" s="1">
        <v>0.74</v>
      </c>
      <c r="F4" s="1">
        <f>E4*'Dollar Conversion'!$Q$4</f>
        <v>0.91479411665314947</v>
      </c>
      <c r="G4" s="1">
        <f t="shared" ref="G4:G11" si="0">F4/(M4/1000)</f>
        <v>28.58731614541092</v>
      </c>
      <c r="H4" s="1">
        <f t="shared" ref="H4:H11" si="1">F4/(N4/1000)</f>
        <v>194.63704609641476</v>
      </c>
      <c r="I4" s="2">
        <f>K4/(M4/1000)</f>
        <v>24.0625</v>
      </c>
      <c r="J4" s="2">
        <f t="shared" ref="J4:J10" si="2">K4/(N4/1000)</f>
        <v>163.82978723404256</v>
      </c>
      <c r="K4" s="2">
        <v>0.77</v>
      </c>
      <c r="L4" s="2">
        <v>0.57999999999999996</v>
      </c>
      <c r="M4">
        <v>32</v>
      </c>
      <c r="N4">
        <v>4.7</v>
      </c>
      <c r="O4" s="2">
        <v>0.48</v>
      </c>
      <c r="P4">
        <v>0.1</v>
      </c>
      <c r="Q4">
        <v>0.02</v>
      </c>
      <c r="R4" s="7" t="s">
        <v>250</v>
      </c>
      <c r="S4" t="s">
        <v>249</v>
      </c>
      <c r="T4" t="s">
        <v>249</v>
      </c>
      <c r="U4" t="s">
        <v>249</v>
      </c>
      <c r="V4" t="s">
        <v>249</v>
      </c>
      <c r="W4" t="s">
        <v>249</v>
      </c>
      <c r="X4" s="3" t="s">
        <v>15</v>
      </c>
    </row>
    <row r="5" spans="1:24" x14ac:dyDescent="0.2">
      <c r="A5" t="s">
        <v>39</v>
      </c>
      <c r="B5" t="s">
        <v>8</v>
      </c>
      <c r="C5">
        <v>2</v>
      </c>
      <c r="D5" t="s">
        <v>19</v>
      </c>
      <c r="E5" s="1">
        <v>1.2</v>
      </c>
      <c r="F5" s="1">
        <f>E5*'Dollar Conversion'!$Q$4</f>
        <v>1.4834499188969992</v>
      </c>
      <c r="G5" s="1">
        <f>F5/(M5/1000)</f>
        <v>46.357809965531224</v>
      </c>
      <c r="H5" s="1">
        <f t="shared" si="1"/>
        <v>370.86247972424979</v>
      </c>
      <c r="I5" s="2">
        <f t="shared" ref="I5:I11" si="3">K5/(M5/1000)</f>
        <v>28.75</v>
      </c>
      <c r="J5" s="2">
        <f t="shared" si="2"/>
        <v>230</v>
      </c>
      <c r="K5" s="2">
        <v>0.92</v>
      </c>
      <c r="L5" s="2">
        <v>0.72</v>
      </c>
      <c r="M5">
        <v>32</v>
      </c>
      <c r="N5">
        <v>4</v>
      </c>
      <c r="O5" s="2">
        <v>0.51</v>
      </c>
      <c r="P5">
        <v>0.13</v>
      </c>
      <c r="Q5">
        <v>0.02</v>
      </c>
      <c r="R5" s="7" t="s">
        <v>250</v>
      </c>
      <c r="S5" t="s">
        <v>249</v>
      </c>
      <c r="T5" t="s">
        <v>249</v>
      </c>
      <c r="U5" t="s">
        <v>249</v>
      </c>
      <c r="V5" t="s">
        <v>249</v>
      </c>
      <c r="W5" t="s">
        <v>249</v>
      </c>
      <c r="X5" s="3" t="s">
        <v>15</v>
      </c>
    </row>
    <row r="6" spans="1:24" x14ac:dyDescent="0.2">
      <c r="A6" t="s">
        <v>40</v>
      </c>
      <c r="B6" t="s">
        <v>9</v>
      </c>
      <c r="C6">
        <v>3</v>
      </c>
      <c r="D6" t="s">
        <v>19</v>
      </c>
      <c r="E6" s="1">
        <v>0.84</v>
      </c>
      <c r="F6" s="1">
        <f>E6*'Dollar Conversion'!$Q$4</f>
        <v>1.0384149432278993</v>
      </c>
      <c r="G6" s="1">
        <f t="shared" si="0"/>
        <v>30.541615977291155</v>
      </c>
      <c r="H6" s="1">
        <f t="shared" si="1"/>
        <v>216.33644650581238</v>
      </c>
      <c r="I6" s="2">
        <f t="shared" si="3"/>
        <v>29.411764705882351</v>
      </c>
      <c r="J6" s="2">
        <f t="shared" si="2"/>
        <v>208.33333333333334</v>
      </c>
      <c r="K6" s="2">
        <v>1</v>
      </c>
      <c r="L6" s="2">
        <v>0.83</v>
      </c>
      <c r="M6">
        <v>34</v>
      </c>
      <c r="N6">
        <v>4.8</v>
      </c>
      <c r="O6" s="2">
        <v>0.52</v>
      </c>
      <c r="P6">
        <v>0.11</v>
      </c>
      <c r="Q6">
        <v>0.02</v>
      </c>
      <c r="R6" s="7" t="s">
        <v>250</v>
      </c>
      <c r="S6" t="s">
        <v>249</v>
      </c>
      <c r="T6" t="s">
        <v>249</v>
      </c>
      <c r="U6" t="s">
        <v>249</v>
      </c>
      <c r="V6" t="s">
        <v>249</v>
      </c>
      <c r="W6" t="s">
        <v>249</v>
      </c>
      <c r="X6" s="3" t="s">
        <v>15</v>
      </c>
    </row>
    <row r="7" spans="1:24" x14ac:dyDescent="0.2">
      <c r="A7" t="s">
        <v>41</v>
      </c>
      <c r="B7" t="s">
        <v>10</v>
      </c>
      <c r="C7">
        <v>3</v>
      </c>
      <c r="D7" t="s">
        <v>19</v>
      </c>
      <c r="E7" s="1">
        <v>0.86</v>
      </c>
      <c r="F7" s="1">
        <f>E7*'Dollar Conversion'!$Q$4</f>
        <v>1.0631391085428494</v>
      </c>
      <c r="G7" s="1">
        <f t="shared" si="0"/>
        <v>31.268797310083805</v>
      </c>
      <c r="H7" s="1">
        <f t="shared" si="1"/>
        <v>221.48731427976031</v>
      </c>
      <c r="I7" s="2">
        <f t="shared" si="3"/>
        <v>28.235294117647054</v>
      </c>
      <c r="J7" s="2">
        <f t="shared" si="2"/>
        <v>200</v>
      </c>
      <c r="K7" s="2">
        <v>0.96</v>
      </c>
      <c r="L7" s="2">
        <v>0.73</v>
      </c>
      <c r="M7">
        <v>34</v>
      </c>
      <c r="N7">
        <v>4.8</v>
      </c>
      <c r="O7" s="2">
        <v>0.56999999999999995</v>
      </c>
      <c r="P7">
        <v>0.12</v>
      </c>
      <c r="Q7">
        <v>0.02</v>
      </c>
      <c r="R7" s="7" t="s">
        <v>250</v>
      </c>
      <c r="S7" t="s">
        <v>249</v>
      </c>
      <c r="T7" t="s">
        <v>249</v>
      </c>
      <c r="U7" t="s">
        <v>249</v>
      </c>
      <c r="V7" t="s">
        <v>249</v>
      </c>
      <c r="W7" t="s">
        <v>249</v>
      </c>
      <c r="X7" s="3" t="s">
        <v>15</v>
      </c>
    </row>
    <row r="8" spans="1:24" x14ac:dyDescent="0.2">
      <c r="A8" t="s">
        <v>42</v>
      </c>
      <c r="B8" t="s">
        <v>11</v>
      </c>
      <c r="C8">
        <v>4</v>
      </c>
      <c r="D8" t="s">
        <v>19</v>
      </c>
      <c r="E8" s="1">
        <v>0.94</v>
      </c>
      <c r="F8" s="1">
        <f>E8*'Dollar Conversion'!$Q$4</f>
        <v>1.1620357698026493</v>
      </c>
      <c r="G8" s="1">
        <f t="shared" si="0"/>
        <v>31.406372156828361</v>
      </c>
      <c r="H8" s="1">
        <f t="shared" si="1"/>
        <v>237.15015710258146</v>
      </c>
      <c r="I8" s="2">
        <f t="shared" si="3"/>
        <v>29.729729729729733</v>
      </c>
      <c r="J8" s="2">
        <f t="shared" si="2"/>
        <v>224.48979591836732</v>
      </c>
      <c r="K8" s="2">
        <v>1.1000000000000001</v>
      </c>
      <c r="L8" s="2">
        <v>0.88</v>
      </c>
      <c r="M8">
        <v>37</v>
      </c>
      <c r="N8">
        <v>4.9000000000000004</v>
      </c>
      <c r="O8" s="2">
        <v>0.65</v>
      </c>
      <c r="P8">
        <v>0.13</v>
      </c>
      <c r="Q8">
        <v>0.02</v>
      </c>
      <c r="R8" s="7" t="s">
        <v>250</v>
      </c>
      <c r="S8" t="s">
        <v>249</v>
      </c>
      <c r="T8" t="s">
        <v>249</v>
      </c>
      <c r="U8" t="s">
        <v>249</v>
      </c>
      <c r="V8" t="s">
        <v>249</v>
      </c>
      <c r="W8" t="s">
        <v>249</v>
      </c>
      <c r="X8" s="3" t="s">
        <v>15</v>
      </c>
    </row>
    <row r="9" spans="1:24" x14ac:dyDescent="0.2">
      <c r="A9" t="s">
        <v>43</v>
      </c>
      <c r="B9" t="s">
        <v>12</v>
      </c>
      <c r="C9">
        <v>4</v>
      </c>
      <c r="D9" t="s">
        <v>19</v>
      </c>
      <c r="E9" s="1">
        <v>0.89</v>
      </c>
      <c r="F9" s="1">
        <f>E9*'Dollar Conversion'!$Q$4</f>
        <v>1.1002253565152744</v>
      </c>
      <c r="G9" s="1">
        <f t="shared" si="0"/>
        <v>29.735820446358769</v>
      </c>
      <c r="H9" s="1">
        <f t="shared" si="1"/>
        <v>224.53578704393351</v>
      </c>
      <c r="I9" s="2">
        <f t="shared" si="3"/>
        <v>29.729729729729733</v>
      </c>
      <c r="J9" s="2">
        <f>K9/(N9/1000)</f>
        <v>224.48979591836732</v>
      </c>
      <c r="K9" s="2">
        <v>1.1000000000000001</v>
      </c>
      <c r="L9" s="2">
        <v>0.86</v>
      </c>
      <c r="M9">
        <v>37</v>
      </c>
      <c r="N9">
        <v>4.9000000000000004</v>
      </c>
      <c r="O9" s="2">
        <v>0.64</v>
      </c>
      <c r="P9">
        <v>0.13</v>
      </c>
      <c r="Q9">
        <v>0.02</v>
      </c>
      <c r="R9" s="7" t="s">
        <v>250</v>
      </c>
      <c r="S9" t="s">
        <v>249</v>
      </c>
      <c r="T9" t="s">
        <v>249</v>
      </c>
      <c r="U9" t="s">
        <v>249</v>
      </c>
      <c r="V9" t="s">
        <v>249</v>
      </c>
      <c r="W9" t="s">
        <v>249</v>
      </c>
      <c r="X9" s="3" t="s">
        <v>15</v>
      </c>
    </row>
    <row r="10" spans="1:24" x14ac:dyDescent="0.2">
      <c r="A10" t="s">
        <v>44</v>
      </c>
      <c r="B10" t="s">
        <v>13</v>
      </c>
      <c r="C10">
        <v>5</v>
      </c>
      <c r="D10" t="s">
        <v>19</v>
      </c>
      <c r="E10" s="1">
        <v>1.4</v>
      </c>
      <c r="F10" s="1">
        <f>E10*'Dollar Conversion'!$Q$4</f>
        <v>1.730691572046499</v>
      </c>
      <c r="G10" s="1">
        <f t="shared" si="0"/>
        <v>44.376706975551258</v>
      </c>
      <c r="H10" s="1">
        <f t="shared" si="1"/>
        <v>346.13831440929982</v>
      </c>
      <c r="I10" s="2">
        <f t="shared" si="3"/>
        <v>46.153846153846153</v>
      </c>
      <c r="J10" s="2">
        <f t="shared" si="2"/>
        <v>360</v>
      </c>
      <c r="K10" s="2">
        <v>1.8</v>
      </c>
      <c r="L10" s="2">
        <v>1.2</v>
      </c>
      <c r="M10">
        <v>39</v>
      </c>
      <c r="N10">
        <v>5</v>
      </c>
      <c r="O10" s="2">
        <v>1.5</v>
      </c>
      <c r="P10">
        <v>0.3</v>
      </c>
      <c r="Q10">
        <v>0.04</v>
      </c>
      <c r="R10" s="7" t="s">
        <v>250</v>
      </c>
      <c r="S10" t="s">
        <v>249</v>
      </c>
      <c r="T10" t="s">
        <v>249</v>
      </c>
      <c r="U10" t="s">
        <v>249</v>
      </c>
      <c r="V10" t="s">
        <v>249</v>
      </c>
      <c r="W10" t="s">
        <v>249</v>
      </c>
      <c r="X10" s="3" t="s">
        <v>15</v>
      </c>
    </row>
    <row r="11" spans="1:24" x14ac:dyDescent="0.2">
      <c r="A11" t="s">
        <v>45</v>
      </c>
      <c r="B11" t="s">
        <v>14</v>
      </c>
      <c r="C11">
        <v>5</v>
      </c>
      <c r="D11" t="s">
        <v>19</v>
      </c>
      <c r="E11" s="1">
        <v>1.3</v>
      </c>
      <c r="F11" s="1">
        <f>E11*'Dollar Conversion'!$Q$4</f>
        <v>1.6070707454717492</v>
      </c>
      <c r="G11" s="1">
        <f t="shared" si="0"/>
        <v>42.291335407151294</v>
      </c>
      <c r="H11" s="1">
        <f t="shared" si="1"/>
        <v>321.41414909434985</v>
      </c>
      <c r="I11" s="2">
        <f t="shared" si="3"/>
        <v>47.368421052631582</v>
      </c>
      <c r="J11" s="2">
        <f>K11/(N11/1000)</f>
        <v>360</v>
      </c>
      <c r="K11" s="2">
        <v>1.8</v>
      </c>
      <c r="L11" s="2">
        <v>1.2</v>
      </c>
      <c r="M11">
        <v>38</v>
      </c>
      <c r="N11">
        <v>5</v>
      </c>
      <c r="O11" s="2">
        <v>1.4</v>
      </c>
      <c r="P11">
        <v>0.28999999999999998</v>
      </c>
      <c r="Q11" s="28">
        <v>0.04</v>
      </c>
      <c r="R11" s="7" t="s">
        <v>250</v>
      </c>
      <c r="S11" t="s">
        <v>249</v>
      </c>
      <c r="T11" t="s">
        <v>249</v>
      </c>
      <c r="U11" t="s">
        <v>249</v>
      </c>
      <c r="V11" t="s">
        <v>249</v>
      </c>
      <c r="W11" t="s">
        <v>249</v>
      </c>
      <c r="X11" s="3" t="s">
        <v>15</v>
      </c>
    </row>
    <row r="13" spans="1:24" x14ac:dyDescent="0.2">
      <c r="F13" s="27"/>
    </row>
    <row r="14" spans="1:24" x14ac:dyDescent="0.2">
      <c r="I14" s="22"/>
      <c r="J14" s="22"/>
      <c r="K14" s="22"/>
    </row>
    <row r="23" spans="4:8" x14ac:dyDescent="0.2">
      <c r="D23" s="36"/>
    </row>
    <row r="24" spans="4:8" x14ac:dyDescent="0.2">
      <c r="H24" s="36"/>
    </row>
    <row r="25" spans="4:8" x14ac:dyDescent="0.2">
      <c r="H25" s="36"/>
    </row>
    <row r="26" spans="4:8" x14ac:dyDescent="0.2">
      <c r="G26" s="36"/>
    </row>
    <row r="27" spans="4:8" x14ac:dyDescent="0.2">
      <c r="G27" s="2"/>
      <c r="H27" s="2"/>
    </row>
    <row r="28" spans="4:8" x14ac:dyDescent="0.2">
      <c r="E28" s="36"/>
      <c r="G28" s="2"/>
      <c r="H28" s="36"/>
    </row>
    <row r="29" spans="4:8" x14ac:dyDescent="0.2">
      <c r="E29" s="36"/>
      <c r="H29" s="46"/>
    </row>
    <row r="30" spans="4:8" x14ac:dyDescent="0.2">
      <c r="H30" s="46"/>
    </row>
  </sheetData>
  <phoneticPr fontId="3" type="noConversion"/>
  <hyperlinks>
    <hyperlink ref="X3" r:id="rId1" display="EPA LCA" xr:uid="{5DC50702-C3AA-704E-A374-FE13418AEBDB}"/>
    <hyperlink ref="X4" r:id="rId2" display="EPA LCA" xr:uid="{11CD774F-74CA-0C40-BA52-CE7A8F128513}"/>
    <hyperlink ref="X5" r:id="rId3" display="EPA LCA" xr:uid="{8CB331D2-74E1-9F46-B7FC-1CF2645CD297}"/>
    <hyperlink ref="X6" r:id="rId4" display="EPA LCA" xr:uid="{A43BE32D-28B8-2C4B-9B3B-C9DFAB145500}"/>
    <hyperlink ref="X7" r:id="rId5" display="EPA LCA" xr:uid="{651ABD76-BBC7-D140-A691-986B2B8833B3}"/>
    <hyperlink ref="X8" r:id="rId6" display="EPA LCA" xr:uid="{ED14D076-A258-4844-B4A4-4E980A790F43}"/>
    <hyperlink ref="X9" r:id="rId7" display="EPA LCA" xr:uid="{230BA9A7-BA1E-C24D-BC90-5BFF3A18D989}"/>
    <hyperlink ref="X10" r:id="rId8" display="EPA LCA" xr:uid="{EDABB9B8-470E-6D4A-9934-4E004DEB26FE}"/>
    <hyperlink ref="X11" r:id="rId9" display="EPA LCA" xr:uid="{7F3CECE1-D725-B848-B326-6638EB6671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Water Treatment Levels</vt:lpstr>
      <vt:lpstr>All Water Treatment Options</vt:lpstr>
      <vt:lpstr>Green Water Treatment Options</vt:lpstr>
      <vt:lpstr>Green Water Treatment Illinois</vt:lpstr>
      <vt:lpstr>Green Water Treatment Illin0</vt:lpstr>
      <vt:lpstr>Green Water Treatment Test</vt:lpstr>
      <vt:lpstr>Green Emissions - N</vt:lpstr>
      <vt:lpstr>Green Emissions - P</vt:lpstr>
      <vt:lpstr>Gray Water Treatment Options</vt:lpstr>
      <vt:lpstr>Gray Water Treatment eGrid</vt:lpstr>
      <vt:lpstr>Emissions Plot</vt:lpstr>
      <vt:lpstr>Dollar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Limb,Braden</cp:lastModifiedBy>
  <dcterms:created xsi:type="dcterms:W3CDTF">2023-05-18T16:12:36Z</dcterms:created>
  <dcterms:modified xsi:type="dcterms:W3CDTF">2024-01-03T17:23:09Z</dcterms:modified>
</cp:coreProperties>
</file>