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adenlimb/CloudStation/Sustainability Science:Consulting/2024-10 RuFaS/SS-RuFaS Github/Results Example/"/>
    </mc:Choice>
  </mc:AlternateContent>
  <xr:revisionPtr revIDLastSave="0" documentId="13_ncr:1_{0104A9DF-1E0D-804C-86A3-1287AA5779E8}" xr6:coauthVersionLast="47" xr6:coauthVersionMax="47" xr10:uidLastSave="{00000000-0000-0000-0000-000000000000}"/>
  <bookViews>
    <workbookView xWindow="0" yWindow="500" windowWidth="34400" windowHeight="28300" tabRatio="738" firstSheet="3" activeTab="16" xr2:uid="{88325F74-DC3D-4763-80D9-B8A074157B2B}"/>
  </bookViews>
  <sheets>
    <sheet name="Plant Characteristics" sheetId="17" r:id="rId1"/>
    <sheet name="Sheet1" sheetId="29" r:id="rId2"/>
    <sheet name="Finance Assumptions" sheetId="1" r:id="rId3"/>
    <sheet name="Capital Costs Multi" sheetId="27" r:id="rId4"/>
    <sheet name="Operation Costs" sheetId="13" r:id="rId5"/>
    <sheet name="Revenue" sheetId="14" r:id="rId6"/>
    <sheet name="MACRS" sheetId="15" r:id="rId7"/>
    <sheet name="Electricity" sheetId="18" r:id="rId8"/>
    <sheet name="Electricity-Raw" sheetId="19" r:id="rId9"/>
    <sheet name="Heat" sheetId="20" r:id="rId10"/>
    <sheet name="Heat-Raw" sheetId="21" r:id="rId11"/>
    <sheet name="2021 eGrid Emissions" sheetId="22" r:id="rId12"/>
    <sheet name="Heat Inputs" sheetId="24" r:id="rId13"/>
    <sheet name="LCA" sheetId="28" r:id="rId14"/>
    <sheet name="Carbon Price" sheetId="25" r:id="rId15"/>
    <sheet name="Traditional Mining" sheetId="26" r:id="rId16"/>
    <sheet name="Sheet2" sheetId="3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4" l="1"/>
  <c r="D5" i="28"/>
  <c r="C4" i="28"/>
  <c r="C5" i="28"/>
  <c r="C3" i="28"/>
  <c r="C5" i="13"/>
  <c r="E5" i="28" l="1"/>
  <c r="E4" i="28"/>
  <c r="E3" i="28"/>
  <c r="E2" i="28"/>
  <c r="E2" i="14"/>
  <c r="E3" i="13"/>
  <c r="E4" i="13"/>
  <c r="E5" i="13"/>
  <c r="E2" i="13"/>
  <c r="B3" i="29" l="1"/>
  <c r="B18" i="29"/>
  <c r="C15" i="29" s="1"/>
  <c r="B16" i="29"/>
  <c r="C16" i="29" s="1"/>
  <c r="C11" i="29"/>
  <c r="C9" i="29"/>
  <c r="B12" i="29"/>
  <c r="B11" i="29"/>
  <c r="B9" i="29"/>
  <c r="E9" i="29" s="1"/>
  <c r="B10" i="29"/>
  <c r="E10" i="29" s="1"/>
  <c r="C18" i="29" l="1"/>
  <c r="C17" i="29"/>
  <c r="C10" i="29"/>
  <c r="E11" i="29"/>
  <c r="F11" i="29" s="1"/>
  <c r="G9" i="29"/>
  <c r="E12" i="29"/>
  <c r="F12" i="29" s="1"/>
  <c r="F9" i="29"/>
  <c r="F10" i="29"/>
  <c r="J5" i="29"/>
  <c r="L2" i="29" s="1"/>
  <c r="J3" i="29"/>
  <c r="B5" i="29"/>
  <c r="B4" i="29"/>
  <c r="C5" i="29" l="1"/>
  <c r="C3" i="29"/>
  <c r="B2" i="29"/>
  <c r="C4" i="29"/>
  <c r="E4" i="29"/>
  <c r="E5" i="29"/>
  <c r="F5" i="29" s="1"/>
  <c r="F4" i="29" l="1"/>
  <c r="C2" i="29"/>
  <c r="E2" i="29"/>
  <c r="F2" i="29" s="1"/>
  <c r="D2" i="22" l="1"/>
  <c r="B4" i="18" l="1"/>
  <c r="B5" i="17" l="1"/>
  <c r="E2" i="22" l="1"/>
  <c r="G2" i="22" l="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E4" i="25"/>
  <c r="D4" i="25" s="1"/>
  <c r="E3" i="25"/>
  <c r="D3" i="25" s="1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D3" i="22"/>
  <c r="D4" i="22"/>
  <c r="D6" i="22"/>
  <c r="D11" i="22"/>
  <c r="D12" i="22"/>
  <c r="D13" i="22"/>
  <c r="D14" i="22"/>
  <c r="D16" i="22"/>
  <c r="D21" i="22"/>
  <c r="D22" i="22"/>
  <c r="D23" i="22"/>
  <c r="D24" i="22"/>
  <c r="D25" i="22"/>
  <c r="D26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C29" i="22"/>
  <c r="D29" i="22" s="1"/>
  <c r="C28" i="22"/>
  <c r="D28" i="22" s="1"/>
  <c r="C27" i="22"/>
  <c r="D27" i="22" s="1"/>
  <c r="C26" i="22"/>
  <c r="C25" i="22"/>
  <c r="C24" i="22"/>
  <c r="C23" i="22"/>
  <c r="C22" i="22"/>
  <c r="C21" i="22"/>
  <c r="C20" i="22"/>
  <c r="D20" i="22" s="1"/>
  <c r="C19" i="22"/>
  <c r="D19" i="22" s="1"/>
  <c r="C18" i="22"/>
  <c r="D18" i="22" s="1"/>
  <c r="C17" i="22"/>
  <c r="D17" i="22" s="1"/>
  <c r="C16" i="22"/>
  <c r="C15" i="22"/>
  <c r="D15" i="22" s="1"/>
  <c r="C14" i="22"/>
  <c r="C13" i="22"/>
  <c r="C12" i="22"/>
  <c r="C11" i="22"/>
  <c r="C10" i="22"/>
  <c r="D10" i="22" s="1"/>
  <c r="C9" i="22"/>
  <c r="D9" i="22" s="1"/>
  <c r="C8" i="22"/>
  <c r="D8" i="22" s="1"/>
  <c r="C7" i="22"/>
  <c r="D7" i="22" s="1"/>
  <c r="C6" i="22"/>
  <c r="C5" i="22"/>
  <c r="D5" i="22" s="1"/>
  <c r="C4" i="22"/>
  <c r="C3" i="22"/>
  <c r="C2" i="22"/>
  <c r="F4" i="20"/>
  <c r="E4" i="20"/>
  <c r="D4" i="20"/>
  <c r="C4" i="20"/>
  <c r="B4" i="20"/>
  <c r="B4" i="25" l="1"/>
  <c r="F4" i="25" s="1"/>
  <c r="B3" i="25"/>
  <c r="F3" i="25" s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E494CC64-CCEC-1F4A-ACFB-3B18749FA4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10 ton per hour given. Scaling to 120 ton per hour assuming 8500 hours per year to meet 1 million tonnes per year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Scaling factor of 12 used on prices accordingly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EF38359-FA5E-F242-ADD0-1A34643527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from Sepehr 8/30/24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0D3DB7B0-DC09-2244-B8E7-A625C96D12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Dividing by 1000 to get from kg CO2eq to tonnes CO2eq
</t>
        </r>
      </text>
    </comment>
  </commentList>
</comments>
</file>

<file path=xl/sharedStrings.xml><?xml version="1.0" encoding="utf-8"?>
<sst xmlns="http://schemas.openxmlformats.org/spreadsheetml/2006/main" count="288" uniqueCount="198">
  <si>
    <t>Variable</t>
  </si>
  <si>
    <t>Value</t>
  </si>
  <si>
    <t>Unit</t>
  </si>
  <si>
    <t>Loan Interest Rate</t>
  </si>
  <si>
    <t>%</t>
  </si>
  <si>
    <t>int_loan</t>
  </si>
  <si>
    <t>Loan Term</t>
  </si>
  <si>
    <t>loan_term</t>
  </si>
  <si>
    <t>years</t>
  </si>
  <si>
    <t>loan_amt</t>
  </si>
  <si>
    <t>equity_amt</t>
  </si>
  <si>
    <t>Financed Loan Percent</t>
  </si>
  <si>
    <t>Equity Percent</t>
  </si>
  <si>
    <t>int_con</t>
  </si>
  <si>
    <t>Construction Interest Rate</t>
  </si>
  <si>
    <t>Construction Term</t>
  </si>
  <si>
    <t>con_term</t>
  </si>
  <si>
    <t>con_finish</t>
  </si>
  <si>
    <t>Constrution Finished</t>
  </si>
  <si>
    <t>tax_rate</t>
  </si>
  <si>
    <t>irr</t>
  </si>
  <si>
    <t>Federal + State Tax Rate</t>
  </si>
  <si>
    <t>Internal Rate of Return</t>
  </si>
  <si>
    <t>Variable_Name</t>
  </si>
  <si>
    <t>Item</t>
  </si>
  <si>
    <t>Cost</t>
  </si>
  <si>
    <t>Source</t>
  </si>
  <si>
    <t>Recovery Year</t>
  </si>
  <si>
    <t>3-Year</t>
  </si>
  <si>
    <t>5-Year</t>
  </si>
  <si>
    <t>7-Year</t>
  </si>
  <si>
    <t>10-Year</t>
  </si>
  <si>
    <t>15-Year</t>
  </si>
  <si>
    <t>20-Year</t>
  </si>
  <si>
    <t>MACRS Deprecitation Term</t>
  </si>
  <si>
    <t>depreciation_term</t>
  </si>
  <si>
    <t>Term Options</t>
  </si>
  <si>
    <t>Units Produced</t>
  </si>
  <si>
    <t>Revenue</t>
  </si>
  <si>
    <t>Optimize</t>
  </si>
  <si>
    <t>Unit Cost</t>
  </si>
  <si>
    <t>Units</t>
  </si>
  <si>
    <t>Mineral</t>
  </si>
  <si>
    <t>Plant Name</t>
  </si>
  <si>
    <t>DAC 1</t>
  </si>
  <si>
    <t>Olivine Mg2SiO4</t>
  </si>
  <si>
    <t>DAC 2</t>
  </si>
  <si>
    <t>DAC 3</t>
  </si>
  <si>
    <t>DAC 4</t>
  </si>
  <si>
    <t>DAC 5</t>
  </si>
  <si>
    <t>Electricity for Carbonation (kWh/tonne Mineral)</t>
  </si>
  <si>
    <t>Grinding (kWh/tonne Mineral)</t>
  </si>
  <si>
    <t>TOTAL Electricity (kWh/tonne Mineral)</t>
  </si>
  <si>
    <t>Electricity for Carbonation (kWh/tonne)</t>
  </si>
  <si>
    <t>Water pumping (kWh/tonne)</t>
  </si>
  <si>
    <t>CO2 compression (kWh/tonne)</t>
  </si>
  <si>
    <t>CO2 cooler (kWh/tonne)</t>
  </si>
  <si>
    <t>Grinding (kWh/tonne)</t>
  </si>
  <si>
    <t>TOTAL Electricity (kWh/tonne)</t>
  </si>
  <si>
    <t>Total Heat required for pre-treatment (GJ/tonne)</t>
  </si>
  <si>
    <t>Heat to Carbonation Process (GJ/tonne)</t>
  </si>
  <si>
    <t>Total Heat (GJ/tonne)</t>
  </si>
  <si>
    <t>Heat for pre-treatment of Mineral (GJ/tonne)</t>
  </si>
  <si>
    <t>Possible heat recovery during pre-treatment (GJ/tonne)</t>
  </si>
  <si>
    <t>Mineral-Heating (to reach reactor temp from RT)</t>
  </si>
  <si>
    <t>Water Heating incl. heat recovery (GJ/tonne)</t>
  </si>
  <si>
    <t>Exothermic Energy (inside the reactor) (GJ/tonne)</t>
  </si>
  <si>
    <t>CO2 Heating (GJ/tonne)</t>
  </si>
  <si>
    <t>TOTAL Heat (GJ/tonne)</t>
  </si>
  <si>
    <t>Region</t>
  </si>
  <si>
    <t xml:space="preserve"> lb/MWh</t>
  </si>
  <si>
    <t>kg/MWh</t>
  </si>
  <si>
    <t>US</t>
  </si>
  <si>
    <t>AKGD</t>
  </si>
  <si>
    <t>AKMS</t>
  </si>
  <si>
    <t>AZNM</t>
  </si>
  <si>
    <t>CAMX</t>
  </si>
  <si>
    <t>ERCT</t>
  </si>
  <si>
    <t>FRCC</t>
  </si>
  <si>
    <t>HIMS</t>
  </si>
  <si>
    <t>HIOA</t>
  </si>
  <si>
    <t>MROE</t>
  </si>
  <si>
    <t>MROW</t>
  </si>
  <si>
    <t>NEWE</t>
  </si>
  <si>
    <t>NWPP</t>
  </si>
  <si>
    <t>NYCW</t>
  </si>
  <si>
    <t>NYLI</t>
  </si>
  <si>
    <t>NYUP</t>
  </si>
  <si>
    <t>PRMS</t>
  </si>
  <si>
    <t>RFCE</t>
  </si>
  <si>
    <t>RFCM</t>
  </si>
  <si>
    <t>RFCW</t>
  </si>
  <si>
    <t>RMPA</t>
  </si>
  <si>
    <t>SPNO</t>
  </si>
  <si>
    <t>SPSO</t>
  </si>
  <si>
    <t>SRMV</t>
  </si>
  <si>
    <t>SRMW</t>
  </si>
  <si>
    <t>SRSO</t>
  </si>
  <si>
    <t>SRTV</t>
  </si>
  <si>
    <t>SRVC</t>
  </si>
  <si>
    <t>Cost ($/kwh)</t>
  </si>
  <si>
    <t>Total Emissions (tonnes CO2e/yr)</t>
  </si>
  <si>
    <t>tonnes/kwh</t>
  </si>
  <si>
    <t>Nickel</t>
  </si>
  <si>
    <t>tonnes/GJ</t>
  </si>
  <si>
    <t>Cost ($/GJ)</t>
  </si>
  <si>
    <t>Cobalt</t>
  </si>
  <si>
    <t>Carbon Mineralization</t>
  </si>
  <si>
    <t>Traditional</t>
  </si>
  <si>
    <t>Carbon Price ($/tonne CO2)</t>
  </si>
  <si>
    <t>Cost ($/tonne Mineral)</t>
  </si>
  <si>
    <t>LCA (tonnes CO2/tonne Mineral)</t>
  </si>
  <si>
    <t>Cost ($/MWh)</t>
  </si>
  <si>
    <t>Project Term</t>
  </si>
  <si>
    <t>project_term</t>
  </si>
  <si>
    <t>Investment Tax Credit Percent</t>
  </si>
  <si>
    <t>i_tax_credit_pct</t>
  </si>
  <si>
    <t>Investment Tax Credit Life</t>
  </si>
  <si>
    <t>i_tax_credit_term</t>
  </si>
  <si>
    <t>Investment Tax Credit Use Method</t>
  </si>
  <si>
    <t>i_tax_credit_use</t>
  </si>
  <si>
    <t>Immediately</t>
  </si>
  <si>
    <t>Construction Year</t>
  </si>
  <si>
    <t>VT Direct CMME</t>
  </si>
  <si>
    <t>Jin email 3/13/24</t>
  </si>
  <si>
    <t>kg Olivine</t>
  </si>
  <si>
    <t>Functional Unit</t>
  </si>
  <si>
    <t>Desired Olivine Input</t>
  </si>
  <si>
    <t>tonne/yr</t>
  </si>
  <si>
    <t>Scaling Factor</t>
  </si>
  <si>
    <t>kg/yr</t>
  </si>
  <si>
    <t>Cost Units</t>
  </si>
  <si>
    <t>Units Needed</t>
  </si>
  <si>
    <t>Item Units</t>
  </si>
  <si>
    <t>Exxsol D145</t>
  </si>
  <si>
    <t>Hydrochloric acid</t>
  </si>
  <si>
    <t>Unit Units</t>
  </si>
  <si>
    <t>LCI</t>
  </si>
  <si>
    <t>Emissions Units</t>
  </si>
  <si>
    <t>kg/1 m tonnes Olivine</t>
  </si>
  <si>
    <t>Olivine</t>
  </si>
  <si>
    <t>kg Olivine/1m tonnes Olivine</t>
  </si>
  <si>
    <t xml:space="preserve">Nickel </t>
  </si>
  <si>
    <t>kg Nickel/1m tonnes Olivine</t>
  </si>
  <si>
    <t>soybean</t>
  </si>
  <si>
    <t>kg</t>
  </si>
  <si>
    <t>Hexane</t>
  </si>
  <si>
    <t>Soybean oil</t>
  </si>
  <si>
    <t>Jet A</t>
  </si>
  <si>
    <t xml:space="preserve">kg </t>
  </si>
  <si>
    <t>VT</t>
  </si>
  <si>
    <t>NaOH</t>
  </si>
  <si>
    <t>MgCO3</t>
  </si>
  <si>
    <t>kg MGCO3/1m tonnes Olivine</t>
  </si>
  <si>
    <t>NiCO3</t>
  </si>
  <si>
    <t>kg NiCO3/1m tonnes Olivine</t>
  </si>
  <si>
    <t>Multiple of Output</t>
  </si>
  <si>
    <t>Quantity</t>
  </si>
  <si>
    <t>CU Two Step</t>
  </si>
  <si>
    <t>l/1m tonnes Olivine</t>
  </si>
  <si>
    <t>Soybeans</t>
  </si>
  <si>
    <t>Soybean to Jet Fuel</t>
  </si>
  <si>
    <t>Glycine</t>
  </si>
  <si>
    <t>Industrial CO2</t>
  </si>
  <si>
    <t>Grain bins &amp; augers</t>
  </si>
  <si>
    <t>Site prep &amp; foundation</t>
  </si>
  <si>
    <t>Electrical setup</t>
  </si>
  <si>
    <t>Labor (loading/unloading)</t>
  </si>
  <si>
    <t>Electricity (fans, augers)</t>
  </si>
  <si>
    <t>Maintenance (bins, augers)</t>
  </si>
  <si>
    <t>Fuel (tractor for unloading)</t>
  </si>
  <si>
    <t>kwh</t>
  </si>
  <si>
    <t>Crop</t>
  </si>
  <si>
    <t>Year</t>
  </si>
  <si>
    <t>Capital</t>
  </si>
  <si>
    <t>LoanPayment</t>
  </si>
  <si>
    <t>InterestPayment</t>
  </si>
  <si>
    <t>LoanPrinciple</t>
  </si>
  <si>
    <t>OperationCosts</t>
  </si>
  <si>
    <t>DepreciationRate</t>
  </si>
  <si>
    <t>CapitalDepreciation</t>
  </si>
  <si>
    <t>NetRevenue</t>
  </si>
  <si>
    <t>LossesForward</t>
  </si>
  <si>
    <t>TaxableIncome</t>
  </si>
  <si>
    <t>IncomeTax</t>
  </si>
  <si>
    <t>TaxCreditUsed</t>
  </si>
  <si>
    <t>TaxCreditRevenue</t>
  </si>
  <si>
    <t>CashIncome</t>
  </si>
  <si>
    <t>DiscountFactor</t>
  </si>
  <si>
    <t>PresentValue</t>
  </si>
  <si>
    <t>NPVCapitalPlusInterest</t>
  </si>
  <si>
    <t>NPVTax</t>
  </si>
  <si>
    <t>NPVTaxCreditUsed</t>
  </si>
  <si>
    <t>NPVTaxCreditRevenue</t>
  </si>
  <si>
    <t>NPVRevenue</t>
  </si>
  <si>
    <t>NPVOperationCosts</t>
  </si>
  <si>
    <t>NPVCapitalCosts</t>
  </si>
  <si>
    <t>NPVLoanPayment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</si>
</sst>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.000_);_(* \(#,##0.000\);_(* &quot;-&quot;??_);_(@_)"/>
    <numFmt numFmtId="167" formatCode="0.000"/>
    <numFmt numFmtId="168" formatCode="_(* #,##0_);_(* \(#,##0\);_(* &quot;-&quot;??_);_(@_)"/>
    <numFmt numFmtId="169" formatCode="_(* #,##0.0_);_(* \(#,##0.0\);_(* &quot;-&quot;??_);_(@_)"/>
    <numFmt numFmtId="170" formatCode="0.0E+00"/>
    <numFmt numFmtId="171" formatCode="0.00000"/>
    <numFmt numFmtId="182" formatCode="&quot;$&quot;#,##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4" fillId="0" borderId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6" fillId="0" borderId="0" xfId="0" applyFont="1"/>
    <xf numFmtId="164" fontId="0" fillId="0" borderId="0" xfId="2" applyNumberFormat="1" applyFont="1"/>
    <xf numFmtId="164" fontId="0" fillId="0" borderId="0" xfId="0" applyNumberFormat="1"/>
    <xf numFmtId="0" fontId="0" fillId="0" borderId="0" xfId="2" applyNumberFormat="1" applyFont="1"/>
    <xf numFmtId="164" fontId="5" fillId="2" borderId="1" xfId="2" applyNumberFormat="1" applyFont="1" applyFill="1" applyBorder="1"/>
    <xf numFmtId="0" fontId="7" fillId="0" borderId="0" xfId="0" applyFont="1"/>
    <xf numFmtId="165" fontId="0" fillId="0" borderId="0" xfId="1" applyNumberFormat="1" applyFont="1"/>
    <xf numFmtId="0" fontId="8" fillId="0" borderId="0" xfId="0" applyFont="1"/>
    <xf numFmtId="0" fontId="9" fillId="0" borderId="0" xfId="0" applyFont="1"/>
    <xf numFmtId="11" fontId="0" fillId="0" borderId="0" xfId="0" applyNumberFormat="1"/>
    <xf numFmtId="9" fontId="0" fillId="0" borderId="0" xfId="0" applyNumberFormat="1"/>
    <xf numFmtId="0" fontId="3" fillId="0" borderId="0" xfId="4"/>
    <xf numFmtId="0" fontId="10" fillId="0" borderId="2" xfId="4" applyFont="1" applyBorder="1"/>
    <xf numFmtId="0" fontId="11" fillId="0" borderId="2" xfId="4" applyFont="1" applyBorder="1"/>
    <xf numFmtId="166" fontId="0" fillId="0" borderId="0" xfId="5" applyNumberFormat="1" applyFont="1"/>
    <xf numFmtId="0" fontId="3" fillId="4" borderId="2" xfId="4" applyFill="1" applyBorder="1"/>
    <xf numFmtId="0" fontId="10" fillId="3" borderId="0" xfId="4" applyFont="1" applyFill="1"/>
    <xf numFmtId="0" fontId="12" fillId="0" borderId="0" xfId="4" applyFont="1"/>
    <xf numFmtId="2" fontId="3" fillId="0" borderId="0" xfId="4" applyNumberFormat="1"/>
    <xf numFmtId="167" fontId="3" fillId="0" borderId="0" xfId="4" applyNumberFormat="1"/>
    <xf numFmtId="0" fontId="13" fillId="0" borderId="0" xfId="4" applyFont="1"/>
    <xf numFmtId="43" fontId="0" fillId="0" borderId="0" xfId="5" applyFont="1"/>
    <xf numFmtId="43" fontId="0" fillId="0" borderId="0" xfId="0" applyNumberFormat="1"/>
    <xf numFmtId="11" fontId="0" fillId="0" borderId="0" xfId="5" applyNumberFormat="1" applyFont="1"/>
    <xf numFmtId="44" fontId="0" fillId="0" borderId="0" xfId="1" applyFont="1"/>
    <xf numFmtId="44" fontId="0" fillId="0" borderId="0" xfId="0" applyNumberFormat="1"/>
    <xf numFmtId="0" fontId="2" fillId="0" borderId="0" xfId="4" applyFont="1"/>
    <xf numFmtId="0" fontId="1" fillId="0" borderId="0" xfId="4" applyFont="1"/>
    <xf numFmtId="168" fontId="4" fillId="0" borderId="0" xfId="3" applyNumberFormat="1"/>
    <xf numFmtId="168" fontId="0" fillId="0" borderId="0" xfId="3" applyNumberFormat="1" applyFont="1"/>
    <xf numFmtId="0" fontId="14" fillId="0" borderId="0" xfId="7"/>
    <xf numFmtId="43" fontId="3" fillId="0" borderId="0" xfId="3" applyFont="1"/>
    <xf numFmtId="168" fontId="10" fillId="0" borderId="2" xfId="3" applyNumberFormat="1" applyFont="1" applyBorder="1"/>
    <xf numFmtId="168" fontId="11" fillId="0" borderId="2" xfId="3" applyNumberFormat="1" applyFont="1" applyBorder="1"/>
    <xf numFmtId="10" fontId="0" fillId="0" borderId="0" xfId="2" applyNumberFormat="1" applyFont="1"/>
    <xf numFmtId="170" fontId="0" fillId="0" borderId="0" xfId="3" applyNumberFormat="1" applyFont="1"/>
    <xf numFmtId="43" fontId="5" fillId="2" borderId="1" xfId="3" applyFont="1" applyFill="1" applyBorder="1"/>
    <xf numFmtId="43" fontId="10" fillId="0" borderId="2" xfId="3" applyFont="1" applyBorder="1"/>
    <xf numFmtId="169" fontId="0" fillId="0" borderId="0" xfId="3" applyNumberFormat="1" applyFont="1"/>
    <xf numFmtId="17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/>
    <xf numFmtId="43" fontId="0" fillId="0" borderId="0" xfId="3" applyFont="1"/>
    <xf numFmtId="11" fontId="0" fillId="0" borderId="0" xfId="3" applyNumberFormat="1" applyFont="1"/>
    <xf numFmtId="182" fontId="0" fillId="0" borderId="0" xfId="0" applyNumberFormat="1"/>
    <xf numFmtId="9" fontId="0" fillId="0" borderId="0" xfId="2" applyFont="1"/>
  </cellXfs>
  <cellStyles count="8">
    <cellStyle name="Comma" xfId="3" builtinId="3"/>
    <cellStyle name="Comma 2" xfId="5" xr:uid="{F30EFC1C-876D-7846-95F4-9E0DEA0D36DD}"/>
    <cellStyle name="Currency" xfId="1" builtinId="4"/>
    <cellStyle name="Currency 2" xfId="6" xr:uid="{3F22CD33-E5B0-3844-BE7B-5712C6D30526}"/>
    <cellStyle name="Hyperlink" xfId="7" builtinId="8"/>
    <cellStyle name="Normal" xfId="0" builtinId="0"/>
    <cellStyle name="Normal 2" xfId="4" xr:uid="{C97142EF-7C26-F14B-AD77-942953210595}"/>
    <cellStyle name="Percent" xfId="2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71C5-279E-C543-9BAE-313AAAB91AEC}">
  <sheetPr>
    <tabColor theme="5" tint="0.59999389629810485"/>
  </sheetPr>
  <dimension ref="A1:D7"/>
  <sheetViews>
    <sheetView workbookViewId="0">
      <selection activeCell="A8" sqref="A8"/>
    </sheetView>
  </sheetViews>
  <sheetFormatPr baseColWidth="10" defaultRowHeight="15" x14ac:dyDescent="0.2"/>
  <cols>
    <col min="1" max="1" width="17.1640625" bestFit="1" customWidth="1"/>
    <col min="2" max="2" width="13.1640625" bestFit="1" customWidth="1"/>
    <col min="3" max="3" width="13.6640625" bestFit="1" customWidth="1"/>
    <col min="4" max="4" width="25.6640625" bestFit="1" customWidth="1"/>
  </cols>
  <sheetData>
    <row r="1" spans="1:4" x14ac:dyDescent="0.2">
      <c r="B1" t="s">
        <v>1</v>
      </c>
      <c r="C1" t="s">
        <v>41</v>
      </c>
      <c r="D1" t="s">
        <v>26</v>
      </c>
    </row>
    <row r="2" spans="1:4" x14ac:dyDescent="0.2">
      <c r="A2" t="s">
        <v>43</v>
      </c>
      <c r="B2" t="s">
        <v>123</v>
      </c>
      <c r="C2" t="s">
        <v>45</v>
      </c>
      <c r="D2" t="s">
        <v>124</v>
      </c>
    </row>
    <row r="3" spans="1:4" x14ac:dyDescent="0.2">
      <c r="A3" t="s">
        <v>126</v>
      </c>
      <c r="B3" s="10">
        <v>1</v>
      </c>
      <c r="C3" t="s">
        <v>125</v>
      </c>
    </row>
    <row r="4" spans="1:4" x14ac:dyDescent="0.2">
      <c r="A4" t="s">
        <v>127</v>
      </c>
      <c r="B4" s="10">
        <v>1000000</v>
      </c>
      <c r="C4" t="s">
        <v>128</v>
      </c>
    </row>
    <row r="5" spans="1:4" x14ac:dyDescent="0.2">
      <c r="A5" t="s">
        <v>129</v>
      </c>
      <c r="B5" s="10">
        <f>1000*B4</f>
        <v>1000000000</v>
      </c>
      <c r="C5" t="s">
        <v>130</v>
      </c>
    </row>
    <row r="6" spans="1:4" x14ac:dyDescent="0.2">
      <c r="A6" t="s">
        <v>162</v>
      </c>
      <c r="B6" s="35">
        <v>0.9</v>
      </c>
    </row>
    <row r="7" spans="1:4" x14ac:dyDescent="0.2">
      <c r="A7" t="s">
        <v>163</v>
      </c>
      <c r="B7" s="35">
        <v>0.95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89A0-4773-4248-BF8A-203C22FF96DC}">
  <sheetPr>
    <tabColor theme="7" tint="0.59999389629810485"/>
  </sheetPr>
  <dimension ref="A1:F4"/>
  <sheetViews>
    <sheetView workbookViewId="0">
      <selection activeCell="T61" sqref="T61"/>
    </sheetView>
  </sheetViews>
  <sheetFormatPr baseColWidth="10" defaultRowHeight="16" x14ac:dyDescent="0.2"/>
  <cols>
    <col min="1" max="1" width="42.33203125" style="12" bestFit="1" customWidth="1"/>
    <col min="2" max="16384" width="10.83203125" style="12"/>
  </cols>
  <sheetData>
    <row r="1" spans="1:6" x14ac:dyDescent="0.2">
      <c r="B1" s="12" t="s">
        <v>44</v>
      </c>
      <c r="C1" s="12" t="s">
        <v>46</v>
      </c>
      <c r="D1" s="12" t="s">
        <v>47</v>
      </c>
      <c r="E1" s="12" t="s">
        <v>48</v>
      </c>
      <c r="F1" s="12" t="s">
        <v>49</v>
      </c>
    </row>
    <row r="2" spans="1:6" x14ac:dyDescent="0.2">
      <c r="A2" s="12" t="s">
        <v>59</v>
      </c>
      <c r="B2" s="12">
        <v>0</v>
      </c>
      <c r="C2" s="12">
        <v>0.41</v>
      </c>
      <c r="D2" s="12">
        <v>0</v>
      </c>
      <c r="E2" s="12">
        <v>0</v>
      </c>
      <c r="F2" s="12">
        <v>0.41</v>
      </c>
    </row>
    <row r="3" spans="1:6" x14ac:dyDescent="0.2">
      <c r="A3" s="12" t="s">
        <v>60</v>
      </c>
      <c r="B3" s="12">
        <v>0</v>
      </c>
      <c r="C3" s="12">
        <v>0</v>
      </c>
      <c r="D3" s="12">
        <v>0</v>
      </c>
      <c r="E3" s="12">
        <v>0.21</v>
      </c>
      <c r="F3" s="12">
        <v>0.12</v>
      </c>
    </row>
    <row r="4" spans="1:6" x14ac:dyDescent="0.2">
      <c r="A4" s="12" t="s">
        <v>61</v>
      </c>
      <c r="B4" s="12">
        <f>SUM(B2:B3)</f>
        <v>0</v>
      </c>
      <c r="C4" s="12">
        <f t="shared" ref="C4:F4" si="0">SUM(C2:C3)</f>
        <v>0.41</v>
      </c>
      <c r="D4" s="12">
        <f t="shared" si="0"/>
        <v>0</v>
      </c>
      <c r="E4" s="12">
        <f t="shared" si="0"/>
        <v>0.21</v>
      </c>
      <c r="F4" s="12">
        <f t="shared" si="0"/>
        <v>0.53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21E1-8DE4-754D-A469-EEFD5A3EF57C}">
  <sheetPr>
    <tabColor theme="7" tint="0.59999389629810485"/>
  </sheetPr>
  <dimension ref="A1:F11"/>
  <sheetViews>
    <sheetView zoomScale="150" zoomScaleNormal="150" workbookViewId="0">
      <selection activeCell="T61" sqref="T61"/>
    </sheetView>
  </sheetViews>
  <sheetFormatPr baseColWidth="10" defaultRowHeight="16" x14ac:dyDescent="0.2"/>
  <cols>
    <col min="1" max="1" width="47.6640625" style="12" bestFit="1" customWidth="1"/>
    <col min="2" max="16384" width="10.83203125" style="12"/>
  </cols>
  <sheetData>
    <row r="1" spans="1:6" x14ac:dyDescent="0.2">
      <c r="B1" s="12" t="s">
        <v>44</v>
      </c>
      <c r="C1" s="12" t="s">
        <v>46</v>
      </c>
      <c r="D1" s="12" t="s">
        <v>47</v>
      </c>
      <c r="E1" s="12" t="s">
        <v>48</v>
      </c>
      <c r="F1" s="12" t="s">
        <v>49</v>
      </c>
    </row>
    <row r="2" spans="1:6" x14ac:dyDescent="0.2">
      <c r="A2" s="17" t="s">
        <v>59</v>
      </c>
      <c r="B2" s="17">
        <v>0</v>
      </c>
      <c r="C2" s="17">
        <v>0.41</v>
      </c>
      <c r="D2" s="17">
        <v>0</v>
      </c>
      <c r="E2" s="17">
        <v>0</v>
      </c>
      <c r="F2" s="17">
        <v>0.41</v>
      </c>
    </row>
    <row r="3" spans="1:6" x14ac:dyDescent="0.2">
      <c r="A3" s="16" t="s">
        <v>62</v>
      </c>
      <c r="B3" s="16">
        <v>0</v>
      </c>
      <c r="C3" s="16">
        <v>0.65</v>
      </c>
      <c r="D3" s="16">
        <v>0</v>
      </c>
      <c r="E3" s="16">
        <v>0</v>
      </c>
      <c r="F3" s="16">
        <v>0.65</v>
      </c>
    </row>
    <row r="4" spans="1:6" x14ac:dyDescent="0.2">
      <c r="A4" s="16" t="s">
        <v>63</v>
      </c>
      <c r="B4" s="16">
        <v>0</v>
      </c>
      <c r="C4" s="16">
        <v>-0.24</v>
      </c>
      <c r="D4" s="16">
        <v>0</v>
      </c>
      <c r="E4" s="16">
        <v>0</v>
      </c>
      <c r="F4" s="16">
        <v>-0.24</v>
      </c>
    </row>
    <row r="5" spans="1:6" x14ac:dyDescent="0.2">
      <c r="A5" s="18" t="s">
        <v>60</v>
      </c>
      <c r="B5" s="18">
        <v>0</v>
      </c>
      <c r="C5" s="18">
        <v>0.11799999999999999</v>
      </c>
      <c r="D5" s="18">
        <v>0</v>
      </c>
      <c r="E5" s="18">
        <v>0.29099999999999998</v>
      </c>
      <c r="F5" s="18">
        <v>0.19700000000000001</v>
      </c>
    </row>
    <row r="6" spans="1:6" x14ac:dyDescent="0.2">
      <c r="A6" s="12" t="s">
        <v>64</v>
      </c>
      <c r="B6" s="12">
        <v>0.18</v>
      </c>
      <c r="C6" s="12">
        <v>0.14000000000000001</v>
      </c>
      <c r="D6" s="12">
        <v>0.08</v>
      </c>
      <c r="E6" s="19">
        <v>0.18</v>
      </c>
      <c r="F6" s="12">
        <v>0.14000000000000001</v>
      </c>
    </row>
    <row r="7" spans="1:6" x14ac:dyDescent="0.2">
      <c r="A7" s="12" t="s">
        <v>65</v>
      </c>
      <c r="B7" s="12">
        <v>0.23</v>
      </c>
      <c r="C7" s="12">
        <v>0.21</v>
      </c>
      <c r="D7" s="12">
        <v>0.24</v>
      </c>
      <c r="E7" s="19">
        <v>0.23</v>
      </c>
      <c r="F7" s="12">
        <v>0.21</v>
      </c>
    </row>
    <row r="8" spans="1:6" x14ac:dyDescent="0.2">
      <c r="A8" s="12" t="s">
        <v>66</v>
      </c>
      <c r="B8" s="12">
        <v>-0.69</v>
      </c>
      <c r="C8" s="12">
        <v>-0.39</v>
      </c>
      <c r="D8" s="12">
        <v>-0.49</v>
      </c>
      <c r="E8" s="19">
        <v>-0.26</v>
      </c>
      <c r="F8" s="12">
        <v>-0.26</v>
      </c>
    </row>
    <row r="9" spans="1:6" x14ac:dyDescent="0.2">
      <c r="A9" s="12" t="s">
        <v>67</v>
      </c>
      <c r="B9" s="12">
        <v>7.0000000000000007E-2</v>
      </c>
      <c r="C9" s="12">
        <v>0.04</v>
      </c>
      <c r="D9" s="12">
        <v>0</v>
      </c>
      <c r="E9" s="19">
        <v>0.05</v>
      </c>
      <c r="F9" s="12">
        <v>0.02</v>
      </c>
    </row>
    <row r="10" spans="1:6" x14ac:dyDescent="0.2">
      <c r="A10" s="17" t="s">
        <v>68</v>
      </c>
      <c r="B10" s="17">
        <v>0</v>
      </c>
      <c r="C10" s="17">
        <v>0</v>
      </c>
      <c r="D10" s="17">
        <v>0</v>
      </c>
      <c r="E10" s="17">
        <v>0.21</v>
      </c>
      <c r="F10" s="17">
        <v>0.12</v>
      </c>
    </row>
    <row r="11" spans="1:6" x14ac:dyDescent="0.2">
      <c r="E11" s="20"/>
      <c r="F11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62EB-68B5-AF45-95B7-8D69511A33BE}">
  <sheetPr>
    <tabColor theme="8" tint="0.59999389629810485"/>
  </sheetPr>
  <dimension ref="A1:G29"/>
  <sheetViews>
    <sheetView workbookViewId="0">
      <selection activeCell="D2" sqref="D2"/>
    </sheetView>
  </sheetViews>
  <sheetFormatPr baseColWidth="10" defaultRowHeight="16" x14ac:dyDescent="0.2"/>
  <cols>
    <col min="1" max="6" width="10.83203125" style="12"/>
    <col min="7" max="7" width="12.83203125" style="12" bestFit="1" customWidth="1"/>
    <col min="8" max="16384" width="10.83203125" style="12"/>
  </cols>
  <sheetData>
    <row r="1" spans="1:7" x14ac:dyDescent="0.2">
      <c r="A1" t="s">
        <v>69</v>
      </c>
      <c r="B1" s="21" t="s">
        <v>70</v>
      </c>
      <c r="C1" s="28" t="s">
        <v>71</v>
      </c>
      <c r="D1" s="12" t="s">
        <v>102</v>
      </c>
      <c r="E1" s="12" t="s">
        <v>100</v>
      </c>
      <c r="G1" s="27" t="s">
        <v>112</v>
      </c>
    </row>
    <row r="2" spans="1:7" x14ac:dyDescent="0.2">
      <c r="A2" s="21" t="s">
        <v>72</v>
      </c>
      <c r="B2" s="21">
        <v>852.3</v>
      </c>
      <c r="C2" s="22">
        <f>B2*0.453592</f>
        <v>386.5964616</v>
      </c>
      <c r="D2" s="24">
        <f t="shared" ref="D2:D29" si="0">C2/1000/1000</f>
        <v>3.8659646159999999E-4</v>
      </c>
      <c r="E2" s="12">
        <f>F2/100</f>
        <v>0.12359999999999999</v>
      </c>
      <c r="F2" s="12">
        <v>12.36</v>
      </c>
      <c r="G2" s="12">
        <f>E2*1000</f>
        <v>123.6</v>
      </c>
    </row>
    <row r="3" spans="1:7" x14ac:dyDescent="0.2">
      <c r="A3" s="21" t="s">
        <v>73</v>
      </c>
      <c r="B3" s="21">
        <v>1067.68</v>
      </c>
      <c r="C3" s="22">
        <f t="shared" ref="C3:C29" si="1">B3*0.453592</f>
        <v>484.29110656</v>
      </c>
      <c r="D3" s="24">
        <f t="shared" si="0"/>
        <v>4.8429110656E-4</v>
      </c>
      <c r="E3" s="12">
        <f t="shared" ref="E3:E29" si="2">F3/100</f>
        <v>0.20730000000000001</v>
      </c>
      <c r="F3" s="12">
        <v>20.73</v>
      </c>
      <c r="G3" s="12">
        <f t="shared" ref="G3:G29" si="3">E3*1000</f>
        <v>207.3</v>
      </c>
    </row>
    <row r="4" spans="1:7" x14ac:dyDescent="0.2">
      <c r="A4" s="21" t="s">
        <v>74</v>
      </c>
      <c r="B4" s="21">
        <v>485.18599999999998</v>
      </c>
      <c r="C4" s="22">
        <f t="shared" si="1"/>
        <v>220.07648811199999</v>
      </c>
      <c r="D4" s="24">
        <f t="shared" si="0"/>
        <v>2.2007648811199997E-4</v>
      </c>
      <c r="E4" s="12">
        <f t="shared" si="2"/>
        <v>0.20730000000000001</v>
      </c>
      <c r="F4" s="12">
        <v>20.73</v>
      </c>
      <c r="G4" s="12">
        <f t="shared" si="3"/>
        <v>207.3</v>
      </c>
    </row>
    <row r="5" spans="1:7" x14ac:dyDescent="0.2">
      <c r="A5" s="21" t="s">
        <v>75</v>
      </c>
      <c r="B5" s="21">
        <v>819.65599999999995</v>
      </c>
      <c r="C5" s="22">
        <f t="shared" si="1"/>
        <v>371.78940435199996</v>
      </c>
      <c r="D5" s="24">
        <f t="shared" si="0"/>
        <v>3.7178940435199999E-4</v>
      </c>
      <c r="E5" s="12">
        <f t="shared" si="2"/>
        <v>0.105</v>
      </c>
      <c r="F5" s="12">
        <v>10.5</v>
      </c>
      <c r="G5" s="12">
        <f t="shared" si="3"/>
        <v>105</v>
      </c>
    </row>
    <row r="6" spans="1:7" x14ac:dyDescent="0.2">
      <c r="A6" s="21" t="s">
        <v>76</v>
      </c>
      <c r="B6" s="21">
        <v>531.678</v>
      </c>
      <c r="C6" s="22">
        <f t="shared" si="1"/>
        <v>241.164887376</v>
      </c>
      <c r="D6" s="24">
        <f t="shared" si="0"/>
        <v>2.41164887376E-4</v>
      </c>
      <c r="E6" s="12">
        <f t="shared" si="2"/>
        <v>0.22329999999999997</v>
      </c>
      <c r="F6" s="12">
        <v>22.33</v>
      </c>
      <c r="G6" s="12">
        <f t="shared" si="3"/>
        <v>223.29999999999998</v>
      </c>
    </row>
    <row r="7" spans="1:7" x14ac:dyDescent="0.2">
      <c r="A7" s="21" t="s">
        <v>77</v>
      </c>
      <c r="B7" s="21">
        <v>813.55200000000002</v>
      </c>
      <c r="C7" s="22">
        <f t="shared" si="1"/>
        <v>369.02067878399998</v>
      </c>
      <c r="D7" s="24">
        <f t="shared" si="0"/>
        <v>3.6902067878399994E-4</v>
      </c>
      <c r="E7" s="12">
        <f t="shared" si="2"/>
        <v>0.1016</v>
      </c>
      <c r="F7" s="12">
        <v>10.16</v>
      </c>
      <c r="G7" s="12">
        <f t="shared" si="3"/>
        <v>101.6</v>
      </c>
    </row>
    <row r="8" spans="1:7" x14ac:dyDescent="0.2">
      <c r="A8" s="21" t="s">
        <v>78</v>
      </c>
      <c r="B8" s="21">
        <v>832.92399999999998</v>
      </c>
      <c r="C8" s="22">
        <f t="shared" si="1"/>
        <v>377.80766300799996</v>
      </c>
      <c r="D8" s="24">
        <f t="shared" si="0"/>
        <v>3.7780766300799992E-4</v>
      </c>
      <c r="E8" s="12">
        <f t="shared" si="2"/>
        <v>0.12509999999999999</v>
      </c>
      <c r="F8" s="12">
        <v>12.51</v>
      </c>
      <c r="G8" s="12">
        <f t="shared" si="3"/>
        <v>125.1</v>
      </c>
    </row>
    <row r="9" spans="1:7" x14ac:dyDescent="0.2">
      <c r="A9" s="21" t="s">
        <v>79</v>
      </c>
      <c r="B9" s="21">
        <v>1134.3910000000001</v>
      </c>
      <c r="C9" s="22">
        <f t="shared" si="1"/>
        <v>514.55068247200006</v>
      </c>
      <c r="D9" s="24">
        <f t="shared" si="0"/>
        <v>5.1455068247200004E-4</v>
      </c>
      <c r="E9" s="12">
        <f t="shared" si="2"/>
        <v>0.3972</v>
      </c>
      <c r="F9" s="12">
        <v>39.72</v>
      </c>
      <c r="G9" s="12">
        <f t="shared" si="3"/>
        <v>397.2</v>
      </c>
    </row>
    <row r="10" spans="1:7" x14ac:dyDescent="0.2">
      <c r="A10" s="21" t="s">
        <v>80</v>
      </c>
      <c r="B10" s="21">
        <v>1633.097</v>
      </c>
      <c r="C10" s="22">
        <f t="shared" si="1"/>
        <v>740.75973442399993</v>
      </c>
      <c r="D10" s="24">
        <f t="shared" si="0"/>
        <v>7.4075973442399993E-4</v>
      </c>
      <c r="E10" s="12">
        <f t="shared" si="2"/>
        <v>0.3972</v>
      </c>
      <c r="F10" s="12">
        <v>39.72</v>
      </c>
      <c r="G10" s="12">
        <f t="shared" si="3"/>
        <v>397.2</v>
      </c>
    </row>
    <row r="11" spans="1:7" x14ac:dyDescent="0.2">
      <c r="A11" s="21" t="s">
        <v>81</v>
      </c>
      <c r="B11" s="21">
        <v>1582.135</v>
      </c>
      <c r="C11" s="22">
        <f t="shared" si="1"/>
        <v>717.64377891999993</v>
      </c>
      <c r="D11" s="24">
        <f t="shared" si="0"/>
        <v>7.1764377892000002E-4</v>
      </c>
      <c r="E11" s="12">
        <f t="shared" si="2"/>
        <v>0.12039999999999999</v>
      </c>
      <c r="F11" s="12">
        <v>12.04</v>
      </c>
      <c r="G11" s="12">
        <f t="shared" si="3"/>
        <v>120.39999999999999</v>
      </c>
    </row>
    <row r="12" spans="1:7" x14ac:dyDescent="0.2">
      <c r="A12" s="21" t="s">
        <v>82</v>
      </c>
      <c r="B12" s="21">
        <v>995.79</v>
      </c>
      <c r="C12" s="22">
        <f t="shared" si="1"/>
        <v>451.68237768</v>
      </c>
      <c r="D12" s="24">
        <f t="shared" si="0"/>
        <v>4.5168237768000003E-4</v>
      </c>
      <c r="E12" s="12">
        <f t="shared" si="2"/>
        <v>0.1</v>
      </c>
      <c r="F12" s="12">
        <v>10</v>
      </c>
      <c r="G12" s="12">
        <f t="shared" si="3"/>
        <v>100</v>
      </c>
    </row>
    <row r="13" spans="1:7" x14ac:dyDescent="0.2">
      <c r="A13" s="21" t="s">
        <v>83</v>
      </c>
      <c r="B13" s="21">
        <v>539.36699999999996</v>
      </c>
      <c r="C13" s="22">
        <f t="shared" si="1"/>
        <v>244.65255626399997</v>
      </c>
      <c r="D13" s="24">
        <f t="shared" si="0"/>
        <v>2.4465255626399997E-4</v>
      </c>
      <c r="E13" s="12">
        <f t="shared" si="2"/>
        <v>0.1744</v>
      </c>
      <c r="F13" s="12">
        <v>17.440000000000001</v>
      </c>
      <c r="G13" s="12">
        <f t="shared" si="3"/>
        <v>174.4</v>
      </c>
    </row>
    <row r="14" spans="1:7" x14ac:dyDescent="0.2">
      <c r="A14" s="21" t="s">
        <v>84</v>
      </c>
      <c r="B14" s="21">
        <v>634.59900000000005</v>
      </c>
      <c r="C14" s="22">
        <f t="shared" si="1"/>
        <v>287.84902960800002</v>
      </c>
      <c r="D14" s="24">
        <f t="shared" si="0"/>
        <v>2.8784902960800004E-4</v>
      </c>
      <c r="E14" s="12">
        <f t="shared" si="2"/>
        <v>0.09</v>
      </c>
      <c r="F14" s="12">
        <v>9</v>
      </c>
      <c r="G14" s="12">
        <f t="shared" si="3"/>
        <v>90</v>
      </c>
    </row>
    <row r="15" spans="1:7" x14ac:dyDescent="0.2">
      <c r="A15" s="21" t="s">
        <v>85</v>
      </c>
      <c r="B15" s="21">
        <v>816.75599999999997</v>
      </c>
      <c r="C15" s="22">
        <f t="shared" si="1"/>
        <v>370.47398755199998</v>
      </c>
      <c r="D15" s="24">
        <f t="shared" si="0"/>
        <v>3.7047398755199999E-4</v>
      </c>
      <c r="E15" s="12">
        <f t="shared" si="2"/>
        <v>0.18329999999999999</v>
      </c>
      <c r="F15" s="12">
        <v>18.329999999999998</v>
      </c>
      <c r="G15" s="12">
        <f t="shared" si="3"/>
        <v>183.29999999999998</v>
      </c>
    </row>
    <row r="16" spans="1:7" x14ac:dyDescent="0.2">
      <c r="A16" s="21" t="s">
        <v>86</v>
      </c>
      <c r="B16" s="21">
        <v>1210.94</v>
      </c>
      <c r="C16" s="22">
        <f t="shared" si="1"/>
        <v>549.27269648000004</v>
      </c>
      <c r="D16" s="24">
        <f t="shared" si="0"/>
        <v>5.4927269648000004E-4</v>
      </c>
      <c r="E16" s="12">
        <f t="shared" si="2"/>
        <v>0.18329999999999999</v>
      </c>
      <c r="F16" s="12">
        <v>18.329999999999998</v>
      </c>
      <c r="G16" s="12">
        <f t="shared" si="3"/>
        <v>183.29999999999998</v>
      </c>
    </row>
    <row r="17" spans="1:7" x14ac:dyDescent="0.2">
      <c r="A17" s="21" t="s">
        <v>87</v>
      </c>
      <c r="B17" s="21">
        <v>233.08099999999999</v>
      </c>
      <c r="C17" s="22">
        <f t="shared" si="1"/>
        <v>105.72367695199999</v>
      </c>
      <c r="D17" s="24">
        <f t="shared" si="0"/>
        <v>1.0572367695199999E-4</v>
      </c>
      <c r="E17" s="12">
        <f t="shared" si="2"/>
        <v>0.18329999999999999</v>
      </c>
      <c r="F17" s="12">
        <v>18.329999999999998</v>
      </c>
      <c r="G17" s="12">
        <f t="shared" si="3"/>
        <v>183.29999999999998</v>
      </c>
    </row>
    <row r="18" spans="1:7" x14ac:dyDescent="0.2">
      <c r="A18" s="21" t="s">
        <v>88</v>
      </c>
      <c r="B18" s="21">
        <v>1558.0239999999999</v>
      </c>
      <c r="C18" s="22">
        <f t="shared" si="1"/>
        <v>706.70722220799996</v>
      </c>
      <c r="D18" s="24">
        <f t="shared" si="0"/>
        <v>7.0670722220799993E-4</v>
      </c>
      <c r="E18" s="12">
        <f t="shared" si="2"/>
        <v>0.24199999999999999</v>
      </c>
      <c r="F18" s="12">
        <v>24.2</v>
      </c>
      <c r="G18" s="12">
        <f t="shared" si="3"/>
        <v>242</v>
      </c>
    </row>
    <row r="19" spans="1:7" x14ac:dyDescent="0.2">
      <c r="A19" s="21" t="s">
        <v>89</v>
      </c>
      <c r="B19" s="21">
        <v>672.78700000000003</v>
      </c>
      <c r="C19" s="22">
        <f t="shared" si="1"/>
        <v>305.17080090400003</v>
      </c>
      <c r="D19" s="24">
        <f t="shared" si="0"/>
        <v>3.0517080090400003E-4</v>
      </c>
      <c r="E19" s="12">
        <f t="shared" si="2"/>
        <v>0.1186</v>
      </c>
      <c r="F19" s="12">
        <v>11.86</v>
      </c>
      <c r="G19" s="12">
        <f t="shared" si="3"/>
        <v>118.6</v>
      </c>
    </row>
    <row r="20" spans="1:7" x14ac:dyDescent="0.2">
      <c r="A20" s="21" t="s">
        <v>90</v>
      </c>
      <c r="B20" s="21">
        <v>1214.0609999999999</v>
      </c>
      <c r="C20" s="22">
        <f t="shared" si="1"/>
        <v>550.68835711199995</v>
      </c>
      <c r="D20" s="24">
        <f t="shared" si="0"/>
        <v>5.5068835711199993E-4</v>
      </c>
      <c r="E20" s="12">
        <f t="shared" si="2"/>
        <v>0.13200000000000001</v>
      </c>
      <c r="F20" s="12">
        <v>13.2</v>
      </c>
      <c r="G20" s="12">
        <f t="shared" si="3"/>
        <v>132</v>
      </c>
    </row>
    <row r="21" spans="1:7" x14ac:dyDescent="0.2">
      <c r="A21" s="21" t="s">
        <v>91</v>
      </c>
      <c r="B21" s="21">
        <v>1046.1320000000001</v>
      </c>
      <c r="C21" s="22">
        <f t="shared" si="1"/>
        <v>474.51710614400002</v>
      </c>
      <c r="D21" s="24">
        <f t="shared" si="0"/>
        <v>4.7451710614399999E-4</v>
      </c>
      <c r="E21" s="12">
        <f t="shared" si="2"/>
        <v>0.10640000000000001</v>
      </c>
      <c r="F21" s="12">
        <v>10.64</v>
      </c>
      <c r="G21" s="12">
        <f t="shared" si="3"/>
        <v>106.4</v>
      </c>
    </row>
    <row r="22" spans="1:7" x14ac:dyDescent="0.2">
      <c r="A22" s="21" t="s">
        <v>92</v>
      </c>
      <c r="B22" s="21">
        <v>1158.8599999999999</v>
      </c>
      <c r="C22" s="22">
        <f t="shared" si="1"/>
        <v>525.64962512</v>
      </c>
      <c r="D22" s="24">
        <f t="shared" si="0"/>
        <v>5.2564962512000003E-4</v>
      </c>
      <c r="E22" s="12">
        <f t="shared" si="2"/>
        <v>0.11749999999999999</v>
      </c>
      <c r="F22" s="12">
        <v>11.75</v>
      </c>
      <c r="G22" s="12">
        <f t="shared" si="3"/>
        <v>117.5</v>
      </c>
    </row>
    <row r="23" spans="1:7" x14ac:dyDescent="0.2">
      <c r="A23" s="21" t="s">
        <v>93</v>
      </c>
      <c r="B23" s="21">
        <v>991.72900000000004</v>
      </c>
      <c r="C23" s="22">
        <f t="shared" si="1"/>
        <v>449.84034056799999</v>
      </c>
      <c r="D23" s="24">
        <f t="shared" si="0"/>
        <v>4.4984034056799998E-4</v>
      </c>
      <c r="E23" s="12">
        <f t="shared" si="2"/>
        <v>8.8300000000000003E-2</v>
      </c>
      <c r="F23" s="12">
        <v>8.83</v>
      </c>
      <c r="G23" s="12">
        <f t="shared" si="3"/>
        <v>88.3</v>
      </c>
    </row>
    <row r="24" spans="1:7" x14ac:dyDescent="0.2">
      <c r="A24" s="21" t="s">
        <v>94</v>
      </c>
      <c r="B24" s="21">
        <v>1031.6010000000001</v>
      </c>
      <c r="C24" s="22">
        <f t="shared" si="1"/>
        <v>467.92596079200007</v>
      </c>
      <c r="D24" s="24">
        <f t="shared" si="0"/>
        <v>4.6792596079200005E-4</v>
      </c>
      <c r="E24" s="12">
        <f t="shared" si="2"/>
        <v>0.10050000000000001</v>
      </c>
      <c r="F24" s="12">
        <v>10.050000000000001</v>
      </c>
      <c r="G24" s="12">
        <f t="shared" si="3"/>
        <v>100.5</v>
      </c>
    </row>
    <row r="25" spans="1:7" x14ac:dyDescent="0.2">
      <c r="A25" s="21" t="s">
        <v>95</v>
      </c>
      <c r="B25" s="21">
        <v>772.73699999999997</v>
      </c>
      <c r="C25" s="22">
        <f t="shared" si="1"/>
        <v>350.50732130399996</v>
      </c>
      <c r="D25" s="24">
        <f t="shared" si="0"/>
        <v>3.5050732130399996E-4</v>
      </c>
      <c r="E25" s="12">
        <f t="shared" si="2"/>
        <v>0.1041</v>
      </c>
      <c r="F25" s="12">
        <v>10.41</v>
      </c>
      <c r="G25" s="12">
        <f t="shared" si="3"/>
        <v>104.1</v>
      </c>
    </row>
    <row r="26" spans="1:7" x14ac:dyDescent="0.2">
      <c r="A26" s="21" t="s">
        <v>96</v>
      </c>
      <c r="B26" s="21">
        <v>1543.0340000000001</v>
      </c>
      <c r="C26" s="22">
        <f t="shared" si="1"/>
        <v>699.90787812799999</v>
      </c>
      <c r="D26" s="24">
        <f t="shared" si="0"/>
        <v>6.9990787812800005E-4</v>
      </c>
      <c r="E26" s="12">
        <f t="shared" si="2"/>
        <v>0.11939999999999999</v>
      </c>
      <c r="F26" s="12">
        <v>11.94</v>
      </c>
      <c r="G26" s="12">
        <f t="shared" si="3"/>
        <v>119.39999999999999</v>
      </c>
    </row>
    <row r="27" spans="1:7" x14ac:dyDescent="0.2">
      <c r="A27" s="21" t="s">
        <v>97</v>
      </c>
      <c r="B27" s="21">
        <v>891.90700000000004</v>
      </c>
      <c r="C27" s="22">
        <f t="shared" si="1"/>
        <v>404.561879944</v>
      </c>
      <c r="D27" s="24">
        <f t="shared" si="0"/>
        <v>4.0456187994399999E-4</v>
      </c>
      <c r="E27" s="12">
        <f t="shared" si="2"/>
        <v>0.12</v>
      </c>
      <c r="F27" s="12">
        <v>12</v>
      </c>
      <c r="G27" s="12">
        <f t="shared" si="3"/>
        <v>120</v>
      </c>
    </row>
    <row r="28" spans="1:7" x14ac:dyDescent="0.2">
      <c r="A28" s="21" t="s">
        <v>98</v>
      </c>
      <c r="B28" s="21">
        <v>931.58600000000001</v>
      </c>
      <c r="C28" s="22">
        <f t="shared" si="1"/>
        <v>422.55995691200002</v>
      </c>
      <c r="D28" s="24">
        <f t="shared" si="0"/>
        <v>4.2255995691200003E-4</v>
      </c>
      <c r="E28" s="12">
        <f t="shared" si="2"/>
        <v>0.10890000000000001</v>
      </c>
      <c r="F28" s="12">
        <v>10.89</v>
      </c>
      <c r="G28" s="12">
        <f t="shared" si="3"/>
        <v>108.9</v>
      </c>
    </row>
    <row r="29" spans="1:7" x14ac:dyDescent="0.2">
      <c r="A29" s="21" t="s">
        <v>99</v>
      </c>
      <c r="B29" s="21">
        <v>639.66499999999996</v>
      </c>
      <c r="C29" s="22">
        <f t="shared" si="1"/>
        <v>290.14692667999998</v>
      </c>
      <c r="D29" s="24">
        <f t="shared" si="0"/>
        <v>2.9014692667999996E-4</v>
      </c>
      <c r="E29" s="12">
        <f t="shared" si="2"/>
        <v>0.1074</v>
      </c>
      <c r="F29" s="12">
        <v>10.74</v>
      </c>
      <c r="G29" s="12">
        <f t="shared" si="3"/>
        <v>107.39999999999999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F966-190E-6A49-B5DE-C02CA35EB39A}">
  <sheetPr>
    <tabColor theme="8" tint="0.59999389629810485"/>
  </sheetPr>
  <dimension ref="A1:C29"/>
  <sheetViews>
    <sheetView workbookViewId="0">
      <selection activeCell="B30" sqref="B30"/>
    </sheetView>
  </sheetViews>
  <sheetFormatPr baseColWidth="10" defaultRowHeight="16" x14ac:dyDescent="0.2"/>
  <cols>
    <col min="1" max="3" width="10.83203125" style="12"/>
  </cols>
  <sheetData>
    <row r="1" spans="1:3" x14ac:dyDescent="0.2">
      <c r="A1" s="21" t="s">
        <v>69</v>
      </c>
      <c r="B1" s="12" t="s">
        <v>104</v>
      </c>
      <c r="C1" s="12" t="s">
        <v>105</v>
      </c>
    </row>
    <row r="2" spans="1:3" x14ac:dyDescent="0.2">
      <c r="A2" s="21" t="s">
        <v>72</v>
      </c>
      <c r="B2" s="24">
        <v>0</v>
      </c>
      <c r="C2" s="12">
        <f>D2/100</f>
        <v>0</v>
      </c>
    </row>
    <row r="3" spans="1:3" x14ac:dyDescent="0.2">
      <c r="A3" s="21" t="s">
        <v>73</v>
      </c>
      <c r="B3" s="24">
        <v>0</v>
      </c>
      <c r="C3" s="12">
        <f t="shared" ref="C3:C29" si="0">D3/100</f>
        <v>0</v>
      </c>
    </row>
    <row r="4" spans="1:3" x14ac:dyDescent="0.2">
      <c r="A4" s="21" t="s">
        <v>74</v>
      </c>
      <c r="B4" s="24">
        <v>0</v>
      </c>
      <c r="C4" s="12">
        <f t="shared" si="0"/>
        <v>0</v>
      </c>
    </row>
    <row r="5" spans="1:3" x14ac:dyDescent="0.2">
      <c r="A5" s="21" t="s">
        <v>75</v>
      </c>
      <c r="B5" s="24">
        <v>0</v>
      </c>
      <c r="C5" s="12">
        <f t="shared" si="0"/>
        <v>0</v>
      </c>
    </row>
    <row r="6" spans="1:3" x14ac:dyDescent="0.2">
      <c r="A6" s="21" t="s">
        <v>76</v>
      </c>
      <c r="B6" s="24">
        <v>0</v>
      </c>
      <c r="C6" s="12">
        <f t="shared" si="0"/>
        <v>0</v>
      </c>
    </row>
    <row r="7" spans="1:3" x14ac:dyDescent="0.2">
      <c r="A7" s="21" t="s">
        <v>77</v>
      </c>
      <c r="B7" s="24">
        <v>0</v>
      </c>
      <c r="C7" s="12">
        <f t="shared" si="0"/>
        <v>0</v>
      </c>
    </row>
    <row r="8" spans="1:3" x14ac:dyDescent="0.2">
      <c r="A8" s="21" t="s">
        <v>78</v>
      </c>
      <c r="B8" s="24">
        <v>0</v>
      </c>
      <c r="C8" s="12">
        <f t="shared" si="0"/>
        <v>0</v>
      </c>
    </row>
    <row r="9" spans="1:3" x14ac:dyDescent="0.2">
      <c r="A9" s="21" t="s">
        <v>79</v>
      </c>
      <c r="B9" s="24">
        <v>0</v>
      </c>
      <c r="C9" s="12">
        <f t="shared" si="0"/>
        <v>0</v>
      </c>
    </row>
    <row r="10" spans="1:3" x14ac:dyDescent="0.2">
      <c r="A10" s="21" t="s">
        <v>80</v>
      </c>
      <c r="B10" s="24">
        <v>0</v>
      </c>
      <c r="C10" s="12">
        <f t="shared" si="0"/>
        <v>0</v>
      </c>
    </row>
    <row r="11" spans="1:3" x14ac:dyDescent="0.2">
      <c r="A11" s="21" t="s">
        <v>81</v>
      </c>
      <c r="B11" s="24">
        <v>0</v>
      </c>
      <c r="C11" s="12">
        <f t="shared" si="0"/>
        <v>0</v>
      </c>
    </row>
    <row r="12" spans="1:3" x14ac:dyDescent="0.2">
      <c r="A12" s="21" t="s">
        <v>82</v>
      </c>
      <c r="B12" s="24">
        <v>0</v>
      </c>
      <c r="C12" s="12">
        <f t="shared" si="0"/>
        <v>0</v>
      </c>
    </row>
    <row r="13" spans="1:3" x14ac:dyDescent="0.2">
      <c r="A13" s="21" t="s">
        <v>83</v>
      </c>
      <c r="B13" s="24">
        <v>0</v>
      </c>
      <c r="C13" s="12">
        <f t="shared" si="0"/>
        <v>0</v>
      </c>
    </row>
    <row r="14" spans="1:3" x14ac:dyDescent="0.2">
      <c r="A14" s="21" t="s">
        <v>84</v>
      </c>
      <c r="B14" s="24">
        <v>0</v>
      </c>
      <c r="C14" s="12">
        <f t="shared" si="0"/>
        <v>0</v>
      </c>
    </row>
    <row r="15" spans="1:3" x14ac:dyDescent="0.2">
      <c r="A15" s="21" t="s">
        <v>85</v>
      </c>
      <c r="B15" s="24">
        <v>0</v>
      </c>
      <c r="C15" s="12">
        <f t="shared" si="0"/>
        <v>0</v>
      </c>
    </row>
    <row r="16" spans="1:3" x14ac:dyDescent="0.2">
      <c r="A16" s="21" t="s">
        <v>86</v>
      </c>
      <c r="B16" s="24">
        <v>0</v>
      </c>
      <c r="C16" s="12">
        <f t="shared" si="0"/>
        <v>0</v>
      </c>
    </row>
    <row r="17" spans="1:3" x14ac:dyDescent="0.2">
      <c r="A17" s="21" t="s">
        <v>87</v>
      </c>
      <c r="B17" s="24">
        <v>0</v>
      </c>
      <c r="C17" s="12">
        <f t="shared" si="0"/>
        <v>0</v>
      </c>
    </row>
    <row r="18" spans="1:3" x14ac:dyDescent="0.2">
      <c r="A18" s="21" t="s">
        <v>88</v>
      </c>
      <c r="B18" s="24">
        <v>0</v>
      </c>
      <c r="C18" s="12">
        <f t="shared" si="0"/>
        <v>0</v>
      </c>
    </row>
    <row r="19" spans="1:3" x14ac:dyDescent="0.2">
      <c r="A19" s="21" t="s">
        <v>89</v>
      </c>
      <c r="B19" s="24">
        <v>0</v>
      </c>
      <c r="C19" s="12">
        <f t="shared" si="0"/>
        <v>0</v>
      </c>
    </row>
    <row r="20" spans="1:3" x14ac:dyDescent="0.2">
      <c r="A20" s="21" t="s">
        <v>90</v>
      </c>
      <c r="B20" s="24">
        <v>0</v>
      </c>
      <c r="C20" s="12">
        <f t="shared" si="0"/>
        <v>0</v>
      </c>
    </row>
    <row r="21" spans="1:3" x14ac:dyDescent="0.2">
      <c r="A21" s="21" t="s">
        <v>91</v>
      </c>
      <c r="B21" s="24">
        <v>0</v>
      </c>
      <c r="C21" s="12">
        <f t="shared" si="0"/>
        <v>0</v>
      </c>
    </row>
    <row r="22" spans="1:3" x14ac:dyDescent="0.2">
      <c r="A22" s="21" t="s">
        <v>92</v>
      </c>
      <c r="B22" s="24">
        <v>0</v>
      </c>
      <c r="C22" s="12">
        <f t="shared" si="0"/>
        <v>0</v>
      </c>
    </row>
    <row r="23" spans="1:3" x14ac:dyDescent="0.2">
      <c r="A23" s="21" t="s">
        <v>93</v>
      </c>
      <c r="B23" s="24">
        <v>0</v>
      </c>
      <c r="C23" s="12">
        <f t="shared" si="0"/>
        <v>0</v>
      </c>
    </row>
    <row r="24" spans="1:3" x14ac:dyDescent="0.2">
      <c r="A24" s="21" t="s">
        <v>94</v>
      </c>
      <c r="B24" s="24">
        <v>0</v>
      </c>
      <c r="C24" s="12">
        <f t="shared" si="0"/>
        <v>0</v>
      </c>
    </row>
    <row r="25" spans="1:3" x14ac:dyDescent="0.2">
      <c r="A25" s="21" t="s">
        <v>95</v>
      </c>
      <c r="B25" s="24">
        <v>0</v>
      </c>
      <c r="C25" s="12">
        <f t="shared" si="0"/>
        <v>0</v>
      </c>
    </row>
    <row r="26" spans="1:3" x14ac:dyDescent="0.2">
      <c r="A26" s="21" t="s">
        <v>96</v>
      </c>
      <c r="B26" s="24">
        <v>0</v>
      </c>
      <c r="C26" s="12">
        <f t="shared" si="0"/>
        <v>0</v>
      </c>
    </row>
    <row r="27" spans="1:3" x14ac:dyDescent="0.2">
      <c r="A27" s="21" t="s">
        <v>97</v>
      </c>
      <c r="B27" s="24">
        <v>0</v>
      </c>
      <c r="C27" s="12">
        <f t="shared" si="0"/>
        <v>0</v>
      </c>
    </row>
    <row r="28" spans="1:3" x14ac:dyDescent="0.2">
      <c r="A28" s="21" t="s">
        <v>98</v>
      </c>
      <c r="B28" s="24">
        <v>0</v>
      </c>
      <c r="C28" s="12">
        <f t="shared" si="0"/>
        <v>0</v>
      </c>
    </row>
    <row r="29" spans="1:3" x14ac:dyDescent="0.2">
      <c r="A29" s="21" t="s">
        <v>99</v>
      </c>
      <c r="B29" s="24">
        <v>0</v>
      </c>
      <c r="C29" s="12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D5C1-E56B-8845-8CB8-A84837921610}">
  <sheetPr>
    <tabColor theme="8" tint="0.39997558519241921"/>
  </sheetPr>
  <dimension ref="A1:G6"/>
  <sheetViews>
    <sheetView workbookViewId="0">
      <selection activeCell="J22" sqref="J22"/>
    </sheetView>
  </sheetViews>
  <sheetFormatPr baseColWidth="10" defaultRowHeight="15" x14ac:dyDescent="0.2"/>
  <cols>
    <col min="1" max="1" width="17.33203125" bestFit="1" customWidth="1"/>
    <col min="2" max="2" width="18" bestFit="1" customWidth="1"/>
    <col min="3" max="3" width="12.1640625" bestFit="1" customWidth="1"/>
    <col min="4" max="4" width="9.1640625" bestFit="1" customWidth="1"/>
    <col min="5" max="5" width="27.33203125" bestFit="1" customWidth="1"/>
    <col min="6" max="6" width="23.83203125" bestFit="1" customWidth="1"/>
  </cols>
  <sheetData>
    <row r="1" spans="1:7" x14ac:dyDescent="0.2">
      <c r="A1" s="6" t="s">
        <v>24</v>
      </c>
      <c r="B1" s="6" t="s">
        <v>133</v>
      </c>
      <c r="C1" s="6" t="s">
        <v>132</v>
      </c>
      <c r="D1" s="6" t="s">
        <v>137</v>
      </c>
      <c r="E1" s="6" t="s">
        <v>101</v>
      </c>
      <c r="F1" s="6" t="s">
        <v>138</v>
      </c>
      <c r="G1" s="6" t="s">
        <v>26</v>
      </c>
    </row>
    <row r="2" spans="1:7" x14ac:dyDescent="0.2">
      <c r="A2" t="s">
        <v>167</v>
      </c>
      <c r="C2">
        <v>1</v>
      </c>
      <c r="D2" s="44">
        <v>0</v>
      </c>
      <c r="E2" s="44">
        <f>C2*D2</f>
        <v>0</v>
      </c>
    </row>
    <row r="3" spans="1:7" x14ac:dyDescent="0.2">
      <c r="A3" t="s">
        <v>168</v>
      </c>
      <c r="B3" t="s">
        <v>171</v>
      </c>
      <c r="C3" s="44">
        <f>'Operation Costs'!C3</f>
        <v>12000</v>
      </c>
      <c r="D3" s="45">
        <v>3.8659646159999999E-4</v>
      </c>
      <c r="E3" s="44">
        <f t="shared" ref="E3:E5" si="0">C3*D3</f>
        <v>4.6391575392000002</v>
      </c>
    </row>
    <row r="4" spans="1:7" x14ac:dyDescent="0.2">
      <c r="A4" t="s">
        <v>169</v>
      </c>
      <c r="C4" s="44">
        <f>'Operation Costs'!C4</f>
        <v>1</v>
      </c>
      <c r="D4" s="44">
        <v>0</v>
      </c>
      <c r="E4" s="44">
        <f t="shared" si="0"/>
        <v>0</v>
      </c>
    </row>
    <row r="5" spans="1:7" x14ac:dyDescent="0.2">
      <c r="A5" t="s">
        <v>170</v>
      </c>
      <c r="C5" s="44">
        <f>'Operation Costs'!C5</f>
        <v>250</v>
      </c>
      <c r="D5" s="45">
        <f>12.7/1000</f>
        <v>1.2699999999999999E-2</v>
      </c>
      <c r="E5" s="44">
        <f t="shared" si="0"/>
        <v>3.1749999999999998</v>
      </c>
    </row>
    <row r="6" spans="1:7" x14ac:dyDescent="0.2">
      <c r="C6" s="29"/>
      <c r="D6" s="36"/>
      <c r="E6" s="30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5FE6-8687-2343-BDAD-41D4B8FACD61}">
  <sheetPr>
    <tabColor rgb="FF7030A0"/>
  </sheetPr>
  <dimension ref="A1:F4"/>
  <sheetViews>
    <sheetView workbookViewId="0">
      <selection activeCell="B1" sqref="B1:E1"/>
    </sheetView>
  </sheetViews>
  <sheetFormatPr baseColWidth="10" defaultRowHeight="15" x14ac:dyDescent="0.2"/>
  <cols>
    <col min="2" max="2" width="18.1640625" bestFit="1" customWidth="1"/>
    <col min="3" max="3" width="9.5" bestFit="1" customWidth="1"/>
    <col min="4" max="4" width="18.1640625" bestFit="1" customWidth="1"/>
    <col min="5" max="5" width="11.1640625" bestFit="1" customWidth="1"/>
    <col min="6" max="6" width="22.1640625" bestFit="1" customWidth="1"/>
  </cols>
  <sheetData>
    <row r="1" spans="1:6" x14ac:dyDescent="0.2">
      <c r="B1" s="42" t="s">
        <v>111</v>
      </c>
      <c r="C1" s="42"/>
      <c r="D1" s="42" t="s">
        <v>110</v>
      </c>
      <c r="E1" s="42"/>
    </row>
    <row r="2" spans="1:6" x14ac:dyDescent="0.2">
      <c r="B2" t="s">
        <v>107</v>
      </c>
      <c r="C2" t="s">
        <v>108</v>
      </c>
      <c r="D2" t="s">
        <v>107</v>
      </c>
      <c r="E2" t="s">
        <v>108</v>
      </c>
      <c r="F2" t="s">
        <v>109</v>
      </c>
    </row>
    <row r="3" spans="1:6" x14ac:dyDescent="0.2">
      <c r="A3" t="s">
        <v>103</v>
      </c>
      <c r="B3" s="23" t="e">
        <f>#REF!*1000/1000</f>
        <v>#REF!</v>
      </c>
      <c r="C3">
        <v>45</v>
      </c>
      <c r="D3" s="26" t="e">
        <f>E3*(1+220.3669/100)</f>
        <v>#REF!</v>
      </c>
      <c r="E3" s="25" t="e">
        <f>Revenue!#REF!</f>
        <v>#REF!</v>
      </c>
      <c r="F3" s="25" t="e">
        <f>(D3-E3)/(C3-B3)</f>
        <v>#REF!</v>
      </c>
    </row>
    <row r="4" spans="1:6" x14ac:dyDescent="0.2">
      <c r="A4" t="s">
        <v>106</v>
      </c>
      <c r="B4" s="23" t="e">
        <f>#REF!*1000/1000</f>
        <v>#REF!</v>
      </c>
      <c r="C4">
        <v>37</v>
      </c>
      <c r="D4" s="26" t="e">
        <f>E4*(1+220.3669/100)</f>
        <v>#REF!</v>
      </c>
      <c r="E4" s="25" t="e">
        <f>Revenue!#REF!</f>
        <v>#REF!</v>
      </c>
      <c r="F4" s="25" t="e">
        <f>(D4-E4)/(C4-B4)</f>
        <v>#REF!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E595-D3A3-AE49-A6BD-52E987F21549}">
  <sheetPr>
    <tabColor rgb="FF7030A0"/>
  </sheetPr>
  <dimension ref="A1:C3"/>
  <sheetViews>
    <sheetView workbookViewId="0">
      <selection activeCell="A8" sqref="A8"/>
    </sheetView>
  </sheetViews>
  <sheetFormatPr baseColWidth="10" defaultRowHeight="15" x14ac:dyDescent="0.2"/>
  <cols>
    <col min="2" max="2" width="25.6640625" bestFit="1" customWidth="1"/>
    <col min="3" max="3" width="18.33203125" bestFit="1" customWidth="1"/>
  </cols>
  <sheetData>
    <row r="1" spans="1:3" x14ac:dyDescent="0.2">
      <c r="A1" t="s">
        <v>42</v>
      </c>
      <c r="B1" t="s">
        <v>111</v>
      </c>
      <c r="C1" t="s">
        <v>110</v>
      </c>
    </row>
    <row r="2" spans="1:3" x14ac:dyDescent="0.2">
      <c r="A2" t="s">
        <v>172</v>
      </c>
      <c r="B2">
        <v>0.4</v>
      </c>
      <c r="C2" s="25">
        <v>280</v>
      </c>
    </row>
    <row r="3" spans="1:3" x14ac:dyDescent="0.2">
      <c r="C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7C01-2971-3B4B-8051-8ADD61A71C1F}">
  <dimension ref="A1:Z26"/>
  <sheetViews>
    <sheetView tabSelected="1" workbookViewId="0">
      <selection activeCell="I18" sqref="I18"/>
    </sheetView>
  </sheetViews>
  <sheetFormatPr baseColWidth="10" defaultRowHeight="15" x14ac:dyDescent="0.2"/>
  <cols>
    <col min="1" max="1" width="4.33203125" bestFit="1" customWidth="1"/>
    <col min="2" max="2" width="7.6640625" bestFit="1" customWidth="1"/>
    <col min="3" max="3" width="11.5" bestFit="1" customWidth="1"/>
    <col min="4" max="4" width="13.6640625" bestFit="1" customWidth="1"/>
    <col min="5" max="5" width="11.6640625" bestFit="1" customWidth="1"/>
    <col min="6" max="6" width="7.6640625" bestFit="1" customWidth="1"/>
    <col min="7" max="7" width="12.83203125" bestFit="1" customWidth="1"/>
    <col min="8" max="8" width="14.33203125" bestFit="1" customWidth="1"/>
    <col min="9" max="9" width="16.5" bestFit="1" customWidth="1"/>
    <col min="10" max="10" width="10.1640625" bestFit="1" customWidth="1"/>
    <col min="11" max="11" width="12.1640625" bestFit="1" customWidth="1"/>
    <col min="12" max="12" width="12.5" bestFit="1" customWidth="1"/>
    <col min="13" max="13" width="9.33203125" bestFit="1" customWidth="1"/>
    <col min="14" max="14" width="12" bestFit="1" customWidth="1"/>
    <col min="15" max="15" width="14.6640625" bestFit="1" customWidth="1"/>
    <col min="16" max="16" width="10.33203125" bestFit="1" customWidth="1"/>
    <col min="17" max="17" width="12.83203125" bestFit="1" customWidth="1"/>
    <col min="18" max="18" width="11" bestFit="1" customWidth="1"/>
    <col min="19" max="19" width="18.83203125" bestFit="1" customWidth="1"/>
    <col min="20" max="20" width="6.83203125" bestFit="1" customWidth="1"/>
    <col min="21" max="21" width="15.1640625" bestFit="1" customWidth="1"/>
    <col min="22" max="22" width="18" bestFit="1" customWidth="1"/>
    <col min="23" max="23" width="10.6640625" bestFit="1" customWidth="1"/>
    <col min="24" max="24" width="16" bestFit="1" customWidth="1"/>
    <col min="25" max="25" width="13.6640625" bestFit="1" customWidth="1"/>
    <col min="26" max="26" width="14.6640625" bestFit="1" customWidth="1"/>
  </cols>
  <sheetData>
    <row r="1" spans="1:26" x14ac:dyDescent="0.2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38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</row>
    <row r="2" spans="1:26" x14ac:dyDescent="0.2">
      <c r="A2">
        <v>0</v>
      </c>
      <c r="B2" s="46">
        <v>19999.999999999902</v>
      </c>
      <c r="C2" s="46">
        <v>0</v>
      </c>
      <c r="D2" s="46">
        <v>4000</v>
      </c>
      <c r="E2" s="46">
        <v>80000</v>
      </c>
      <c r="F2" s="46">
        <v>0</v>
      </c>
      <c r="G2" s="46">
        <v>0</v>
      </c>
      <c r="H2" s="47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N2" s="46">
        <v>0</v>
      </c>
      <c r="O2" s="46">
        <v>0</v>
      </c>
      <c r="P2" s="46">
        <v>0</v>
      </c>
      <c r="Q2" s="47">
        <v>1</v>
      </c>
      <c r="R2" s="46">
        <v>0</v>
      </c>
      <c r="S2" s="46">
        <v>23999.999999999902</v>
      </c>
      <c r="T2" s="46">
        <v>0</v>
      </c>
      <c r="U2" s="46">
        <v>0</v>
      </c>
      <c r="V2" s="46">
        <v>0</v>
      </c>
      <c r="W2" s="46">
        <v>0</v>
      </c>
      <c r="X2" s="46">
        <v>0</v>
      </c>
      <c r="Y2" s="46">
        <v>19999.999999999902</v>
      </c>
      <c r="Z2" s="46"/>
    </row>
    <row r="3" spans="1:26" x14ac:dyDescent="0.2">
      <c r="A3">
        <v>1</v>
      </c>
      <c r="B3" s="46">
        <v>0</v>
      </c>
      <c r="C3" s="46">
        <v>10360.3659972365</v>
      </c>
      <c r="D3" s="46">
        <v>4000</v>
      </c>
      <c r="E3" s="46">
        <v>73639.6340027634</v>
      </c>
      <c r="F3" s="46">
        <v>20155.230545656599</v>
      </c>
      <c r="G3" s="46">
        <v>5500</v>
      </c>
      <c r="H3" s="47">
        <v>0.1429</v>
      </c>
      <c r="I3" s="46">
        <v>14290</v>
      </c>
      <c r="J3" s="46">
        <v>-3634.7694543433399</v>
      </c>
      <c r="K3" s="46">
        <v>-3634.7694543433399</v>
      </c>
      <c r="L3" s="46">
        <v>0</v>
      </c>
      <c r="M3" s="46">
        <v>0</v>
      </c>
      <c r="N3" s="46">
        <v>0</v>
      </c>
      <c r="O3" s="46">
        <v>0</v>
      </c>
      <c r="P3" s="46">
        <v>4294.8645484201297</v>
      </c>
      <c r="Q3" s="47">
        <v>0.90909090909090895</v>
      </c>
      <c r="R3" s="46">
        <v>3904.4223167455698</v>
      </c>
      <c r="S3" s="46">
        <v>0</v>
      </c>
      <c r="T3" s="46">
        <v>0</v>
      </c>
      <c r="U3" s="46">
        <v>0</v>
      </c>
      <c r="V3" s="46">
        <v>0</v>
      </c>
      <c r="W3" s="46">
        <v>18322.936859687801</v>
      </c>
      <c r="X3" s="46">
        <v>5000</v>
      </c>
      <c r="Y3" s="46">
        <v>0</v>
      </c>
      <c r="Z3" s="46">
        <v>9418.5145429422901</v>
      </c>
    </row>
    <row r="4" spans="1:26" x14ac:dyDescent="0.2">
      <c r="A4">
        <v>2</v>
      </c>
      <c r="B4" s="46">
        <v>0</v>
      </c>
      <c r="C4" s="46">
        <v>10360.3659972365</v>
      </c>
      <c r="D4" s="46">
        <v>3681.9817001381698</v>
      </c>
      <c r="E4" s="46">
        <v>66961.249705665105</v>
      </c>
      <c r="F4" s="46">
        <v>20155.230545656599</v>
      </c>
      <c r="G4" s="46">
        <v>5500</v>
      </c>
      <c r="H4" s="47">
        <v>0.24489999999999901</v>
      </c>
      <c r="I4" s="46">
        <v>24489.999999999902</v>
      </c>
      <c r="J4" s="46">
        <v>-13516.751154481501</v>
      </c>
      <c r="K4" s="46">
        <v>-17151.520608824801</v>
      </c>
      <c r="L4" s="46">
        <v>0</v>
      </c>
      <c r="M4" s="46">
        <v>0</v>
      </c>
      <c r="N4" s="46">
        <v>0</v>
      </c>
      <c r="O4" s="46">
        <v>0</v>
      </c>
      <c r="P4" s="46">
        <v>4294.8645484201297</v>
      </c>
      <c r="Q4" s="47">
        <v>0.82644628099173501</v>
      </c>
      <c r="R4" s="46">
        <v>3549.4748334050601</v>
      </c>
      <c r="S4" s="46">
        <v>0</v>
      </c>
      <c r="T4" s="46">
        <v>0</v>
      </c>
      <c r="U4" s="46">
        <v>0</v>
      </c>
      <c r="V4" s="46">
        <v>0</v>
      </c>
      <c r="W4" s="46">
        <v>16657.215326988899</v>
      </c>
      <c r="X4" s="46">
        <v>4545.4545454545396</v>
      </c>
      <c r="Y4" s="46">
        <v>0</v>
      </c>
      <c r="Z4" s="46">
        <v>8562.2859481293599</v>
      </c>
    </row>
    <row r="5" spans="1:26" x14ac:dyDescent="0.2">
      <c r="A5">
        <v>3</v>
      </c>
      <c r="B5" s="46">
        <v>0</v>
      </c>
      <c r="C5" s="46">
        <v>10360.3659972365</v>
      </c>
      <c r="D5" s="46">
        <v>3348.0624852832502</v>
      </c>
      <c r="E5" s="46">
        <v>59948.946193711803</v>
      </c>
      <c r="F5" s="46">
        <v>20155.230545656599</v>
      </c>
      <c r="G5" s="46">
        <v>5500</v>
      </c>
      <c r="H5" s="47">
        <v>0.174899999999999</v>
      </c>
      <c r="I5" s="46">
        <v>17489.999999999902</v>
      </c>
      <c r="J5" s="46">
        <v>-6182.8319396265897</v>
      </c>
      <c r="K5" s="46">
        <v>-23334.352548451399</v>
      </c>
      <c r="L5" s="46">
        <v>0</v>
      </c>
      <c r="M5" s="46">
        <v>0</v>
      </c>
      <c r="N5" s="46">
        <v>0</v>
      </c>
      <c r="O5" s="46">
        <v>0</v>
      </c>
      <c r="P5" s="46">
        <v>4294.8645484201297</v>
      </c>
      <c r="Q5" s="47">
        <v>0.75131480090157698</v>
      </c>
      <c r="R5" s="46">
        <v>3226.79530309551</v>
      </c>
      <c r="S5" s="46">
        <v>0</v>
      </c>
      <c r="T5" s="46">
        <v>0</v>
      </c>
      <c r="U5" s="46">
        <v>0</v>
      </c>
      <c r="V5" s="46">
        <v>0</v>
      </c>
      <c r="W5" s="46">
        <v>15142.923024535399</v>
      </c>
      <c r="X5" s="46">
        <v>4132.2314049586703</v>
      </c>
      <c r="Y5" s="46">
        <v>0</v>
      </c>
      <c r="Z5" s="46">
        <v>7783.8963164812303</v>
      </c>
    </row>
    <row r="6" spans="1:26" x14ac:dyDescent="0.2">
      <c r="A6">
        <v>4</v>
      </c>
      <c r="B6" s="46">
        <v>0</v>
      </c>
      <c r="C6" s="46">
        <v>10360.3659972365</v>
      </c>
      <c r="D6" s="46">
        <v>2997.44730968559</v>
      </c>
      <c r="E6" s="46">
        <v>52586.027506160899</v>
      </c>
      <c r="F6" s="46">
        <v>20155.230545656599</v>
      </c>
      <c r="G6" s="46">
        <v>5500</v>
      </c>
      <c r="H6" s="47">
        <v>0.1249</v>
      </c>
      <c r="I6" s="46">
        <v>12490</v>
      </c>
      <c r="J6" s="46">
        <v>-832.21676402893297</v>
      </c>
      <c r="K6" s="46">
        <v>-24166.5693124803</v>
      </c>
      <c r="L6" s="46">
        <v>0</v>
      </c>
      <c r="M6" s="46">
        <v>0</v>
      </c>
      <c r="N6" s="46">
        <v>0</v>
      </c>
      <c r="O6" s="46">
        <v>0</v>
      </c>
      <c r="P6" s="46">
        <v>4294.8645484201297</v>
      </c>
      <c r="Q6" s="47">
        <v>0.68301345536506997</v>
      </c>
      <c r="R6" s="46">
        <v>2933.45027554137</v>
      </c>
      <c r="S6" s="46">
        <v>0</v>
      </c>
      <c r="T6" s="46">
        <v>0</v>
      </c>
      <c r="U6" s="46">
        <v>0</v>
      </c>
      <c r="V6" s="46">
        <v>0</v>
      </c>
      <c r="W6" s="46">
        <v>13766.293658668499</v>
      </c>
      <c r="X6" s="46">
        <v>3756.5740045078801</v>
      </c>
      <c r="Y6" s="46">
        <v>0</v>
      </c>
      <c r="Z6" s="46">
        <v>7076.2693786193004</v>
      </c>
    </row>
    <row r="7" spans="1:26" x14ac:dyDescent="0.2">
      <c r="A7">
        <v>5</v>
      </c>
      <c r="B7" s="46">
        <v>0</v>
      </c>
      <c r="C7" s="46">
        <v>10360.3659972365</v>
      </c>
      <c r="D7" s="46">
        <v>2629.30137530804</v>
      </c>
      <c r="E7" s="46">
        <v>44854.962884232402</v>
      </c>
      <c r="F7" s="46">
        <v>20155.230545656599</v>
      </c>
      <c r="G7" s="46">
        <v>5500</v>
      </c>
      <c r="H7" s="47">
        <v>8.9299999999999893E-2</v>
      </c>
      <c r="I7" s="46">
        <v>8929.9999999999909</v>
      </c>
      <c r="J7" s="46">
        <v>3095.9291703486101</v>
      </c>
      <c r="K7" s="46">
        <v>-21070.640142131699</v>
      </c>
      <c r="L7" s="46">
        <v>0</v>
      </c>
      <c r="M7" s="46">
        <v>0</v>
      </c>
      <c r="N7" s="46">
        <v>0</v>
      </c>
      <c r="O7" s="46">
        <v>0</v>
      </c>
      <c r="P7" s="46">
        <v>4294.8645484201297</v>
      </c>
      <c r="Q7" s="47">
        <v>0.62092132305915404</v>
      </c>
      <c r="R7" s="46">
        <v>2666.7729777648801</v>
      </c>
      <c r="S7" s="46">
        <v>0</v>
      </c>
      <c r="T7" s="46">
        <v>0</v>
      </c>
      <c r="U7" s="46">
        <v>0</v>
      </c>
      <c r="V7" s="46">
        <v>0</v>
      </c>
      <c r="W7" s="46">
        <v>12514.812416971399</v>
      </c>
      <c r="X7" s="46">
        <v>3415.0672768253498</v>
      </c>
      <c r="Y7" s="46">
        <v>0</v>
      </c>
      <c r="Z7" s="46">
        <v>6432.9721623811802</v>
      </c>
    </row>
    <row r="8" spans="1:26" x14ac:dyDescent="0.2">
      <c r="A8">
        <v>6</v>
      </c>
      <c r="B8" s="46">
        <v>0</v>
      </c>
      <c r="C8" s="46">
        <v>10360.3659972365</v>
      </c>
      <c r="D8" s="46">
        <v>2242.74814421162</v>
      </c>
      <c r="E8" s="46">
        <v>36737.3450312075</v>
      </c>
      <c r="F8" s="46">
        <v>20155.230545656599</v>
      </c>
      <c r="G8" s="46">
        <v>5500</v>
      </c>
      <c r="H8" s="47">
        <v>8.9200000000000002E-2</v>
      </c>
      <c r="I8" s="46">
        <v>8920</v>
      </c>
      <c r="J8" s="46">
        <v>3492.4824014450301</v>
      </c>
      <c r="K8" s="46">
        <v>-17578.1577406867</v>
      </c>
      <c r="L8" s="46">
        <v>0</v>
      </c>
      <c r="M8" s="46">
        <v>0</v>
      </c>
      <c r="N8" s="46">
        <v>0</v>
      </c>
      <c r="O8" s="46">
        <v>0</v>
      </c>
      <c r="P8" s="46">
        <v>4294.8645484201297</v>
      </c>
      <c r="Q8" s="47">
        <v>0.564473930053777</v>
      </c>
      <c r="R8" s="46">
        <v>2424.3390706953501</v>
      </c>
      <c r="S8" s="46">
        <v>0</v>
      </c>
      <c r="T8" s="46">
        <v>0</v>
      </c>
      <c r="U8" s="46">
        <v>0</v>
      </c>
      <c r="V8" s="46">
        <v>0</v>
      </c>
      <c r="W8" s="46">
        <v>11377.102197246701</v>
      </c>
      <c r="X8" s="46">
        <v>3104.6066152957701</v>
      </c>
      <c r="Y8" s="46">
        <v>0</v>
      </c>
      <c r="Z8" s="46">
        <v>5848.15651125562</v>
      </c>
    </row>
    <row r="9" spans="1:26" x14ac:dyDescent="0.2">
      <c r="A9">
        <v>7</v>
      </c>
      <c r="B9" s="46">
        <v>0</v>
      </c>
      <c r="C9" s="46">
        <v>10360.3659972365</v>
      </c>
      <c r="D9" s="46">
        <v>1836.8672515603701</v>
      </c>
      <c r="E9" s="46">
        <v>28213.846285531301</v>
      </c>
      <c r="F9" s="46">
        <v>20155.230545656599</v>
      </c>
      <c r="G9" s="46">
        <v>5500</v>
      </c>
      <c r="H9" s="47">
        <v>8.9299999999999893E-2</v>
      </c>
      <c r="I9" s="46">
        <v>8929.9999999999909</v>
      </c>
      <c r="J9" s="46">
        <v>3888.3632940962798</v>
      </c>
      <c r="K9" s="46">
        <v>-13689.7944465904</v>
      </c>
      <c r="L9" s="46">
        <v>0</v>
      </c>
      <c r="M9" s="46">
        <v>0</v>
      </c>
      <c r="N9" s="46">
        <v>0</v>
      </c>
      <c r="O9" s="46">
        <v>0</v>
      </c>
      <c r="P9" s="46">
        <v>4294.8645484201297</v>
      </c>
      <c r="Q9" s="47">
        <v>0.51315811823070601</v>
      </c>
      <c r="R9" s="46">
        <v>2203.9446097230398</v>
      </c>
      <c r="S9" s="46">
        <v>0</v>
      </c>
      <c r="T9" s="46">
        <v>0</v>
      </c>
      <c r="U9" s="46">
        <v>0</v>
      </c>
      <c r="V9" s="46">
        <v>0</v>
      </c>
      <c r="W9" s="46">
        <v>10342.8201793152</v>
      </c>
      <c r="X9" s="46">
        <v>2822.3696502688799</v>
      </c>
      <c r="Y9" s="46">
        <v>0</v>
      </c>
      <c r="Z9" s="46">
        <v>5316.5059193232901</v>
      </c>
    </row>
    <row r="10" spans="1:26" x14ac:dyDescent="0.2">
      <c r="A10">
        <v>8</v>
      </c>
      <c r="B10" s="46">
        <v>0</v>
      </c>
      <c r="C10" s="46">
        <v>10360.3659972365</v>
      </c>
      <c r="D10" s="46">
        <v>1410.69231427656</v>
      </c>
      <c r="E10" s="46">
        <v>19264.172602571402</v>
      </c>
      <c r="F10" s="46">
        <v>20155.230545656599</v>
      </c>
      <c r="G10" s="46">
        <v>5500</v>
      </c>
      <c r="H10" s="47">
        <v>4.4600000000000001E-2</v>
      </c>
      <c r="I10" s="46">
        <v>4460</v>
      </c>
      <c r="J10" s="46">
        <v>8784.5382313800801</v>
      </c>
      <c r="K10" s="46">
        <v>-4905.2562152103601</v>
      </c>
      <c r="L10" s="46">
        <v>0</v>
      </c>
      <c r="M10" s="46">
        <v>0</v>
      </c>
      <c r="N10" s="46">
        <v>0</v>
      </c>
      <c r="O10" s="46">
        <v>0</v>
      </c>
      <c r="P10" s="46">
        <v>4294.8645484201297</v>
      </c>
      <c r="Q10" s="47">
        <v>0.46650738020973298</v>
      </c>
      <c r="R10" s="46">
        <v>2003.58600883913</v>
      </c>
      <c r="S10" s="46">
        <v>0</v>
      </c>
      <c r="T10" s="46">
        <v>0</v>
      </c>
      <c r="U10" s="46">
        <v>0</v>
      </c>
      <c r="V10" s="46">
        <v>0</v>
      </c>
      <c r="W10" s="46">
        <v>9402.5637993774708</v>
      </c>
      <c r="X10" s="46">
        <v>2565.7905911535299</v>
      </c>
      <c r="Y10" s="46">
        <v>0</v>
      </c>
      <c r="Z10" s="46">
        <v>4833.1871993848099</v>
      </c>
    </row>
    <row r="11" spans="1:26" x14ac:dyDescent="0.2">
      <c r="A11">
        <v>9</v>
      </c>
      <c r="B11" s="46">
        <v>0</v>
      </c>
      <c r="C11" s="46">
        <v>10360.3659972365</v>
      </c>
      <c r="D11" s="46">
        <v>963.20863012857001</v>
      </c>
      <c r="E11" s="46">
        <v>9867.0152354634502</v>
      </c>
      <c r="F11" s="46">
        <v>20155.230545656599</v>
      </c>
      <c r="G11" s="46">
        <v>5500</v>
      </c>
      <c r="H11" s="47">
        <v>0</v>
      </c>
      <c r="I11" s="46">
        <v>0</v>
      </c>
      <c r="J11" s="46">
        <v>13692.021915527999</v>
      </c>
      <c r="K11" s="46">
        <v>-981.05124304207197</v>
      </c>
      <c r="L11" s="46">
        <v>9767.8169433597905</v>
      </c>
      <c r="M11" s="46">
        <v>2510.3289544434601</v>
      </c>
      <c r="N11" s="46">
        <v>0</v>
      </c>
      <c r="O11" s="46">
        <v>0</v>
      </c>
      <c r="P11" s="46">
        <v>1784.53559397666</v>
      </c>
      <c r="Q11" s="47">
        <v>0.424097618372484</v>
      </c>
      <c r="R11" s="46">
        <v>756.81729530642895</v>
      </c>
      <c r="S11" s="46">
        <v>0</v>
      </c>
      <c r="T11" s="46">
        <v>1064.6245309109599</v>
      </c>
      <c r="U11" s="46">
        <v>0</v>
      </c>
      <c r="V11" s="46">
        <v>0</v>
      </c>
      <c r="W11" s="46">
        <v>8547.7852721613399</v>
      </c>
      <c r="X11" s="46">
        <v>2332.5369010486602</v>
      </c>
      <c r="Y11" s="46">
        <v>0</v>
      </c>
      <c r="Z11" s="46">
        <v>4393.8065448952802</v>
      </c>
    </row>
    <row r="12" spans="1:26" x14ac:dyDescent="0.2">
      <c r="A12">
        <v>10</v>
      </c>
      <c r="B12" s="46">
        <v>0</v>
      </c>
      <c r="C12" s="46">
        <v>10360.3659972365</v>
      </c>
      <c r="D12" s="46">
        <v>493.350761773172</v>
      </c>
      <c r="E12" s="46">
        <v>1.00783381640212E-10</v>
      </c>
      <c r="F12" s="46">
        <v>20155.230545656599</v>
      </c>
      <c r="G12" s="46">
        <v>5500</v>
      </c>
      <c r="H12" s="47">
        <v>0</v>
      </c>
      <c r="I12" s="46">
        <v>0</v>
      </c>
      <c r="J12" s="46">
        <v>14161.8797838834</v>
      </c>
      <c r="K12" s="46">
        <v>-196.21024860841399</v>
      </c>
      <c r="L12" s="46">
        <v>13377.0387894498</v>
      </c>
      <c r="M12" s="46">
        <v>3437.8989688885999</v>
      </c>
      <c r="N12" s="46">
        <v>0</v>
      </c>
      <c r="O12" s="46">
        <v>0</v>
      </c>
      <c r="P12" s="46">
        <v>856.96557953152399</v>
      </c>
      <c r="Q12" s="47">
        <v>0.38554328942953098</v>
      </c>
      <c r="R12" s="46">
        <v>330.39732846046797</v>
      </c>
      <c r="S12" s="46">
        <v>0</v>
      </c>
      <c r="T12" s="46">
        <v>1325.4588771916999</v>
      </c>
      <c r="U12" s="46">
        <v>0</v>
      </c>
      <c r="V12" s="46">
        <v>0</v>
      </c>
      <c r="W12" s="46">
        <v>7770.7138837830298</v>
      </c>
      <c r="X12" s="46">
        <v>2120.4880918624199</v>
      </c>
      <c r="Y12" s="46">
        <v>0</v>
      </c>
      <c r="Z12" s="46">
        <v>3994.3695862684299</v>
      </c>
    </row>
    <row r="26" spans="6:6" x14ac:dyDescent="0.2">
      <c r="F2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AD98-E746-F844-9DE1-C296E98A09AC}">
  <dimension ref="A1:L18"/>
  <sheetViews>
    <sheetView workbookViewId="0">
      <selection activeCell="K15" sqref="K15"/>
    </sheetView>
  </sheetViews>
  <sheetFormatPr baseColWidth="10" defaultRowHeight="15" x14ac:dyDescent="0.2"/>
  <cols>
    <col min="1" max="1" width="15.5" bestFit="1" customWidth="1"/>
    <col min="2" max="2" width="14.6640625" bestFit="1" customWidth="1"/>
    <col min="3" max="3" width="16.33203125" customWidth="1"/>
    <col min="4" max="4" width="23.1640625" bestFit="1" customWidth="1"/>
  </cols>
  <sheetData>
    <row r="1" spans="1:12" x14ac:dyDescent="0.2">
      <c r="A1" t="s">
        <v>150</v>
      </c>
      <c r="B1" t="s">
        <v>157</v>
      </c>
      <c r="C1" t="s">
        <v>156</v>
      </c>
      <c r="D1" t="s">
        <v>41</v>
      </c>
      <c r="F1" t="s">
        <v>156</v>
      </c>
    </row>
    <row r="2" spans="1:12" x14ac:dyDescent="0.2">
      <c r="A2" t="s">
        <v>135</v>
      </c>
      <c r="B2" s="30">
        <f>23.8*B4</f>
        <v>23800000000</v>
      </c>
      <c r="C2" s="30" t="e">
        <f>B2/B5</f>
        <v>#REF!</v>
      </c>
      <c r="D2" t="s">
        <v>139</v>
      </c>
      <c r="E2">
        <f>B2/B4</f>
        <v>23.8</v>
      </c>
      <c r="F2" s="30" t="e">
        <f>E2/E5</f>
        <v>#REF!</v>
      </c>
      <c r="I2" t="s">
        <v>144</v>
      </c>
      <c r="J2">
        <v>3017</v>
      </c>
      <c r="K2" t="s">
        <v>145</v>
      </c>
      <c r="L2">
        <f>J2/J5</f>
        <v>9.1153544020786743</v>
      </c>
    </row>
    <row r="3" spans="1:12" x14ac:dyDescent="0.2">
      <c r="A3" t="s">
        <v>134</v>
      </c>
      <c r="B3" s="30">
        <f>18*B4</f>
        <v>18000000000</v>
      </c>
      <c r="C3" s="30" t="e">
        <f>B3/B5</f>
        <v>#REF!</v>
      </c>
      <c r="D3" t="s">
        <v>159</v>
      </c>
      <c r="F3" s="30"/>
      <c r="I3" t="s">
        <v>146</v>
      </c>
      <c r="J3">
        <f>0.0008*J2</f>
        <v>2.4136000000000002</v>
      </c>
      <c r="K3" t="s">
        <v>145</v>
      </c>
    </row>
    <row r="4" spans="1:12" x14ac:dyDescent="0.2">
      <c r="A4" t="s">
        <v>140</v>
      </c>
      <c r="B4" s="30">
        <f>1000000*1000</f>
        <v>1000000000</v>
      </c>
      <c r="C4" s="30" t="e">
        <f>B4/B5</f>
        <v>#REF!</v>
      </c>
      <c r="D4" t="s">
        <v>141</v>
      </c>
      <c r="E4">
        <f>B4/B4</f>
        <v>1</v>
      </c>
      <c r="F4" s="30" t="e">
        <f>E4/E5</f>
        <v>#REF!</v>
      </c>
      <c r="I4" t="s">
        <v>147</v>
      </c>
      <c r="J4">
        <v>670</v>
      </c>
      <c r="K4" t="s">
        <v>145</v>
      </c>
    </row>
    <row r="5" spans="1:12" x14ac:dyDescent="0.2">
      <c r="A5" t="s">
        <v>142</v>
      </c>
      <c r="B5" s="30" t="e">
        <f>Revenue!#REF!*1000</f>
        <v>#REF!</v>
      </c>
      <c r="C5" s="30" t="e">
        <f>B5/B5</f>
        <v>#REF!</v>
      </c>
      <c r="D5" t="s">
        <v>143</v>
      </c>
      <c r="E5" t="e">
        <f>B5/B4</f>
        <v>#REF!</v>
      </c>
      <c r="F5" s="30" t="e">
        <f>E5/E5</f>
        <v>#REF!</v>
      </c>
      <c r="I5" t="s">
        <v>148</v>
      </c>
      <c r="J5">
        <f>0.494*J4</f>
        <v>330.98</v>
      </c>
      <c r="K5" t="s">
        <v>149</v>
      </c>
    </row>
    <row r="6" spans="1:12" ht="10" customHeight="1" x14ac:dyDescent="0.2"/>
    <row r="8" spans="1:12" x14ac:dyDescent="0.2">
      <c r="A8" t="s">
        <v>158</v>
      </c>
    </row>
    <row r="9" spans="1:12" x14ac:dyDescent="0.2">
      <c r="A9" t="s">
        <v>151</v>
      </c>
      <c r="B9" s="30">
        <f>(300+75+100)*1000000</f>
        <v>475000000</v>
      </c>
      <c r="C9" s="39">
        <f>B9/B11</f>
        <v>1.5079365079365079</v>
      </c>
      <c r="D9" t="s">
        <v>139</v>
      </c>
      <c r="E9">
        <f>B9/B10</f>
        <v>0.47499999999999998</v>
      </c>
      <c r="F9" s="39">
        <f>E9/E11</f>
        <v>1.5079365079365079</v>
      </c>
      <c r="G9">
        <f>B9/B12</f>
        <v>194.67213114754099</v>
      </c>
    </row>
    <row r="10" spans="1:12" x14ac:dyDescent="0.2">
      <c r="A10" t="s">
        <v>140</v>
      </c>
      <c r="B10" s="30">
        <f>1000000*1000</f>
        <v>1000000000</v>
      </c>
      <c r="C10" s="39">
        <f>B10/B11</f>
        <v>3.1746031746031744</v>
      </c>
      <c r="D10" t="s">
        <v>141</v>
      </c>
      <c r="E10">
        <f>B10/B10</f>
        <v>1</v>
      </c>
      <c r="F10" s="39">
        <f>E10/E11</f>
        <v>3.1746031746031744</v>
      </c>
    </row>
    <row r="11" spans="1:12" x14ac:dyDescent="0.2">
      <c r="A11" t="s">
        <v>152</v>
      </c>
      <c r="B11" s="30">
        <f>315*1000000</f>
        <v>315000000</v>
      </c>
      <c r="C11" s="39">
        <f>B11/B11</f>
        <v>1</v>
      </c>
      <c r="D11" t="s">
        <v>153</v>
      </c>
      <c r="E11">
        <f>B11/B10</f>
        <v>0.315</v>
      </c>
      <c r="F11" s="39">
        <f>E11/E11</f>
        <v>1</v>
      </c>
    </row>
    <row r="12" spans="1:12" x14ac:dyDescent="0.2">
      <c r="A12" t="s">
        <v>154</v>
      </c>
      <c r="B12" s="30">
        <f>2.44*1000000</f>
        <v>2440000</v>
      </c>
      <c r="C12" s="30"/>
      <c r="D12" t="s">
        <v>155</v>
      </c>
      <c r="E12">
        <f>B12/B10</f>
        <v>2.4399999999999999E-3</v>
      </c>
      <c r="F12" s="30">
        <f>E12/E12</f>
        <v>1</v>
      </c>
    </row>
    <row r="14" spans="1:12" x14ac:dyDescent="0.2">
      <c r="A14" t="s">
        <v>161</v>
      </c>
    </row>
    <row r="15" spans="1:12" x14ac:dyDescent="0.2">
      <c r="A15" t="s">
        <v>160</v>
      </c>
      <c r="B15">
        <v>3017</v>
      </c>
      <c r="C15" s="40">
        <f>B15/$B$18</f>
        <v>9.1153544020786743</v>
      </c>
      <c r="D15" t="s">
        <v>145</v>
      </c>
    </row>
    <row r="16" spans="1:12" x14ac:dyDescent="0.2">
      <c r="A16" t="s">
        <v>146</v>
      </c>
      <c r="B16">
        <f>0.0008*B15</f>
        <v>2.4136000000000002</v>
      </c>
      <c r="C16" s="40">
        <f>B16/$B$18</f>
        <v>7.2922835216629404E-3</v>
      </c>
      <c r="D16" t="s">
        <v>145</v>
      </c>
    </row>
    <row r="17" spans="1:4" x14ac:dyDescent="0.2">
      <c r="A17" t="s">
        <v>147</v>
      </c>
      <c r="B17">
        <v>670</v>
      </c>
      <c r="C17" s="40">
        <f>B17/$B$18</f>
        <v>2.0242914979757085</v>
      </c>
      <c r="D17" t="s">
        <v>145</v>
      </c>
    </row>
    <row r="18" spans="1:4" x14ac:dyDescent="0.2">
      <c r="A18" t="s">
        <v>148</v>
      </c>
      <c r="B18">
        <f>0.494*B17</f>
        <v>330.98</v>
      </c>
      <c r="C18">
        <f>B18/$B$18</f>
        <v>1</v>
      </c>
      <c r="D18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2D7D-3053-4D24-82BA-5F659F1E0A5A}">
  <sheetPr codeName="Sheet3">
    <tabColor theme="9" tint="0.59999389629810485"/>
  </sheetPr>
  <dimension ref="A1:D15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41.5" bestFit="1" customWidth="1"/>
    <col min="2" max="2" width="15.33203125" bestFit="1" customWidth="1"/>
    <col min="3" max="3" width="18" bestFit="1" customWidth="1"/>
    <col min="4" max="4" width="15.5" customWidth="1"/>
    <col min="8" max="8" width="10" bestFit="1" customWidth="1"/>
    <col min="9" max="9" width="12" bestFit="1" customWidth="1"/>
    <col min="11" max="11" width="12" bestFit="1" customWidth="1"/>
  </cols>
  <sheetData>
    <row r="1" spans="1:4" x14ac:dyDescent="0.2">
      <c r="A1" s="1" t="s">
        <v>0</v>
      </c>
      <c r="B1" s="1" t="s">
        <v>23</v>
      </c>
      <c r="C1" s="1" t="s">
        <v>1</v>
      </c>
      <c r="D1" s="1" t="s">
        <v>2</v>
      </c>
    </row>
    <row r="2" spans="1:4" x14ac:dyDescent="0.2">
      <c r="A2" t="s">
        <v>3</v>
      </c>
      <c r="B2" t="s">
        <v>5</v>
      </c>
      <c r="C2" s="2">
        <v>0.05</v>
      </c>
    </row>
    <row r="3" spans="1:4" x14ac:dyDescent="0.2">
      <c r="A3" t="s">
        <v>6</v>
      </c>
      <c r="B3" t="s">
        <v>7</v>
      </c>
      <c r="C3">
        <v>10</v>
      </c>
      <c r="D3" t="s">
        <v>8</v>
      </c>
    </row>
    <row r="4" spans="1:4" x14ac:dyDescent="0.2">
      <c r="A4" t="s">
        <v>11</v>
      </c>
      <c r="B4" t="s">
        <v>9</v>
      </c>
      <c r="C4" s="2">
        <v>0.8</v>
      </c>
    </row>
    <row r="5" spans="1:4" x14ac:dyDescent="0.2">
      <c r="A5" t="s">
        <v>12</v>
      </c>
      <c r="B5" t="s">
        <v>10</v>
      </c>
      <c r="C5" s="3">
        <f>1-C4</f>
        <v>0.19999999999999996</v>
      </c>
    </row>
    <row r="6" spans="1:4" x14ac:dyDescent="0.2">
      <c r="A6" t="s">
        <v>14</v>
      </c>
      <c r="B6" t="s">
        <v>13</v>
      </c>
      <c r="C6" s="2">
        <v>0.05</v>
      </c>
    </row>
    <row r="7" spans="1:4" x14ac:dyDescent="0.2">
      <c r="A7" t="s">
        <v>15</v>
      </c>
      <c r="B7" t="s">
        <v>16</v>
      </c>
      <c r="C7" s="4">
        <v>1</v>
      </c>
      <c r="D7" t="s">
        <v>8</v>
      </c>
    </row>
    <row r="8" spans="1:4" x14ac:dyDescent="0.2">
      <c r="A8" t="s">
        <v>18</v>
      </c>
      <c r="B8" t="s">
        <v>17</v>
      </c>
      <c r="C8" s="37">
        <v>100</v>
      </c>
      <c r="D8" t="s">
        <v>4</v>
      </c>
    </row>
    <row r="9" spans="1:4" x14ac:dyDescent="0.2">
      <c r="A9" t="s">
        <v>21</v>
      </c>
      <c r="B9" t="s">
        <v>19</v>
      </c>
      <c r="C9" s="2">
        <v>0.25700000000000001</v>
      </c>
    </row>
    <row r="10" spans="1:4" x14ac:dyDescent="0.2">
      <c r="A10" t="s">
        <v>22</v>
      </c>
      <c r="B10" t="s">
        <v>20</v>
      </c>
      <c r="C10" s="5">
        <v>0.1</v>
      </c>
    </row>
    <row r="11" spans="1:4" x14ac:dyDescent="0.2">
      <c r="A11" t="s">
        <v>34</v>
      </c>
      <c r="B11" t="s">
        <v>35</v>
      </c>
      <c r="C11" t="s">
        <v>30</v>
      </c>
    </row>
    <row r="12" spans="1:4" x14ac:dyDescent="0.2">
      <c r="A12" t="s">
        <v>113</v>
      </c>
      <c r="B12" t="s">
        <v>114</v>
      </c>
      <c r="C12">
        <v>10</v>
      </c>
      <c r="D12" t="s">
        <v>8</v>
      </c>
    </row>
    <row r="13" spans="1:4" x14ac:dyDescent="0.2">
      <c r="A13" t="s">
        <v>115</v>
      </c>
      <c r="B13" t="s">
        <v>116</v>
      </c>
      <c r="C13" s="11">
        <v>0</v>
      </c>
      <c r="D13" t="s">
        <v>4</v>
      </c>
    </row>
    <row r="14" spans="1:4" x14ac:dyDescent="0.2">
      <c r="A14" t="s">
        <v>117</v>
      </c>
      <c r="B14" t="s">
        <v>118</v>
      </c>
      <c r="C14">
        <v>22</v>
      </c>
      <c r="D14" t="s">
        <v>8</v>
      </c>
    </row>
    <row r="15" spans="1:4" x14ac:dyDescent="0.2">
      <c r="A15" t="s">
        <v>119</v>
      </c>
      <c r="B15" t="s">
        <v>120</v>
      </c>
      <c r="C15" t="s">
        <v>121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DEE3E3-5408-CC47-8BFA-36F110326524}">
          <x14:formula1>
            <xm:f>MACRS!$H$2:$H$7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1D54-F0CE-D047-86F0-696B0CD20472}">
  <sheetPr>
    <tabColor theme="9" tint="0.59999389629810485"/>
  </sheetPr>
  <dimension ref="A1:F13"/>
  <sheetViews>
    <sheetView zoomScale="161" workbookViewId="0">
      <selection activeCell="C8" sqref="C8"/>
    </sheetView>
  </sheetViews>
  <sheetFormatPr baseColWidth="10" defaultRowHeight="15" x14ac:dyDescent="0.2"/>
  <cols>
    <col min="1" max="1" width="34.1640625" bestFit="1" customWidth="1"/>
    <col min="2" max="2" width="16.5" customWidth="1"/>
    <col min="3" max="4" width="15.6640625" bestFit="1" customWidth="1"/>
    <col min="5" max="5" width="21.1640625" bestFit="1" customWidth="1"/>
  </cols>
  <sheetData>
    <row r="1" spans="1:6" x14ac:dyDescent="0.2">
      <c r="A1" s="6" t="s">
        <v>24</v>
      </c>
      <c r="B1" s="6" t="s">
        <v>25</v>
      </c>
      <c r="C1" s="6" t="s">
        <v>122</v>
      </c>
      <c r="D1" s="6" t="s">
        <v>6</v>
      </c>
      <c r="E1" s="6" t="s">
        <v>41</v>
      </c>
    </row>
    <row r="2" spans="1:6" x14ac:dyDescent="0.2">
      <c r="A2" t="s">
        <v>164</v>
      </c>
      <c r="B2" s="43">
        <v>80000</v>
      </c>
      <c r="C2">
        <v>0</v>
      </c>
      <c r="D2">
        <v>10</v>
      </c>
      <c r="E2" s="7"/>
      <c r="F2" s="31"/>
    </row>
    <row r="3" spans="1:6" x14ac:dyDescent="0.2">
      <c r="A3" t="s">
        <v>165</v>
      </c>
      <c r="B3" s="43">
        <v>15000</v>
      </c>
      <c r="C3">
        <v>0</v>
      </c>
      <c r="D3">
        <v>10</v>
      </c>
    </row>
    <row r="4" spans="1:6" x14ac:dyDescent="0.2">
      <c r="A4" t="s">
        <v>166</v>
      </c>
      <c r="B4" s="43">
        <v>5000</v>
      </c>
      <c r="C4">
        <v>0</v>
      </c>
      <c r="D4">
        <v>10</v>
      </c>
    </row>
    <row r="11" spans="1:6" x14ac:dyDescent="0.2">
      <c r="B11" s="41"/>
      <c r="E11" s="7"/>
    </row>
    <row r="12" spans="1:6" x14ac:dyDescent="0.2">
      <c r="E12" s="7"/>
    </row>
    <row r="13" spans="1:6" x14ac:dyDescent="0.2">
      <c r="C13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241B-2D60-0E4E-ABB2-BC7299316798}">
  <sheetPr>
    <tabColor theme="9" tint="0.59999389629810485"/>
  </sheetPr>
  <dimension ref="A1:G5"/>
  <sheetViews>
    <sheetView workbookViewId="0">
      <selection activeCell="D6" sqref="D6"/>
    </sheetView>
  </sheetViews>
  <sheetFormatPr baseColWidth="10" defaultRowHeight="15" x14ac:dyDescent="0.2"/>
  <cols>
    <col min="1" max="1" width="17.33203125" bestFit="1" customWidth="1"/>
    <col min="2" max="2" width="18" bestFit="1" customWidth="1"/>
    <col min="3" max="3" width="19.83203125" bestFit="1" customWidth="1"/>
    <col min="4" max="4" width="16" customWidth="1"/>
    <col min="5" max="5" width="20.83203125" bestFit="1" customWidth="1"/>
    <col min="6" max="6" width="15.6640625" customWidth="1"/>
    <col min="7" max="7" width="18.6640625" bestFit="1" customWidth="1"/>
  </cols>
  <sheetData>
    <row r="1" spans="1:7" x14ac:dyDescent="0.2">
      <c r="A1" s="6" t="s">
        <v>24</v>
      </c>
      <c r="B1" s="6" t="s">
        <v>133</v>
      </c>
      <c r="C1" s="6" t="s">
        <v>132</v>
      </c>
      <c r="D1" s="6" t="s">
        <v>40</v>
      </c>
      <c r="E1" s="6" t="s">
        <v>25</v>
      </c>
      <c r="F1" s="6" t="s">
        <v>131</v>
      </c>
      <c r="G1" s="6" t="s">
        <v>26</v>
      </c>
    </row>
    <row r="2" spans="1:7" x14ac:dyDescent="0.2">
      <c r="A2" t="s">
        <v>167</v>
      </c>
      <c r="C2">
        <v>1</v>
      </c>
      <c r="D2" s="43">
        <v>2500</v>
      </c>
      <c r="E2" s="43">
        <f>C2*D2</f>
        <v>2500</v>
      </c>
    </row>
    <row r="3" spans="1:7" x14ac:dyDescent="0.2">
      <c r="A3" t="s">
        <v>168</v>
      </c>
      <c r="C3">
        <v>12000</v>
      </c>
      <c r="D3" s="43">
        <v>0.1</v>
      </c>
      <c r="E3" s="43">
        <f t="shared" ref="E3:E5" si="0">C3*D3</f>
        <v>1200</v>
      </c>
    </row>
    <row r="4" spans="1:7" x14ac:dyDescent="0.2">
      <c r="A4" t="s">
        <v>169</v>
      </c>
      <c r="C4">
        <v>1</v>
      </c>
      <c r="D4" s="43">
        <v>800</v>
      </c>
      <c r="E4" s="43">
        <f t="shared" si="0"/>
        <v>800</v>
      </c>
    </row>
    <row r="5" spans="1:7" x14ac:dyDescent="0.2">
      <c r="A5" t="s">
        <v>170</v>
      </c>
      <c r="C5">
        <f>1000/4</f>
        <v>250</v>
      </c>
      <c r="D5" s="43">
        <v>4</v>
      </c>
      <c r="E5" s="43">
        <f t="shared" si="0"/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9869-83B7-DA47-AAAA-14FE0EDB487A}">
  <sheetPr>
    <tabColor theme="9" tint="0.59999389629810485"/>
  </sheetPr>
  <dimension ref="A1:G2"/>
  <sheetViews>
    <sheetView workbookViewId="0">
      <selection activeCell="A2" sqref="A2"/>
    </sheetView>
  </sheetViews>
  <sheetFormatPr baseColWidth="10" defaultRowHeight="15" x14ac:dyDescent="0.2"/>
  <cols>
    <col min="1" max="1" width="14.33203125" bestFit="1" customWidth="1"/>
    <col min="2" max="2" width="13.5" bestFit="1" customWidth="1"/>
    <col min="3" max="3" width="12.1640625" bestFit="1" customWidth="1"/>
    <col min="4" max="4" width="12.1640625" customWidth="1"/>
    <col min="5" max="5" width="18.33203125" bestFit="1" customWidth="1"/>
  </cols>
  <sheetData>
    <row r="1" spans="1:7" x14ac:dyDescent="0.2">
      <c r="A1" s="6" t="s">
        <v>24</v>
      </c>
      <c r="B1" s="6" t="s">
        <v>37</v>
      </c>
      <c r="C1" s="6" t="s">
        <v>40</v>
      </c>
      <c r="D1" s="6" t="s">
        <v>136</v>
      </c>
      <c r="E1" s="6" t="s">
        <v>38</v>
      </c>
      <c r="F1" s="6" t="s">
        <v>39</v>
      </c>
      <c r="G1" s="6" t="s">
        <v>26</v>
      </c>
    </row>
    <row r="2" spans="1:7" x14ac:dyDescent="0.2">
      <c r="A2" t="s">
        <v>172</v>
      </c>
      <c r="B2">
        <f>1500*0.02</f>
        <v>30</v>
      </c>
      <c r="C2">
        <v>240</v>
      </c>
      <c r="E2">
        <f>B2*C2</f>
        <v>7200</v>
      </c>
      <c r="F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7DFA-6D45-6846-81D6-BF4B3C9EC7AD}">
  <sheetPr>
    <tabColor theme="9" tint="0.59999389629810485"/>
  </sheetPr>
  <dimension ref="A1:H22"/>
  <sheetViews>
    <sheetView workbookViewId="0">
      <selection activeCell="K39" sqref="K39"/>
    </sheetView>
  </sheetViews>
  <sheetFormatPr baseColWidth="10" defaultRowHeight="15" x14ac:dyDescent="0.2"/>
  <cols>
    <col min="1" max="1" width="17.6640625" bestFit="1" customWidth="1"/>
    <col min="2" max="2" width="8.6640625" bestFit="1" customWidth="1"/>
    <col min="8" max="8" width="16.83203125" bestFit="1" customWidth="1"/>
  </cols>
  <sheetData>
    <row r="1" spans="1:8" ht="18" x14ac:dyDescent="0.2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36</v>
      </c>
    </row>
    <row r="2" spans="1:8" ht="18" x14ac:dyDescent="0.2">
      <c r="A2" s="9">
        <v>1</v>
      </c>
      <c r="B2" s="9">
        <v>33.33</v>
      </c>
      <c r="C2" s="9">
        <v>20</v>
      </c>
      <c r="D2" s="9">
        <v>14.29</v>
      </c>
      <c r="E2" s="9">
        <v>10</v>
      </c>
      <c r="F2" s="9">
        <v>5</v>
      </c>
      <c r="G2" s="9">
        <v>3.75</v>
      </c>
      <c r="H2" s="9" t="s">
        <v>28</v>
      </c>
    </row>
    <row r="3" spans="1:8" ht="18" x14ac:dyDescent="0.2">
      <c r="A3" s="9">
        <v>2</v>
      </c>
      <c r="B3" s="9">
        <v>44.45</v>
      </c>
      <c r="C3" s="9">
        <v>32</v>
      </c>
      <c r="D3" s="9">
        <v>24.49</v>
      </c>
      <c r="E3" s="9">
        <v>18</v>
      </c>
      <c r="F3" s="9">
        <v>9.5</v>
      </c>
      <c r="G3" s="9">
        <v>7.2190000000000003</v>
      </c>
      <c r="H3" s="9" t="s">
        <v>29</v>
      </c>
    </row>
    <row r="4" spans="1:8" ht="18" x14ac:dyDescent="0.2">
      <c r="A4" s="9">
        <v>3</v>
      </c>
      <c r="B4" s="9">
        <v>14.81</v>
      </c>
      <c r="C4" s="9">
        <v>19.2</v>
      </c>
      <c r="D4" s="9">
        <v>17.489999999999998</v>
      </c>
      <c r="E4" s="9">
        <v>14.4</v>
      </c>
      <c r="F4" s="9">
        <v>8.5500000000000007</v>
      </c>
      <c r="G4" s="9">
        <v>6.6769999999999996</v>
      </c>
      <c r="H4" s="9" t="s">
        <v>30</v>
      </c>
    </row>
    <row r="5" spans="1:8" ht="18" x14ac:dyDescent="0.2">
      <c r="A5" s="9">
        <v>4</v>
      </c>
      <c r="B5" s="9">
        <v>7.41</v>
      </c>
      <c r="C5" s="9">
        <v>11.52</v>
      </c>
      <c r="D5" s="9">
        <v>12.49</v>
      </c>
      <c r="E5" s="9">
        <v>11.52</v>
      </c>
      <c r="F5" s="9">
        <v>7.7</v>
      </c>
      <c r="G5" s="9">
        <v>6.1769999999999996</v>
      </c>
      <c r="H5" s="9" t="s">
        <v>31</v>
      </c>
    </row>
    <row r="6" spans="1:8" ht="18" x14ac:dyDescent="0.2">
      <c r="A6" s="9">
        <v>5</v>
      </c>
      <c r="B6" s="9"/>
      <c r="C6" s="9">
        <v>11.52</v>
      </c>
      <c r="D6" s="9">
        <v>8.93</v>
      </c>
      <c r="E6" s="9">
        <v>9.2200000000000006</v>
      </c>
      <c r="F6" s="9">
        <v>6.93</v>
      </c>
      <c r="G6" s="9">
        <v>5.7130000000000001</v>
      </c>
      <c r="H6" s="9" t="s">
        <v>32</v>
      </c>
    </row>
    <row r="7" spans="1:8" ht="18" x14ac:dyDescent="0.2">
      <c r="A7" s="9">
        <v>6</v>
      </c>
      <c r="B7" s="9"/>
      <c r="C7" s="9">
        <v>5.76</v>
      </c>
      <c r="D7" s="9">
        <v>8.92</v>
      </c>
      <c r="E7" s="9">
        <v>7.37</v>
      </c>
      <c r="F7" s="9">
        <v>6.23</v>
      </c>
      <c r="G7" s="9">
        <v>5.2850000000000001</v>
      </c>
      <c r="H7" s="9" t="s">
        <v>33</v>
      </c>
    </row>
    <row r="8" spans="1:8" ht="18" x14ac:dyDescent="0.2">
      <c r="A8" s="9">
        <v>7</v>
      </c>
      <c r="B8" s="9"/>
      <c r="C8" s="9"/>
      <c r="D8" s="9">
        <v>8.93</v>
      </c>
      <c r="E8" s="9">
        <v>6.55</v>
      </c>
      <c r="F8" s="9">
        <v>5.9</v>
      </c>
      <c r="G8" s="9">
        <v>4.8879999999999999</v>
      </c>
    </row>
    <row r="9" spans="1:8" ht="18" x14ac:dyDescent="0.2">
      <c r="A9" s="9">
        <v>8</v>
      </c>
      <c r="B9" s="9"/>
      <c r="C9" s="9"/>
      <c r="D9" s="9">
        <v>4.46</v>
      </c>
      <c r="E9" s="9">
        <v>6.55</v>
      </c>
      <c r="F9" s="9">
        <v>5.9</v>
      </c>
      <c r="G9" s="9">
        <v>4.5220000000000002</v>
      </c>
    </row>
    <row r="10" spans="1:8" ht="18" x14ac:dyDescent="0.2">
      <c r="A10" s="9">
        <v>9</v>
      </c>
      <c r="B10" s="9"/>
      <c r="C10" s="9"/>
      <c r="D10" s="9"/>
      <c r="E10" s="9">
        <v>6.56</v>
      </c>
      <c r="F10" s="9">
        <v>5.91</v>
      </c>
      <c r="G10" s="9">
        <v>4.4619999999999997</v>
      </c>
    </row>
    <row r="11" spans="1:8" ht="18" x14ac:dyDescent="0.2">
      <c r="A11" s="9">
        <v>10</v>
      </c>
      <c r="B11" s="9"/>
      <c r="C11" s="9"/>
      <c r="D11" s="9"/>
      <c r="E11" s="9">
        <v>6.55</v>
      </c>
      <c r="F11" s="9">
        <v>5.9</v>
      </c>
      <c r="G11" s="9">
        <v>4.4610000000000003</v>
      </c>
    </row>
    <row r="12" spans="1:8" ht="18" x14ac:dyDescent="0.2">
      <c r="A12" s="9">
        <v>11</v>
      </c>
      <c r="B12" s="9"/>
      <c r="C12" s="9"/>
      <c r="D12" s="9"/>
      <c r="E12" s="9">
        <v>3.28</v>
      </c>
      <c r="F12" s="9">
        <v>5.91</v>
      </c>
      <c r="G12" s="9">
        <v>4.4619999999999997</v>
      </c>
    </row>
    <row r="13" spans="1:8" ht="18" x14ac:dyDescent="0.2">
      <c r="A13" s="9">
        <v>12</v>
      </c>
      <c r="B13" s="9"/>
      <c r="C13" s="9"/>
      <c r="D13" s="9"/>
      <c r="E13" s="9"/>
      <c r="F13" s="9">
        <v>5.9</v>
      </c>
      <c r="G13" s="9">
        <v>4.4610000000000003</v>
      </c>
    </row>
    <row r="14" spans="1:8" ht="18" x14ac:dyDescent="0.2">
      <c r="A14" s="9">
        <v>13</v>
      </c>
      <c r="B14" s="9"/>
      <c r="C14" s="9"/>
      <c r="D14" s="9"/>
      <c r="E14" s="9"/>
      <c r="F14" s="9">
        <v>5.91</v>
      </c>
      <c r="G14" s="9">
        <v>4.4619999999999997</v>
      </c>
    </row>
    <row r="15" spans="1:8" ht="18" x14ac:dyDescent="0.2">
      <c r="A15" s="9">
        <v>14</v>
      </c>
      <c r="B15" s="9"/>
      <c r="C15" s="9"/>
      <c r="D15" s="9"/>
      <c r="E15" s="9"/>
      <c r="F15" s="9">
        <v>5.9</v>
      </c>
      <c r="G15" s="9">
        <v>4.4610000000000003</v>
      </c>
    </row>
    <row r="16" spans="1:8" ht="18" x14ac:dyDescent="0.2">
      <c r="A16" s="9">
        <v>15</v>
      </c>
      <c r="B16" s="9"/>
      <c r="C16" s="9"/>
      <c r="D16" s="9"/>
      <c r="E16" s="9"/>
      <c r="F16" s="9">
        <v>5.91</v>
      </c>
      <c r="G16" s="9">
        <v>4.4619999999999997</v>
      </c>
    </row>
    <row r="17" spans="1:7" ht="18" x14ac:dyDescent="0.2">
      <c r="A17" s="9">
        <v>16</v>
      </c>
      <c r="B17" s="9"/>
      <c r="C17" s="9"/>
      <c r="D17" s="9"/>
      <c r="E17" s="9"/>
      <c r="F17" s="9">
        <v>2.95</v>
      </c>
      <c r="G17" s="9">
        <v>4.4610000000000003</v>
      </c>
    </row>
    <row r="18" spans="1:7" ht="18" x14ac:dyDescent="0.2">
      <c r="A18" s="9">
        <v>17</v>
      </c>
      <c r="B18" s="9"/>
      <c r="C18" s="9"/>
      <c r="D18" s="9"/>
      <c r="E18" s="9"/>
      <c r="F18" s="9"/>
      <c r="G18" s="9">
        <v>4.4619999999999997</v>
      </c>
    </row>
    <row r="19" spans="1:7" ht="18" x14ac:dyDescent="0.2">
      <c r="A19" s="9">
        <v>18</v>
      </c>
      <c r="B19" s="9"/>
      <c r="C19" s="9"/>
      <c r="D19" s="9"/>
      <c r="E19" s="9"/>
      <c r="F19" s="9"/>
      <c r="G19" s="9">
        <v>4.4610000000000003</v>
      </c>
    </row>
    <row r="20" spans="1:7" ht="18" x14ac:dyDescent="0.2">
      <c r="A20" s="9">
        <v>19</v>
      </c>
      <c r="B20" s="9"/>
      <c r="C20" s="9"/>
      <c r="D20" s="9"/>
      <c r="E20" s="9"/>
      <c r="F20" s="9"/>
      <c r="G20" s="9">
        <v>4.4619999999999997</v>
      </c>
    </row>
    <row r="21" spans="1:7" ht="18" x14ac:dyDescent="0.2">
      <c r="A21" s="9">
        <v>20</v>
      </c>
      <c r="B21" s="9"/>
      <c r="C21" s="9"/>
      <c r="D21" s="9"/>
      <c r="E21" s="9"/>
      <c r="F21" s="9"/>
      <c r="G21" s="9">
        <v>4.4610000000000003</v>
      </c>
    </row>
    <row r="22" spans="1:7" ht="18" x14ac:dyDescent="0.2">
      <c r="A22" s="9">
        <v>21</v>
      </c>
      <c r="B22" s="9"/>
      <c r="C22" s="9"/>
      <c r="D22" s="9"/>
      <c r="E22" s="9"/>
      <c r="F22" s="9"/>
      <c r="G22" s="9">
        <v>2.2309999999999999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AFC1-FE2B-DD4A-B49B-D7A1588FAAF4}">
  <sheetPr>
    <tabColor theme="7" tint="0.59999389629810485"/>
  </sheetPr>
  <dimension ref="A1:E8"/>
  <sheetViews>
    <sheetView workbookViewId="0">
      <selection activeCell="J15" sqref="J15"/>
    </sheetView>
  </sheetViews>
  <sheetFormatPr baseColWidth="10" defaultRowHeight="16" x14ac:dyDescent="0.2"/>
  <cols>
    <col min="1" max="1" width="41.33203125" style="12" bestFit="1" customWidth="1"/>
    <col min="2" max="4" width="10.83203125" style="12"/>
    <col min="5" max="5" width="16.6640625" style="12" bestFit="1" customWidth="1"/>
    <col min="6" max="16384" width="10.83203125" style="12"/>
  </cols>
  <sheetData>
    <row r="1" spans="1:5" x14ac:dyDescent="0.2">
      <c r="B1" s="12" t="s">
        <v>44</v>
      </c>
    </row>
    <row r="2" spans="1:5" x14ac:dyDescent="0.2">
      <c r="A2" s="13" t="s">
        <v>50</v>
      </c>
      <c r="B2" s="33">
        <v>67</v>
      </c>
      <c r="E2" s="32"/>
    </row>
    <row r="3" spans="1:5" x14ac:dyDescent="0.2">
      <c r="A3" s="13" t="s">
        <v>51</v>
      </c>
      <c r="B3" s="38">
        <v>50.47</v>
      </c>
    </row>
    <row r="4" spans="1:5" x14ac:dyDescent="0.2">
      <c r="A4" s="14" t="s">
        <v>52</v>
      </c>
      <c r="B4" s="34">
        <f>SUM(B2:B3)</f>
        <v>117.47</v>
      </c>
    </row>
    <row r="8" spans="1:5" x14ac:dyDescent="0.2">
      <c r="B8" s="1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AA59-BB72-7D43-9DFE-CB6755C9C737}">
  <sheetPr>
    <tabColor theme="7" tint="0.59999389629810485"/>
  </sheetPr>
  <dimension ref="A1:F7"/>
  <sheetViews>
    <sheetView workbookViewId="0">
      <selection activeCell="B11" sqref="B11"/>
    </sheetView>
  </sheetViews>
  <sheetFormatPr baseColWidth="10" defaultRowHeight="16" x14ac:dyDescent="0.2"/>
  <cols>
    <col min="1" max="1" width="34" style="12" bestFit="1" customWidth="1"/>
    <col min="2" max="16384" width="10.83203125" style="12"/>
  </cols>
  <sheetData>
    <row r="1" spans="1:6" x14ac:dyDescent="0.2">
      <c r="B1" s="12" t="s">
        <v>44</v>
      </c>
      <c r="C1" s="12" t="s">
        <v>46</v>
      </c>
      <c r="D1" s="12" t="s">
        <v>47</v>
      </c>
      <c r="E1" s="12" t="s">
        <v>48</v>
      </c>
      <c r="F1" s="12" t="s">
        <v>49</v>
      </c>
    </row>
    <row r="2" spans="1:6" x14ac:dyDescent="0.2">
      <c r="A2" s="13" t="s">
        <v>53</v>
      </c>
      <c r="B2" s="13">
        <v>67</v>
      </c>
      <c r="C2" s="13">
        <v>55.1</v>
      </c>
      <c r="D2" s="13">
        <v>35.1</v>
      </c>
      <c r="E2" s="13">
        <v>53.4</v>
      </c>
      <c r="F2" s="13">
        <v>39.799999999999997</v>
      </c>
    </row>
    <row r="3" spans="1:6" x14ac:dyDescent="0.2">
      <c r="A3" s="16" t="s">
        <v>54</v>
      </c>
      <c r="B3" s="16">
        <v>12</v>
      </c>
      <c r="C3" s="16">
        <v>8.1999999999999993</v>
      </c>
      <c r="D3" s="16">
        <v>4.7</v>
      </c>
      <c r="E3" s="16">
        <v>12</v>
      </c>
      <c r="F3" s="16">
        <v>8.1999999999999993</v>
      </c>
    </row>
    <row r="4" spans="1:6" x14ac:dyDescent="0.2">
      <c r="A4" s="16" t="s">
        <v>55</v>
      </c>
      <c r="B4" s="16">
        <v>54.4</v>
      </c>
      <c r="C4" s="16">
        <v>46.4</v>
      </c>
      <c r="D4" s="16">
        <v>30.1</v>
      </c>
      <c r="E4" s="16">
        <v>41</v>
      </c>
      <c r="F4" s="16">
        <v>31.2</v>
      </c>
    </row>
    <row r="5" spans="1:6" x14ac:dyDescent="0.2">
      <c r="A5" s="16" t="s">
        <v>56</v>
      </c>
      <c r="B5" s="16">
        <v>0.7</v>
      </c>
      <c r="C5" s="16">
        <v>0.5</v>
      </c>
      <c r="D5" s="16">
        <v>0.3</v>
      </c>
      <c r="E5" s="16">
        <v>0.5</v>
      </c>
      <c r="F5" s="16">
        <v>0.4</v>
      </c>
    </row>
    <row r="6" spans="1:6" x14ac:dyDescent="0.2">
      <c r="A6" s="13" t="s">
        <v>57</v>
      </c>
      <c r="B6" s="13">
        <v>233</v>
      </c>
      <c r="C6" s="13">
        <v>83</v>
      </c>
      <c r="D6" s="13">
        <v>167</v>
      </c>
      <c r="E6" s="13">
        <v>83</v>
      </c>
      <c r="F6" s="13">
        <v>13</v>
      </c>
    </row>
    <row r="7" spans="1:6" x14ac:dyDescent="0.2">
      <c r="A7" s="14" t="s">
        <v>58</v>
      </c>
      <c r="B7" s="14">
        <v>300</v>
      </c>
      <c r="C7" s="14">
        <v>138.1</v>
      </c>
      <c r="D7" s="14">
        <v>202.1</v>
      </c>
      <c r="E7" s="14">
        <v>136.4</v>
      </c>
      <c r="F7" s="14">
        <v>52.8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Plant Characteristics</vt:lpstr>
      <vt:lpstr>Sheet1</vt:lpstr>
      <vt:lpstr>Finance Assumptions</vt:lpstr>
      <vt:lpstr>Capital Costs Multi</vt:lpstr>
      <vt:lpstr>Operation Costs</vt:lpstr>
      <vt:lpstr>Revenue</vt:lpstr>
      <vt:lpstr>MACRS</vt:lpstr>
      <vt:lpstr>Electricity</vt:lpstr>
      <vt:lpstr>Electricity-Raw</vt:lpstr>
      <vt:lpstr>Heat</vt:lpstr>
      <vt:lpstr>Heat-Raw</vt:lpstr>
      <vt:lpstr>2021 eGrid Emissions</vt:lpstr>
      <vt:lpstr>Heat Inputs</vt:lpstr>
      <vt:lpstr>LCA</vt:lpstr>
      <vt:lpstr>Carbon Price</vt:lpstr>
      <vt:lpstr>Traditional Mining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Limb</dc:creator>
  <cp:lastModifiedBy>Braden Limb</cp:lastModifiedBy>
  <dcterms:created xsi:type="dcterms:W3CDTF">2020-11-04T17:33:44Z</dcterms:created>
  <dcterms:modified xsi:type="dcterms:W3CDTF">2025-04-09T16:28:07Z</dcterms:modified>
</cp:coreProperties>
</file>