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Braden\Desktop\NWMSUDATA\Finance\For Portfolio\"/>
    </mc:Choice>
  </mc:AlternateContent>
  <xr:revisionPtr revIDLastSave="0" documentId="8_{30D1355B-6485-4A8D-9EBB-67BF85585A0F}" xr6:coauthVersionLast="47" xr6:coauthVersionMax="47" xr10:uidLastSave="{00000000-0000-0000-0000-000000000000}"/>
  <bookViews>
    <workbookView xWindow="-120" yWindow="-120" windowWidth="29040" windowHeight="15840" activeTab="1" xr2:uid="{8C6A6109-8267-49FA-8CA4-01F18159F858}"/>
  </bookViews>
  <sheets>
    <sheet name="Projected Cash Flow Analysis" sheetId="1" r:id="rId1"/>
    <sheet name="Cash Budget" sheetId="11" r:id="rId2"/>
    <sheet name="Scenario Testing Data" sheetId="2" r:id="rId3"/>
    <sheet name="Scenario Test Summary" sheetId="6" r:id="rId4"/>
    <sheet name="Simplex Solver" sheetId="10" r:id="rId5"/>
  </sheets>
  <definedNames>
    <definedName name="Defects" localSheetId="2">'Scenario Testing Data'!$C$16</definedName>
    <definedName name="IRR">'Scenario Testing Data'!$B$31</definedName>
    <definedName name="Labor_Cost">'Scenario Testing Data'!$C$12</definedName>
    <definedName name="Maintenance" localSheetId="2">'Scenario Testing Data'!$C$15</definedName>
    <definedName name="MIRR">'Scenario Testing Data'!$B$32</definedName>
    <definedName name="NPV">'Scenario Testing Data'!$B$29</definedName>
    <definedName name="Payback_Period">'Scenario Testing Data'!$B$27</definedName>
    <definedName name="PI">'Scenario Testing Data'!$B$30</definedName>
    <definedName name="Salvage_V_Building">'Scenario Testing Data'!$C$16</definedName>
    <definedName name="Salvage_V_Land">'Scenario Testing Data'!$C$15</definedName>
    <definedName name="Salvage_V_of_Building">'Scenario Testing Data'!$C$16</definedName>
    <definedName name="solver_adj" localSheetId="4" hidden="1">'Simplex Solver'!$E$19:$E$29</definedName>
    <definedName name="solver_cvg" localSheetId="4" hidden="1">0.0001</definedName>
    <definedName name="solver_drv" localSheetId="4" hidden="1">2</definedName>
    <definedName name="solver_eng" localSheetId="4" hidden="1">2</definedName>
    <definedName name="solver_est" localSheetId="4" hidden="1">1</definedName>
    <definedName name="solver_itr" localSheetId="4" hidden="1">2147483647</definedName>
    <definedName name="solver_lhs1" localSheetId="4" hidden="1">'Simplex Solver'!$E$19:$E$29</definedName>
    <definedName name="solver_lhs2" localSheetId="4" hidden="1">'Simplex Solver'!$E$29</definedName>
    <definedName name="solver_lhs3" localSheetId="4" hidden="1">'Simplex Solver'!$F$30</definedName>
    <definedName name="solver_lhs4" localSheetId="4" hidden="1">'Simplex Solver'!$G$30</definedName>
    <definedName name="solver_lhs5" localSheetId="4" hidden="1">'Simplex Solver'!$P$21</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5</definedName>
    <definedName name="solver_nwt" localSheetId="4" hidden="1">1</definedName>
    <definedName name="solver_opt" localSheetId="4" hidden="1">'Simplex Solver'!$J$26</definedName>
    <definedName name="solver_pre" localSheetId="4" hidden="1">0.000001</definedName>
    <definedName name="solver_rbv" localSheetId="4" hidden="1">2</definedName>
    <definedName name="solver_rel1" localSheetId="4" hidden="1">4</definedName>
    <definedName name="solver_rel2" localSheetId="4" hidden="1">3</definedName>
    <definedName name="solver_rel3" localSheetId="4" hidden="1">3</definedName>
    <definedName name="solver_rel4" localSheetId="4" hidden="1">3</definedName>
    <definedName name="solver_rel5" localSheetId="4" hidden="1">1</definedName>
    <definedName name="solver_rhs1" localSheetId="4" hidden="1">"integer"</definedName>
    <definedName name="solver_rhs2" localSheetId="4" hidden="1">'Simplex Solver'!$K$20</definedName>
    <definedName name="solver_rhs3" localSheetId="4" hidden="1">'Simplex Solver'!$K$18</definedName>
    <definedName name="solver_rhs4" localSheetId="4" hidden="1">'Simplex Solver'!$K$19</definedName>
    <definedName name="solver_rhs5" localSheetId="4" hidden="1">'Simplex Solver'!$K$21</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val" localSheetId="4" hidden="1">0</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11" l="1"/>
  <c r="E23" i="11"/>
  <c r="E21" i="11"/>
  <c r="G20" i="11"/>
  <c r="G15" i="11"/>
  <c r="F15" i="11"/>
  <c r="F20" i="11" s="1"/>
  <c r="E15" i="11"/>
  <c r="E20" i="11" s="1"/>
  <c r="E22" i="11" s="1"/>
  <c r="H14" i="11"/>
  <c r="G14" i="11"/>
  <c r="F14" i="11"/>
  <c r="E14" i="11"/>
  <c r="I13" i="11"/>
  <c r="I15" i="11" s="1"/>
  <c r="I20" i="11" s="1"/>
  <c r="G13" i="11"/>
  <c r="F13" i="11"/>
  <c r="E13" i="11"/>
  <c r="I11" i="11"/>
  <c r="H11" i="11"/>
  <c r="I14" i="11" s="1"/>
  <c r="G11" i="11"/>
  <c r="F11" i="11"/>
  <c r="E11" i="11"/>
  <c r="D11" i="11"/>
  <c r="C11" i="11"/>
  <c r="I10" i="11"/>
  <c r="I17" i="11" s="1"/>
  <c r="E10" i="11"/>
  <c r="E17" i="11" s="1"/>
  <c r="E24" i="11" s="1"/>
  <c r="E25" i="11" s="1"/>
  <c r="I9" i="11"/>
  <c r="H9" i="11"/>
  <c r="G9" i="11"/>
  <c r="F9" i="11"/>
  <c r="E9" i="11"/>
  <c r="I8" i="11"/>
  <c r="H8" i="11"/>
  <c r="G8" i="11"/>
  <c r="F8" i="11"/>
  <c r="E8" i="11"/>
  <c r="I7" i="11"/>
  <c r="H7" i="11"/>
  <c r="H10" i="11" s="1"/>
  <c r="H17" i="11" s="1"/>
  <c r="G7" i="11"/>
  <c r="G10" i="11" s="1"/>
  <c r="G17" i="11" s="1"/>
  <c r="F7" i="11"/>
  <c r="F10" i="11" s="1"/>
  <c r="F17" i="11" s="1"/>
  <c r="E7" i="11"/>
  <c r="D4" i="11"/>
  <c r="E4" i="11" s="1"/>
  <c r="F4" i="11" l="1"/>
  <c r="G4" i="11" s="1"/>
  <c r="H4" i="11" s="1"/>
  <c r="I4" i="11" s="1"/>
  <c r="J4" i="11" s="1"/>
  <c r="E26" i="11"/>
  <c r="E27" i="11"/>
  <c r="F23" i="11" s="1"/>
  <c r="E28" i="11"/>
  <c r="H13" i="11"/>
  <c r="H15" i="11" s="1"/>
  <c r="H20" i="11" s="1"/>
  <c r="F21" i="11" l="1"/>
  <c r="A3" i="11"/>
  <c r="F22" i="11" l="1"/>
  <c r="F24" i="11" s="1"/>
  <c r="F25" i="11" s="1"/>
  <c r="F26" i="11" l="1"/>
  <c r="F28" i="11" s="1"/>
  <c r="G21" i="11" l="1"/>
  <c r="F27" i="11"/>
  <c r="G23" i="11" s="1"/>
  <c r="G22" i="11" l="1"/>
  <c r="G24" i="11" s="1"/>
  <c r="G25" i="11" s="1"/>
  <c r="G26" i="11" l="1"/>
  <c r="G28" i="11" s="1"/>
  <c r="H21" i="11" l="1"/>
  <c r="G27" i="11"/>
  <c r="H23" i="11" s="1"/>
  <c r="H22" i="11" l="1"/>
  <c r="H24" i="11" s="1"/>
  <c r="H25" i="11" s="1"/>
  <c r="H26" i="11" l="1"/>
  <c r="H28" i="11" s="1"/>
  <c r="I21" i="11" l="1"/>
  <c r="H27" i="11"/>
  <c r="I23" i="11" s="1"/>
  <c r="I22" i="11" l="1"/>
  <c r="I24" i="11" s="1"/>
  <c r="I25" i="11" s="1"/>
  <c r="K21" i="11"/>
  <c r="I26" i="11" l="1"/>
  <c r="I28" i="11" s="1"/>
  <c r="I27" i="11"/>
  <c r="G29" i="10" l="1"/>
  <c r="F29" i="10"/>
  <c r="G28" i="10"/>
  <c r="F28" i="10"/>
  <c r="G27" i="10"/>
  <c r="F27" i="10"/>
  <c r="G26" i="10"/>
  <c r="F26" i="10"/>
  <c r="G25" i="10"/>
  <c r="F25" i="10"/>
  <c r="G24" i="10"/>
  <c r="F24" i="10"/>
  <c r="G23" i="10"/>
  <c r="F23" i="10"/>
  <c r="G22" i="10"/>
  <c r="F22" i="10"/>
  <c r="G21" i="10"/>
  <c r="F21" i="10"/>
  <c r="N20" i="10"/>
  <c r="P20" i="10" s="1"/>
  <c r="G20" i="10"/>
  <c r="F20" i="10"/>
  <c r="N19" i="10"/>
  <c r="P19" i="10" s="1"/>
  <c r="G19" i="10"/>
  <c r="F19" i="10"/>
  <c r="N18" i="10"/>
  <c r="P18" i="10" s="1"/>
  <c r="G30" i="10" l="1"/>
  <c r="F30" i="10"/>
  <c r="P21" i="10"/>
  <c r="C33" i="10"/>
  <c r="B21" i="2" l="1"/>
  <c r="B23" i="2" l="1"/>
  <c r="C7" i="2"/>
  <c r="C8" i="2" s="1"/>
  <c r="B7" i="2"/>
  <c r="C14" i="2"/>
  <c r="B22" i="2" s="1"/>
  <c r="C27" i="1"/>
  <c r="C28" i="1"/>
  <c r="C29" i="1"/>
  <c r="C30" i="1"/>
  <c r="C31" i="1"/>
  <c r="C32" i="1"/>
  <c r="C33" i="1"/>
  <c r="C34" i="1"/>
  <c r="C26" i="1"/>
  <c r="B27" i="1"/>
  <c r="B28" i="1"/>
  <c r="B29" i="1"/>
  <c r="B30" i="1"/>
  <c r="B31" i="1"/>
  <c r="B32" i="1"/>
  <c r="B33" i="1"/>
  <c r="B34" i="1"/>
  <c r="B26" i="1"/>
  <c r="C23" i="1"/>
  <c r="B23" i="1"/>
  <c r="C22" i="1"/>
  <c r="B22" i="1"/>
  <c r="C20" i="1"/>
  <c r="C21" i="1" s="1"/>
  <c r="B20" i="1"/>
  <c r="B21" i="1" s="1"/>
  <c r="E15" i="1"/>
  <c r="E14" i="1"/>
  <c r="E13" i="1"/>
  <c r="E12" i="1"/>
  <c r="E11" i="1"/>
  <c r="C12" i="1"/>
  <c r="C13" i="1"/>
  <c r="C14" i="1"/>
  <c r="C15" i="1"/>
  <c r="C11" i="1"/>
  <c r="C19" i="1" l="1"/>
  <c r="B19" i="1"/>
  <c r="D21" i="2"/>
  <c r="D24" i="2" l="1"/>
  <c r="D25" i="2" l="1"/>
  <c r="D23" i="2"/>
  <c r="D26" i="2"/>
  <c r="D22" i="2"/>
  <c r="E22" i="2" l="1"/>
  <c r="B38" i="2"/>
  <c r="B31" i="2"/>
  <c r="B32" i="2"/>
  <c r="B29" i="2"/>
  <c r="B30" i="2" s="1"/>
  <c r="E24" i="2"/>
  <c r="E25" i="2"/>
  <c r="E23" i="2"/>
  <c r="B46" i="2"/>
  <c r="B39" i="2"/>
  <c r="B40" i="2"/>
  <c r="B45" i="2"/>
  <c r="B41" i="2"/>
  <c r="E26" i="2"/>
  <c r="B44" i="2"/>
  <c r="B42" i="2"/>
  <c r="B43" i="2"/>
  <c r="B27" i="2" l="1"/>
</calcChain>
</file>

<file path=xl/sharedStrings.xml><?xml version="1.0" encoding="utf-8"?>
<sst xmlns="http://schemas.openxmlformats.org/spreadsheetml/2006/main" count="149" uniqueCount="128">
  <si>
    <t>Marginal Tax Rate</t>
  </si>
  <si>
    <t>Required Return</t>
  </si>
  <si>
    <t>Cash Flows</t>
  </si>
  <si>
    <t>Initial Outlay</t>
  </si>
  <si>
    <t>Total ATCF</t>
  </si>
  <si>
    <t>Terminal Cash Flow</t>
  </si>
  <si>
    <t>Payback Period</t>
  </si>
  <si>
    <t>Discounted Payback Period</t>
  </si>
  <si>
    <t>Net Present Value</t>
  </si>
  <si>
    <t>Profitability Index</t>
  </si>
  <si>
    <t>Internal rate of Return</t>
  </si>
  <si>
    <t>n/a</t>
  </si>
  <si>
    <t>Period</t>
  </si>
  <si>
    <t>Cash Flow</t>
  </si>
  <si>
    <t>Payback</t>
  </si>
  <si>
    <t>Modified IRR</t>
  </si>
  <si>
    <t>NPV</t>
  </si>
  <si>
    <t>IRR</t>
  </si>
  <si>
    <t>MIRR</t>
  </si>
  <si>
    <t>Best Case</t>
  </si>
  <si>
    <t>Expected Case</t>
  </si>
  <si>
    <t>Worst Case</t>
  </si>
  <si>
    <t>Scenario Summary</t>
  </si>
  <si>
    <t>Changing Cells:</t>
  </si>
  <si>
    <t>Result Cells:</t>
  </si>
  <si>
    <t>Notes:  Current Values column represents values of changing cells at</t>
  </si>
  <si>
    <t>time Scenario Summary Report was created.  Changing cells for each</t>
  </si>
  <si>
    <t>scenario are highlighted in gray.</t>
  </si>
  <si>
    <t>Payback_Period</t>
  </si>
  <si>
    <t>PI</t>
  </si>
  <si>
    <t>Year</t>
  </si>
  <si>
    <t>Project A</t>
  </si>
  <si>
    <t>Project B</t>
  </si>
  <si>
    <t>A Payback</t>
  </si>
  <si>
    <t>B Payback</t>
  </si>
  <si>
    <t>NPV Project 1</t>
  </si>
  <si>
    <t>NPV Project 2</t>
  </si>
  <si>
    <t xml:space="preserve"> </t>
  </si>
  <si>
    <t>Chicago Turkey</t>
  </si>
  <si>
    <t>Current Farm</t>
  </si>
  <si>
    <t>New Farm</t>
  </si>
  <si>
    <t>Turkeys per Year</t>
  </si>
  <si>
    <t>Cost per Turkey</t>
  </si>
  <si>
    <t>Shipping Cost Per Turkey</t>
  </si>
  <si>
    <t>Increase in Inventory</t>
  </si>
  <si>
    <t>Land Cost</t>
  </si>
  <si>
    <t>Building Cost</t>
  </si>
  <si>
    <t>Labor Increase</t>
  </si>
  <si>
    <t>Annual Depreciation Expense</t>
  </si>
  <si>
    <t>Cost Per Turkey</t>
  </si>
  <si>
    <t>Increase in porfit per Turkey</t>
  </si>
  <si>
    <t>Labor_Cost</t>
  </si>
  <si>
    <t>Created by Braden on 4/10/2022</t>
  </si>
  <si>
    <t>Salage_V_Land</t>
  </si>
  <si>
    <t>Salvage_V_Buildings</t>
  </si>
  <si>
    <t>Selling price</t>
  </si>
  <si>
    <t>Depreciation Salvage Value (Building)</t>
  </si>
  <si>
    <t>Actual Salvage Value(Land)</t>
  </si>
  <si>
    <t>Actual Salvage Value(Buildings)</t>
  </si>
  <si>
    <t>If we were only able to select one project then Project B should be chosen</t>
  </si>
  <si>
    <t>It has a higher rate of return and a quicker ROI on the initial investment.</t>
  </si>
  <si>
    <t xml:space="preserve">However if the return </t>
  </si>
  <si>
    <t>Weighted Ave Cost of Capital</t>
  </si>
  <si>
    <t>Project Payback Comparison</t>
  </si>
  <si>
    <t>Projected Cash Flows</t>
  </si>
  <si>
    <t>Scenario</t>
  </si>
  <si>
    <t>Labor Expense</t>
  </si>
  <si>
    <t>Salvage Vlaue of Buildings</t>
  </si>
  <si>
    <t>Salvage Value of Land</t>
  </si>
  <si>
    <t>Constraints</t>
  </si>
  <si>
    <t>Small</t>
  </si>
  <si>
    <t>Sum Small</t>
  </si>
  <si>
    <t>Protein Bar</t>
  </si>
  <si>
    <t>Sum Med</t>
  </si>
  <si>
    <t>Trail Mix</t>
  </si>
  <si>
    <t>Sum Large</t>
  </si>
  <si>
    <t>Peanuts</t>
  </si>
  <si>
    <t>Medium</t>
  </si>
  <si>
    <t>Canned Soup</t>
  </si>
  <si>
    <t>Canned Fruit</t>
  </si>
  <si>
    <t>Large</t>
  </si>
  <si>
    <t>Canned Tuna</t>
  </si>
  <si>
    <t>Slots</t>
  </si>
  <si>
    <t>Soda</t>
  </si>
  <si>
    <t>Gatorade</t>
  </si>
  <si>
    <t>Water</t>
  </si>
  <si>
    <t>Total Pro and Sug</t>
  </si>
  <si>
    <t>Min Total Sugar</t>
  </si>
  <si>
    <t>Min Total Protein</t>
  </si>
  <si>
    <t>Min amount of items</t>
  </si>
  <si>
    <t>Total Items</t>
  </si>
  <si>
    <t>Slots used</t>
  </si>
  <si>
    <t>Item Per Slot</t>
  </si>
  <si>
    <t>Total Slots Used:</t>
  </si>
  <si>
    <t>Totals</t>
  </si>
  <si>
    <t>Maxing This</t>
  </si>
  <si>
    <t>Sugar Per Item</t>
  </si>
  <si>
    <t>Protein Per Item</t>
  </si>
  <si>
    <t>Number  of Items</t>
  </si>
  <si>
    <t>Total Sugar Per Item Type</t>
  </si>
  <si>
    <t>Total Protein Per Item Type</t>
  </si>
  <si>
    <t>Cash Budget</t>
  </si>
  <si>
    <t>Sales</t>
  </si>
  <si>
    <t>Collections</t>
  </si>
  <si>
    <t>Cash</t>
  </si>
  <si>
    <t>First Month</t>
  </si>
  <si>
    <t>Second Month</t>
  </si>
  <si>
    <t>Total Collections</t>
  </si>
  <si>
    <t>Purchases</t>
  </si>
  <si>
    <t>Payments</t>
  </si>
  <si>
    <t>Total Payments</t>
  </si>
  <si>
    <t>Less Disbursements:</t>
  </si>
  <si>
    <t>Inventory payments</t>
  </si>
  <si>
    <t>Interest</t>
  </si>
  <si>
    <t>Total Disbursments</t>
  </si>
  <si>
    <t>Begenning Cash Balance</t>
  </si>
  <si>
    <t>Collections - Disbursments</t>
  </si>
  <si>
    <t>Unadjusted Cash Balance</t>
  </si>
  <si>
    <t>Current Borrowing</t>
  </si>
  <si>
    <t>Ending Cash Balance</t>
  </si>
  <si>
    <t>Cumulative Borrowing</t>
  </si>
  <si>
    <t>Notes:</t>
  </si>
  <si>
    <t>Minimum Acceptable Cash</t>
  </si>
  <si>
    <t>Loblaw Manufacturing</t>
  </si>
  <si>
    <t>Percent of total</t>
  </si>
  <si>
    <t>Same Month</t>
  </si>
  <si>
    <t>Other Payments</t>
  </si>
  <si>
    <t>Supplier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</si>
</sst>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quot;$&quot;#,##0.00"/>
    <numFmt numFmtId="168" formatCode="mmmm"/>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sz val="11"/>
      <color theme="4" tint="-0.249977111117893"/>
      <name val="Calibri"/>
      <family val="2"/>
      <scheme val="minor"/>
    </font>
    <font>
      <i/>
      <sz val="11"/>
      <color theme="1"/>
      <name val="Calibri"/>
      <family val="2"/>
      <scheme val="minor"/>
    </font>
    <font>
      <sz val="26"/>
      <color theme="1"/>
      <name val="Calibri"/>
      <family val="2"/>
      <scheme val="minor"/>
    </font>
  </fonts>
  <fills count="12">
    <fill>
      <patternFill patternType="none"/>
    </fill>
    <fill>
      <patternFill patternType="gray125"/>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rgb="FFD9D9D9"/>
        <bgColor indexed="64"/>
      </patternFill>
    </fill>
  </fills>
  <borders count="10">
    <border>
      <left/>
      <right/>
      <top/>
      <bottom/>
      <diagonal/>
    </border>
    <border>
      <left/>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
      <left/>
      <right/>
      <top/>
      <bottom style="thin">
        <color theme="4"/>
      </bottom>
      <diagonal/>
    </border>
    <border>
      <left/>
      <right/>
      <top style="thin">
        <color rgb="FF000000"/>
      </top>
      <bottom style="thin">
        <color rgb="FF000000"/>
      </bottom>
      <diagonal/>
    </border>
    <border>
      <left/>
      <right/>
      <top/>
      <bottom style="thin">
        <color rgb="FF000000"/>
      </bottom>
      <diagonal/>
    </border>
    <border>
      <left/>
      <right/>
      <top/>
      <bottom style="double">
        <color rgb="FF000000"/>
      </bottom>
      <diagonal/>
    </border>
    <border>
      <left/>
      <right/>
      <top style="thin">
        <color rgb="FF000000"/>
      </top>
      <bottom style="double">
        <color rgb="FF000000"/>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60">
    <xf numFmtId="0" fontId="0" fillId="0" borderId="0" xfId="0"/>
    <xf numFmtId="10" fontId="0" fillId="0" borderId="0" xfId="0" applyNumberFormat="1"/>
    <xf numFmtId="43" fontId="0" fillId="0" borderId="0" xfId="0" applyNumberFormat="1"/>
    <xf numFmtId="164" fontId="0" fillId="0" borderId="0" xfId="1" applyNumberFormat="1" applyFont="1"/>
    <xf numFmtId="164" fontId="0" fillId="0" borderId="0" xfId="0" applyNumberFormat="1"/>
    <xf numFmtId="0" fontId="3" fillId="0" borderId="0" xfId="0" applyFont="1"/>
    <xf numFmtId="9" fontId="0" fillId="0" borderId="0" xfId="2" applyFont="1"/>
    <xf numFmtId="8" fontId="0" fillId="0" borderId="0" xfId="0" applyNumberFormat="1"/>
    <xf numFmtId="43" fontId="0" fillId="0" borderId="0" xfId="0" applyNumberFormat="1" applyFill="1" applyBorder="1" applyAlignment="1"/>
    <xf numFmtId="9" fontId="0" fillId="0" borderId="0" xfId="0" applyNumberFormat="1" applyFill="1" applyBorder="1" applyAlignment="1"/>
    <xf numFmtId="9" fontId="0" fillId="0" borderId="3" xfId="0" applyNumberFormat="1" applyFill="1" applyBorder="1" applyAlignment="1"/>
    <xf numFmtId="0" fontId="4" fillId="2" borderId="1" xfId="0" applyFont="1" applyFill="1" applyBorder="1" applyAlignment="1">
      <alignment horizontal="left"/>
    </xf>
    <xf numFmtId="0" fontId="4" fillId="2" borderId="2" xfId="0" applyFont="1" applyFill="1" applyBorder="1" applyAlignment="1">
      <alignment horizontal="left"/>
    </xf>
    <xf numFmtId="0" fontId="0" fillId="0" borderId="4" xfId="0" applyFill="1" applyBorder="1" applyAlignment="1"/>
    <xf numFmtId="0" fontId="5" fillId="3" borderId="0" xfId="0" applyFont="1" applyFill="1" applyBorder="1" applyAlignment="1">
      <alignment horizontal="left"/>
    </xf>
    <xf numFmtId="0" fontId="6" fillId="3" borderId="4" xfId="0" applyFont="1" applyFill="1" applyBorder="1" applyAlignment="1">
      <alignment horizontal="left"/>
    </xf>
    <xf numFmtId="0" fontId="5" fillId="3" borderId="3" xfId="0" applyFont="1" applyFill="1" applyBorder="1" applyAlignment="1">
      <alignment horizontal="left"/>
    </xf>
    <xf numFmtId="0" fontId="7" fillId="2" borderId="2" xfId="0" applyFont="1" applyFill="1" applyBorder="1" applyAlignment="1">
      <alignment horizontal="right"/>
    </xf>
    <xf numFmtId="0" fontId="7" fillId="2" borderId="1" xfId="0" applyFont="1" applyFill="1" applyBorder="1" applyAlignment="1">
      <alignment horizontal="right"/>
    </xf>
    <xf numFmtId="0" fontId="8" fillId="0" borderId="0" xfId="0" applyFont="1" applyFill="1" applyBorder="1" applyAlignment="1">
      <alignment vertical="top" wrapText="1"/>
    </xf>
    <xf numFmtId="6" fontId="0" fillId="0" borderId="0" xfId="0" applyNumberFormat="1"/>
    <xf numFmtId="0" fontId="0" fillId="0" borderId="0" xfId="0" applyFill="1"/>
    <xf numFmtId="164" fontId="0" fillId="0" borderId="0" xfId="0" applyNumberFormat="1" applyFill="1"/>
    <xf numFmtId="164" fontId="0" fillId="0" borderId="0" xfId="1" applyNumberFormat="1" applyFont="1" applyFill="1"/>
    <xf numFmtId="165" fontId="0" fillId="0" borderId="0" xfId="3" applyNumberFormat="1" applyFont="1" applyFill="1"/>
    <xf numFmtId="166" fontId="0" fillId="0" borderId="0" xfId="1" applyNumberFormat="1" applyFont="1" applyFill="1"/>
    <xf numFmtId="166" fontId="0" fillId="0" borderId="0" xfId="3" applyNumberFormat="1" applyFont="1" applyFill="1"/>
    <xf numFmtId="43" fontId="0" fillId="0" borderId="0" xfId="0" applyNumberFormat="1" applyFill="1"/>
    <xf numFmtId="9" fontId="0" fillId="0" borderId="0" xfId="0" applyNumberFormat="1" applyFill="1"/>
    <xf numFmtId="165" fontId="0" fillId="4" borderId="0" xfId="0" applyNumberFormat="1" applyFill="1" applyBorder="1" applyAlignment="1"/>
    <xf numFmtId="0" fontId="3" fillId="0" borderId="0" xfId="0" applyFont="1" applyAlignment="1">
      <alignment horizontal="center"/>
    </xf>
    <xf numFmtId="0" fontId="3" fillId="0" borderId="1" xfId="0" applyFont="1" applyBorder="1" applyAlignment="1">
      <alignment horizontal="center"/>
    </xf>
    <xf numFmtId="0" fontId="9" fillId="5" borderId="0" xfId="0" applyFont="1" applyFill="1"/>
    <xf numFmtId="0" fontId="9" fillId="0" borderId="0" xfId="0" applyFont="1"/>
    <xf numFmtId="0" fontId="9" fillId="0" borderId="5" xfId="0" applyFont="1" applyBorder="1"/>
    <xf numFmtId="0" fontId="0" fillId="6" borderId="0" xfId="0" applyFill="1"/>
    <xf numFmtId="10" fontId="0" fillId="6" borderId="0" xfId="2" applyNumberFormat="1" applyFont="1" applyFill="1"/>
    <xf numFmtId="0" fontId="0" fillId="7" borderId="0" xfId="0" applyFill="1"/>
    <xf numFmtId="0" fontId="0" fillId="8" borderId="0" xfId="0" applyFill="1"/>
    <xf numFmtId="0" fontId="0" fillId="0" borderId="0" xfId="0" applyAlignment="1">
      <alignment horizontal="center"/>
    </xf>
    <xf numFmtId="164" fontId="9" fillId="0" borderId="0" xfId="1" applyNumberFormat="1" applyFont="1"/>
    <xf numFmtId="164" fontId="9" fillId="5" borderId="0" xfId="1" applyNumberFormat="1" applyFont="1" applyFill="1"/>
    <xf numFmtId="164" fontId="9" fillId="0" borderId="5" xfId="1" applyNumberFormat="1" applyFont="1" applyBorder="1"/>
    <xf numFmtId="0" fontId="0" fillId="6" borderId="0" xfId="0" applyFill="1" applyAlignment="1">
      <alignment horizontal="center"/>
    </xf>
    <xf numFmtId="165" fontId="0" fillId="0" borderId="0" xfId="3" applyNumberFormat="1" applyFont="1"/>
    <xf numFmtId="0" fontId="0" fillId="9" borderId="0" xfId="0" applyFill="1"/>
    <xf numFmtId="0" fontId="2" fillId="0" borderId="0" xfId="0" applyFont="1"/>
    <xf numFmtId="0" fontId="2" fillId="8" borderId="0" xfId="0" applyFont="1" applyFill="1"/>
    <xf numFmtId="0" fontId="0" fillId="10" borderId="0" xfId="0" applyFill="1"/>
    <xf numFmtId="0" fontId="0" fillId="11" borderId="6" xfId="0" applyFill="1" applyBorder="1"/>
    <xf numFmtId="10" fontId="0" fillId="11" borderId="6" xfId="0" applyNumberFormat="1" applyFill="1" applyBorder="1"/>
    <xf numFmtId="168" fontId="0" fillId="11" borderId="6" xfId="0" applyNumberFormat="1" applyFill="1" applyBorder="1"/>
    <xf numFmtId="0" fontId="10" fillId="0" borderId="0" xfId="0" applyFont="1"/>
    <xf numFmtId="0" fontId="0" fillId="0" borderId="0" xfId="0" applyAlignment="1">
      <alignment horizontal="left" indent="1"/>
    </xf>
    <xf numFmtId="9" fontId="0" fillId="0" borderId="0" xfId="0" applyNumberFormat="1"/>
    <xf numFmtId="164" fontId="0" fillId="0" borderId="7" xfId="0" applyNumberFormat="1" applyBorder="1"/>
    <xf numFmtId="164" fontId="0" fillId="0" borderId="8" xfId="0" applyNumberFormat="1" applyBorder="1"/>
    <xf numFmtId="164" fontId="0" fillId="0" borderId="9" xfId="0" applyNumberFormat="1" applyBorder="1"/>
    <xf numFmtId="0" fontId="0" fillId="0" borderId="0" xfId="0" applyAlignment="1">
      <alignment vertical="center"/>
    </xf>
    <xf numFmtId="0" fontId="11" fillId="0" borderId="0" xfId="0" applyFont="1"/>
  </cellXfs>
  <cellStyles count="4">
    <cellStyle name="Comma" xfId="1" builtinId="3"/>
    <cellStyle name="Currency" xfId="3" builtinId="4"/>
    <cellStyle name="Normal" xfId="0" builtinId="0"/>
    <cellStyle name="Percent" xfId="2" builtinId="5"/>
  </cellStyles>
  <dxfs count="6">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NPV of Project 1 and Project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'Projected Cash Flow Analysis'!$B$25</c:f>
              <c:strCache>
                <c:ptCount val="1"/>
                <c:pt idx="0">
                  <c:v>NPV Project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'Projected Cash Flow Analysis'!$A$26:$A$34</c:f>
              <c:numCache>
                <c:formatCode>0%</c:formatCode>
                <c:ptCount val="9"/>
                <c:pt idx="0">
                  <c:v>0</c:v>
                </c:pt>
                <c:pt idx="1">
                  <c:v>0.05</c:v>
                </c:pt>
                <c:pt idx="2">
                  <c:v>0.1</c:v>
                </c:pt>
                <c:pt idx="3">
                  <c:v>0.15</c:v>
                </c:pt>
                <c:pt idx="4">
                  <c:v>0.2</c:v>
                </c:pt>
                <c:pt idx="5">
                  <c:v>0.25</c:v>
                </c:pt>
                <c:pt idx="6">
                  <c:v>0.3</c:v>
                </c:pt>
                <c:pt idx="7">
                  <c:v>0.35</c:v>
                </c:pt>
                <c:pt idx="8">
                  <c:v>0.4</c:v>
                </c:pt>
              </c:numCache>
            </c:numRef>
          </c:xVal>
          <c:yVal>
            <c:numRef>
              <c:f>'Projected Cash Flow Analysis'!$B$26:$B$34</c:f>
              <c:numCache>
                <c:formatCode>_(* #,##0_);_(* \(#,##0\);_(* "-"??_);_(@_)</c:formatCode>
                <c:ptCount val="9"/>
                <c:pt idx="0">
                  <c:v>109425</c:v>
                </c:pt>
                <c:pt idx="1">
                  <c:v>58333.298025685421</c:v>
                </c:pt>
                <c:pt idx="2">
                  <c:v>18160.564665851096</c:v>
                </c:pt>
                <c:pt idx="3">
                  <c:v>-13844.547439438757</c:v>
                </c:pt>
                <c:pt idx="4">
                  <c:v>-39649.72672325102</c:v>
                </c:pt>
                <c:pt idx="5">
                  <c:v>-60685.056000000011</c:v>
                </c:pt>
                <c:pt idx="6">
                  <c:v>-78005.330291710343</c:v>
                </c:pt>
                <c:pt idx="7">
                  <c:v>-92399.149621640187</c:v>
                </c:pt>
                <c:pt idx="8">
                  <c:v>-104463.50478967096</c:v>
                </c:pt>
              </c:numCache>
            </c:numRef>
          </c:yVal>
          <c:smooth val="0"/>
          <c:extLst>
            <c:ext xmlns:c16="http://schemas.microsoft.com/office/drawing/2014/chart" uri="{C3380CC4-5D6E-409C-BE32-E72D297353CC}">
              <c16:uniqueId val="{00000000-0481-4516-913C-D488B2C2140F}"/>
            </c:ext>
          </c:extLst>
        </c:ser>
        <c:ser>
          <c:idx val="1"/>
          <c:order val="1"/>
          <c:tx>
            <c:strRef>
              <c:f>'Projected Cash Flow Analysis'!$C$25</c:f>
              <c:strCache>
                <c:ptCount val="1"/>
                <c:pt idx="0">
                  <c:v>NPV Project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'Projected Cash Flow Analysis'!$A$26:$A$34</c:f>
              <c:numCache>
                <c:formatCode>0%</c:formatCode>
                <c:ptCount val="9"/>
                <c:pt idx="0">
                  <c:v>0</c:v>
                </c:pt>
                <c:pt idx="1">
                  <c:v>0.05</c:v>
                </c:pt>
                <c:pt idx="2">
                  <c:v>0.1</c:v>
                </c:pt>
                <c:pt idx="3">
                  <c:v>0.15</c:v>
                </c:pt>
                <c:pt idx="4">
                  <c:v>0.2</c:v>
                </c:pt>
                <c:pt idx="5">
                  <c:v>0.25</c:v>
                </c:pt>
                <c:pt idx="6">
                  <c:v>0.3</c:v>
                </c:pt>
                <c:pt idx="7">
                  <c:v>0.35</c:v>
                </c:pt>
                <c:pt idx="8">
                  <c:v>0.4</c:v>
                </c:pt>
              </c:numCache>
            </c:numRef>
          </c:xVal>
          <c:yVal>
            <c:numRef>
              <c:f>'Projected Cash Flow Analysis'!$C$26:$C$34</c:f>
              <c:numCache>
                <c:formatCode>_(* #,##0_);_(* \(#,##0\);_(* "-"??_);_(@_)</c:formatCode>
                <c:ptCount val="9"/>
                <c:pt idx="0">
                  <c:v>70685</c:v>
                </c:pt>
                <c:pt idx="1">
                  <c:v>41248.722898870503</c:v>
                </c:pt>
                <c:pt idx="2">
                  <c:v>16971.86866272171</c:v>
                </c:pt>
                <c:pt idx="3">
                  <c:v>-3301.8667836688983</c:v>
                </c:pt>
                <c:pt idx="4">
                  <c:v>-20424.05992798353</c:v>
                </c:pt>
                <c:pt idx="5">
                  <c:v>-35032.081919999997</c:v>
                </c:pt>
                <c:pt idx="6">
                  <c:v>-47610.068544249429</c:v>
                </c:pt>
                <c:pt idx="7">
                  <c:v>-58530.76301630502</c:v>
                </c:pt>
                <c:pt idx="8">
                  <c:v>-68084.73046944724</c:v>
                </c:pt>
              </c:numCache>
            </c:numRef>
          </c:yVal>
          <c:smooth val="0"/>
          <c:extLst>
            <c:ext xmlns:c16="http://schemas.microsoft.com/office/drawing/2014/chart" uri="{C3380CC4-5D6E-409C-BE32-E72D297353CC}">
              <c16:uniqueId val="{00000001-0481-4516-913C-D488B2C2140F}"/>
            </c:ext>
          </c:extLst>
        </c:ser>
        <c:dLbls>
          <c:showLegendKey val="0"/>
          <c:showVal val="0"/>
          <c:showCatName val="0"/>
          <c:showSerName val="0"/>
          <c:showPercent val="0"/>
          <c:showBubbleSize val="0"/>
        </c:dLbls>
        <c:axId val="934636048"/>
        <c:axId val="934636464"/>
      </c:scatterChart>
      <c:valAx>
        <c:axId val="934636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36464"/>
        <c:crosses val="autoZero"/>
        <c:crossBetween val="midCat"/>
      </c:valAx>
      <c:valAx>
        <c:axId val="9346364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36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137906</xdr:colOff>
      <xdr:row>7</xdr:row>
      <xdr:rowOff>183252</xdr:rowOff>
    </xdr:from>
    <xdr:to>
      <xdr:col>12</xdr:col>
      <xdr:colOff>442706</xdr:colOff>
      <xdr:row>22</xdr:row>
      <xdr:rowOff>59427</xdr:rowOff>
    </xdr:to>
    <xdr:graphicFrame macro="">
      <xdr:nvGraphicFramePr>
        <xdr:cNvPr id="3" name="Chart 2">
          <a:extLst>
            <a:ext uri="{FF2B5EF4-FFF2-40B4-BE49-F238E27FC236}">
              <a16:creationId xmlns:a16="http://schemas.microsoft.com/office/drawing/2014/main" id="{0EFD53A7-276C-44CD-B6B1-4CEA9CBFD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662609</xdr:colOff>
      <xdr:row>0</xdr:row>
      <xdr:rowOff>124239</xdr:rowOff>
    </xdr:from>
    <xdr:to>
      <xdr:col>11</xdr:col>
      <xdr:colOff>521805</xdr:colOff>
      <xdr:row>5</xdr:row>
      <xdr:rowOff>99391</xdr:rowOff>
    </xdr:to>
    <xdr:sp macro="" textlink="">
      <xdr:nvSpPr>
        <xdr:cNvPr id="2" name="TextBox 1">
          <a:extLst>
            <a:ext uri="{FF2B5EF4-FFF2-40B4-BE49-F238E27FC236}">
              <a16:creationId xmlns:a16="http://schemas.microsoft.com/office/drawing/2014/main" id="{A8D69A97-2783-CCFC-0C11-1E0AAC9BBF1A}"/>
            </a:ext>
          </a:extLst>
        </xdr:cNvPr>
        <xdr:cNvSpPr txBox="1"/>
      </xdr:nvSpPr>
      <xdr:spPr>
        <a:xfrm>
          <a:off x="4133022" y="124239"/>
          <a:ext cx="4994413" cy="9276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Prompt:</a:t>
          </a:r>
        </a:p>
        <a:p>
          <a:r>
            <a:rPr lang="en-US" sz="1100"/>
            <a:t>You are considering two projects, A and B. Each project will cost $200,000, the WACC is 8.5% and the projected cash flow are in</a:t>
          </a:r>
          <a:r>
            <a:rPr lang="en-US" sz="1100" baseline="0"/>
            <a:t> the Projected Cash Flows Table.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438150</xdr:colOff>
      <xdr:row>1</xdr:row>
      <xdr:rowOff>19050</xdr:rowOff>
    </xdr:from>
    <xdr:to>
      <xdr:col>16</xdr:col>
      <xdr:colOff>447675</xdr:colOff>
      <xdr:row>13</xdr:row>
      <xdr:rowOff>0</xdr:rowOff>
    </xdr:to>
    <xdr:sp macro="" textlink="">
      <xdr:nvSpPr>
        <xdr:cNvPr id="2" name="TextBox 1">
          <a:extLst>
            <a:ext uri="{FF2B5EF4-FFF2-40B4-BE49-F238E27FC236}">
              <a16:creationId xmlns:a16="http://schemas.microsoft.com/office/drawing/2014/main" id="{26C4ECEA-0C6D-3FBC-C681-3971F778110B}"/>
            </a:ext>
          </a:extLst>
        </xdr:cNvPr>
        <xdr:cNvSpPr txBox="1"/>
      </xdr:nvSpPr>
      <xdr:spPr>
        <a:xfrm>
          <a:off x="6000750" y="219075"/>
          <a:ext cx="6715125"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Prompt:</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Chicago Turkey is considering a new turkey farm to service its western region stores. The stores currently require 650,000 turkeys per year, and they are purchased from various local turkey farms for an average price of $8 per bird. The managers believe that their new farm would lower the cost per bird to $7, while maintaining the average selling price of $12 per bird. However, due to the centralized structure of this operation, shipping expenses will increase to $1.25 per bird from the current $1.00. The firm will need to increase its inventory of live turkeys by $45,000. It will cost $200,000 to purchase the land and $350,000 to construct the buildings and purchase equipment. In addition, labor expense will rise by $250,000 per year. The buildings and equipment will be depreciated using the straight-line method over five years to a salvage value of $100,000. After five years, the company will sell the farm for $300,000 ($100,000 for the buildings and equipment, $200,000 for the land). The firm’s marginal tax rate is 25%, and note that land is not depreciable.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866775</xdr:colOff>
      <xdr:row>0</xdr:row>
      <xdr:rowOff>0</xdr:rowOff>
    </xdr:from>
    <xdr:to>
      <xdr:col>14</xdr:col>
      <xdr:colOff>161171</xdr:colOff>
      <xdr:row>15</xdr:row>
      <xdr:rowOff>66309</xdr:rowOff>
    </xdr:to>
    <xdr:pic>
      <xdr:nvPicPr>
        <xdr:cNvPr id="3" name="Picture 2">
          <a:extLst>
            <a:ext uri="{FF2B5EF4-FFF2-40B4-BE49-F238E27FC236}">
              <a16:creationId xmlns:a16="http://schemas.microsoft.com/office/drawing/2014/main" id="{78E93BE3-F1F6-2A03-0F06-8481C1B9B62F}"/>
            </a:ext>
          </a:extLst>
        </xdr:cNvPr>
        <xdr:cNvPicPr>
          <a:picLocks noChangeAspect="1"/>
        </xdr:cNvPicPr>
      </xdr:nvPicPr>
      <xdr:blipFill>
        <a:blip xmlns:r="http://schemas.openxmlformats.org/officeDocument/2006/relationships" r:embed="rId1"/>
        <a:stretch>
          <a:fillRect/>
        </a:stretch>
      </xdr:blipFill>
      <xdr:spPr>
        <a:xfrm>
          <a:off x="6915150" y="0"/>
          <a:ext cx="6028571" cy="2923809"/>
        </a:xfrm>
        <a:prstGeom prst="rect">
          <a:avLst/>
        </a:prstGeom>
      </xdr:spPr>
    </xdr:pic>
    <xdr:clientData/>
  </xdr:twoCellAnchor>
  <xdr:twoCellAnchor editAs="oneCell">
    <xdr:from>
      <xdr:col>0</xdr:col>
      <xdr:colOff>504825</xdr:colOff>
      <xdr:row>1</xdr:row>
      <xdr:rowOff>9525</xdr:rowOff>
    </xdr:from>
    <xdr:to>
      <xdr:col>6</xdr:col>
      <xdr:colOff>504069</xdr:colOff>
      <xdr:row>12</xdr:row>
      <xdr:rowOff>152120</xdr:rowOff>
    </xdr:to>
    <xdr:pic>
      <xdr:nvPicPr>
        <xdr:cNvPr id="4" name="Picture 3">
          <a:extLst>
            <a:ext uri="{FF2B5EF4-FFF2-40B4-BE49-F238E27FC236}">
              <a16:creationId xmlns:a16="http://schemas.microsoft.com/office/drawing/2014/main" id="{C4338635-9300-36B5-857D-5AE162CEABF3}"/>
            </a:ext>
          </a:extLst>
        </xdr:cNvPr>
        <xdr:cNvPicPr>
          <a:picLocks noChangeAspect="1"/>
        </xdr:cNvPicPr>
      </xdr:nvPicPr>
      <xdr:blipFill>
        <a:blip xmlns:r="http://schemas.openxmlformats.org/officeDocument/2006/relationships" r:embed="rId2"/>
        <a:stretch>
          <a:fillRect/>
        </a:stretch>
      </xdr:blipFill>
      <xdr:spPr>
        <a:xfrm>
          <a:off x="504825" y="200025"/>
          <a:ext cx="6047619" cy="2238095"/>
        </a:xfrm>
        <a:prstGeom prst="rect">
          <a:avLst/>
        </a:prstGeom>
      </xdr:spPr>
    </xdr:pic>
    <xdr:clientData/>
  </xdr:twoCellAnchor>
  <xdr:twoCellAnchor editAs="oneCell">
    <xdr:from>
      <xdr:col>7</xdr:col>
      <xdr:colOff>304799</xdr:colOff>
      <xdr:row>21</xdr:row>
      <xdr:rowOff>47625</xdr:rowOff>
    </xdr:from>
    <xdr:to>
      <xdr:col>12</xdr:col>
      <xdr:colOff>542235</xdr:colOff>
      <xdr:row>42</xdr:row>
      <xdr:rowOff>20249</xdr:rowOff>
    </xdr:to>
    <xdr:pic>
      <xdr:nvPicPr>
        <xdr:cNvPr id="5" name="Picture 4">
          <a:extLst>
            <a:ext uri="{FF2B5EF4-FFF2-40B4-BE49-F238E27FC236}">
              <a16:creationId xmlns:a16="http://schemas.microsoft.com/office/drawing/2014/main" id="{A01A1713-DA84-3987-F11D-99B2F2A0258D}"/>
            </a:ext>
          </a:extLst>
        </xdr:cNvPr>
        <xdr:cNvPicPr>
          <a:picLocks noChangeAspect="1"/>
        </xdr:cNvPicPr>
      </xdr:nvPicPr>
      <xdr:blipFill>
        <a:blip xmlns:r="http://schemas.openxmlformats.org/officeDocument/2006/relationships" r:embed="rId3"/>
        <a:stretch>
          <a:fillRect/>
        </a:stretch>
      </xdr:blipFill>
      <xdr:spPr>
        <a:xfrm>
          <a:off x="8067674" y="4048125"/>
          <a:ext cx="3771211" cy="3973124"/>
        </a:xfrm>
        <a:prstGeom prst="rect">
          <a:avLst/>
        </a:prstGeom>
      </xdr:spPr>
    </xdr:pic>
    <xdr:clientData/>
  </xdr:twoCellAnchor>
  <xdr:twoCellAnchor>
    <xdr:from>
      <xdr:col>13</xdr:col>
      <xdr:colOff>495300</xdr:colOff>
      <xdr:row>22</xdr:row>
      <xdr:rowOff>47625</xdr:rowOff>
    </xdr:from>
    <xdr:to>
      <xdr:col>19</xdr:col>
      <xdr:colOff>476250</xdr:colOff>
      <xdr:row>33</xdr:row>
      <xdr:rowOff>114300</xdr:rowOff>
    </xdr:to>
    <xdr:sp macro="" textlink="">
      <xdr:nvSpPr>
        <xdr:cNvPr id="6" name="TextBox 5">
          <a:extLst>
            <a:ext uri="{FF2B5EF4-FFF2-40B4-BE49-F238E27FC236}">
              <a16:creationId xmlns:a16="http://schemas.microsoft.com/office/drawing/2014/main" id="{428F32E5-98B8-4633-8A1E-9779728AAE7E}"/>
            </a:ext>
          </a:extLst>
        </xdr:cNvPr>
        <xdr:cNvSpPr txBox="1"/>
      </xdr:nvSpPr>
      <xdr:spPr>
        <a:xfrm>
          <a:off x="12401550" y="4238625"/>
          <a:ext cx="4124325"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Results:</a:t>
          </a:r>
        </a:p>
        <a:p>
          <a:r>
            <a:rPr lang="en-US" sz="1100">
              <a:solidFill>
                <a:schemeClr val="dk1"/>
              </a:solidFill>
              <a:effectLst/>
              <a:latin typeface="+mn-lt"/>
              <a:ea typeface="+mn-ea"/>
              <a:cs typeface="+mn-cs"/>
            </a:rPr>
            <a:t>After using the solver and Simplex LP method, we conclude that we will be carrying 8 items of peanuts, six cans of tuna and one bottle of water. This maximizes slot usage and total grams of sugar and protein. While also meeting the minimum requirements.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6787E1-5DF8-45CE-9026-24A793D86408}" name="Table1" displayName="Table1" ref="A9:E15" totalsRowShown="0">
  <autoFilter ref="A9:E15" xr:uid="{9E6787E1-5DF8-45CE-9026-24A793D86408}"/>
  <tableColumns count="5">
    <tableColumn id="1" xr3:uid="{D4BA6ECD-EF44-497C-ABD2-575E4A25BC74}" name="Year"/>
    <tableColumn id="2" xr3:uid="{4CAF4878-0519-449B-9C66-BA05B113015F}" name="Project A" dataDxfId="5" dataCellStyle="Comma"/>
    <tableColumn id="3" xr3:uid="{99A8A413-7EEE-4B79-9298-FA20E59ABFA7}" name="A Payback">
      <calculatedColumnFormula>IF(SUM(B$10:B10)&gt;0,COUNT(B$9:B10)+ABS(SUM(B$9:B10))/B10-1)</calculatedColumnFormula>
    </tableColumn>
    <tableColumn id="4" xr3:uid="{1B0D6258-65FE-4798-A311-02F8E08B3D0B}" name="Project B" dataDxfId="4" dataCellStyle="Comma"/>
    <tableColumn id="5" xr3:uid="{29B719DC-3F62-41AF-B20F-304792F470EB}" name="B Payback">
      <calculatedColumnFormula>IF(SUM(D$10:D10)&gt;0,COUNT(D$9:D10)+ABS(SUM(D$9:D10))/D10-1)</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5D7191-EF54-4956-A836-8CD4F997D7D4}" name="Table2" displayName="Table2" ref="B1:E4" totalsRowShown="0" dataDxfId="0" dataCellStyle="Currency">
  <autoFilter ref="B1:E4" xr:uid="{765D7191-EF54-4956-A836-8CD4F997D7D4}"/>
  <tableColumns count="4">
    <tableColumn id="1" xr3:uid="{C68980A3-1077-4AE9-AF1D-843C21024F4A}" name="Scenario"/>
    <tableColumn id="2" xr3:uid="{DAE9A8FD-0BD1-4609-92EE-7E136CF397C4}" name="Labor Expense" dataDxfId="3" dataCellStyle="Currency"/>
    <tableColumn id="3" xr3:uid="{611089D0-171A-4730-8923-BB5285929290}" name="Salvage Vlaue of Buildings" dataDxfId="2" dataCellStyle="Currency"/>
    <tableColumn id="4" xr3:uid="{E3BCAFCD-26DC-41BF-871E-F4E45BF8BBA6}" name="Salvage Value of Land" dataDxfId="1" dataCellStyle="Currenc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1CFF-CFFE-46D2-AF10-DD939E5D4B7C}">
  <dimension ref="A1:L34"/>
  <sheetViews>
    <sheetView zoomScale="115" zoomScaleNormal="115" workbookViewId="0">
      <selection activeCell="R17" sqref="R17"/>
    </sheetView>
  </sheetViews>
  <sheetFormatPr defaultRowHeight="15" x14ac:dyDescent="0.25"/>
  <cols>
    <col min="1" max="1" width="27.28515625" bestFit="1" customWidth="1"/>
    <col min="2" max="2" width="13.140625" bestFit="1" customWidth="1"/>
    <col min="3" max="3" width="11.5703125" bestFit="1" customWidth="1"/>
    <col min="4" max="4" width="10.42578125" customWidth="1"/>
    <col min="5" max="5" width="11.42578125" customWidth="1"/>
  </cols>
  <sheetData>
    <row r="1" spans="1:5" x14ac:dyDescent="0.25">
      <c r="A1" s="43" t="s">
        <v>64</v>
      </c>
      <c r="B1" s="43"/>
      <c r="C1" s="43"/>
    </row>
    <row r="2" spans="1:5" x14ac:dyDescent="0.25">
      <c r="A2" t="s">
        <v>30</v>
      </c>
      <c r="B2" t="s">
        <v>31</v>
      </c>
      <c r="C2" t="s">
        <v>32</v>
      </c>
    </row>
    <row r="3" spans="1:5" x14ac:dyDescent="0.25">
      <c r="A3" s="33">
        <v>1</v>
      </c>
      <c r="B3" s="40">
        <v>12580</v>
      </c>
      <c r="C3" s="40">
        <v>90562</v>
      </c>
    </row>
    <row r="4" spans="1:5" x14ac:dyDescent="0.25">
      <c r="A4" s="32">
        <v>2</v>
      </c>
      <c r="B4" s="41">
        <v>37733</v>
      </c>
      <c r="C4" s="41">
        <v>67920</v>
      </c>
    </row>
    <row r="5" spans="1:5" x14ac:dyDescent="0.25">
      <c r="A5" s="33">
        <v>3</v>
      </c>
      <c r="B5" s="40">
        <v>70437</v>
      </c>
      <c r="C5" s="40">
        <v>50312</v>
      </c>
    </row>
    <row r="6" spans="1:5" x14ac:dyDescent="0.25">
      <c r="A6" s="32">
        <v>4</v>
      </c>
      <c r="B6" s="41">
        <v>88050</v>
      </c>
      <c r="C6" s="41">
        <v>36735</v>
      </c>
    </row>
    <row r="7" spans="1:5" x14ac:dyDescent="0.25">
      <c r="A7" s="34">
        <v>5</v>
      </c>
      <c r="B7" s="42">
        <v>100625</v>
      </c>
      <c r="C7" s="42">
        <v>25156</v>
      </c>
    </row>
    <row r="8" spans="1:5" x14ac:dyDescent="0.25">
      <c r="A8" s="39" t="s">
        <v>63</v>
      </c>
      <c r="B8" s="39"/>
      <c r="C8" s="39"/>
      <c r="D8" s="39"/>
      <c r="E8" s="39"/>
    </row>
    <row r="9" spans="1:5" x14ac:dyDescent="0.25">
      <c r="A9" t="s">
        <v>30</v>
      </c>
      <c r="B9" t="s">
        <v>31</v>
      </c>
      <c r="C9" t="s">
        <v>33</v>
      </c>
      <c r="D9" t="s">
        <v>32</v>
      </c>
      <c r="E9" t="s">
        <v>34</v>
      </c>
    </row>
    <row r="10" spans="1:5" x14ac:dyDescent="0.25">
      <c r="A10">
        <v>0</v>
      </c>
      <c r="B10" s="3">
        <v>-200000</v>
      </c>
      <c r="D10" s="3">
        <v>-200000</v>
      </c>
    </row>
    <row r="11" spans="1:5" x14ac:dyDescent="0.25">
      <c r="A11">
        <v>1</v>
      </c>
      <c r="B11" s="3">
        <v>12580</v>
      </c>
      <c r="C11" t="b">
        <f>IF(SUM(B$10:B11)&gt;0,COUNT(B$10:B10)+ABS(SUM(B$10:B10))/B11-1)</f>
        <v>0</v>
      </c>
      <c r="D11" s="3">
        <v>90562</v>
      </c>
      <c r="E11" t="b">
        <f>IF(SUM(D$10:D11)&gt;0,COUNT(D$10:D10)+ABS(SUM(D$10:D10))/D11-1)</f>
        <v>0</v>
      </c>
    </row>
    <row r="12" spans="1:5" x14ac:dyDescent="0.25">
      <c r="A12">
        <v>2</v>
      </c>
      <c r="B12" s="3">
        <v>37733</v>
      </c>
      <c r="C12" t="b">
        <f>IF(SUM(B$10:B12)&gt;0,COUNT(B$10:B11)+ABS(SUM(B$10:B11))/B12-1)</f>
        <v>0</v>
      </c>
      <c r="D12" s="3">
        <v>67920</v>
      </c>
      <c r="E12" t="b">
        <f>IF(SUM(D$10:D12)&gt;0,COUNT(D$10:D11)+ABS(SUM(D$10:D11))/D12-1)</f>
        <v>0</v>
      </c>
    </row>
    <row r="13" spans="1:5" x14ac:dyDescent="0.25">
      <c r="A13">
        <v>3</v>
      </c>
      <c r="B13" s="3">
        <v>70437</v>
      </c>
      <c r="C13" t="b">
        <f>IF(SUM(B$10:B13)&gt;0,COUNT(B$10:B12)+ABS(SUM(B$10:B12))/B13-1)</f>
        <v>0</v>
      </c>
      <c r="D13" s="3">
        <v>50312</v>
      </c>
      <c r="E13">
        <f>IF(SUM(D$10:D13)&gt;0,COUNT(D$10:D12)+ABS(SUM(D$10:D12))/D13-1)</f>
        <v>2.8252106853235808</v>
      </c>
    </row>
    <row r="14" spans="1:5" x14ac:dyDescent="0.25">
      <c r="A14">
        <v>4</v>
      </c>
      <c r="B14" s="3">
        <v>88050</v>
      </c>
      <c r="C14">
        <f>IF(SUM(B$10:B14)&gt;0,COUNT(B$10:B13)+ABS(SUM(B$10:B13))/B14-1)</f>
        <v>3.9000567859170925</v>
      </c>
      <c r="D14" s="3">
        <v>36735</v>
      </c>
      <c r="E14">
        <f>IF(SUM(D$10:D14)&gt;0,COUNT(D$10:D13)+ABS(SUM(D$10:D13))/D14-1)</f>
        <v>3.2393902273036614</v>
      </c>
    </row>
    <row r="15" spans="1:5" x14ac:dyDescent="0.25">
      <c r="A15">
        <v>5</v>
      </c>
      <c r="B15" s="3">
        <v>100625</v>
      </c>
      <c r="C15">
        <f>IF(SUM(B$10:B15)&gt;0,COUNT(B$10:B14)+ABS(SUM(B$10:B14))/B15-1)</f>
        <v>4.0874534161490681</v>
      </c>
      <c r="D15" s="3">
        <v>25156</v>
      </c>
      <c r="E15">
        <f>IF(SUM(D$10:D15)&gt;0,COUNT(D$10:D14)+ABS(SUM(D$10:D14))/D15-1)</f>
        <v>5.8098664334552392</v>
      </c>
    </row>
    <row r="16" spans="1:5" x14ac:dyDescent="0.25">
      <c r="A16" s="35" t="s">
        <v>62</v>
      </c>
      <c r="B16" s="36">
        <v>8.5000000000000006E-2</v>
      </c>
      <c r="C16" s="35"/>
      <c r="D16" s="36">
        <v>8.5000000000000006E-2</v>
      </c>
    </row>
    <row r="18" spans="1:12" x14ac:dyDescent="0.25">
      <c r="B18" s="37" t="s">
        <v>31</v>
      </c>
      <c r="C18" s="38" t="s">
        <v>32</v>
      </c>
    </row>
    <row r="19" spans="1:12" x14ac:dyDescent="0.25">
      <c r="A19" t="s">
        <v>6</v>
      </c>
      <c r="B19">
        <f>MIN(C11:C15)</f>
        <v>3.9000567859170925</v>
      </c>
      <c r="C19">
        <f>MIN(E11:E15)</f>
        <v>2.8252106853235808</v>
      </c>
    </row>
    <row r="20" spans="1:12" x14ac:dyDescent="0.25">
      <c r="A20" t="s">
        <v>8</v>
      </c>
      <c r="B20" s="7">
        <f>NPV(B16,B11:B15)+B10</f>
        <v>29247.475560164487</v>
      </c>
      <c r="C20" s="7">
        <f>NPV(D16,D11:D15)+D10</f>
        <v>23788.870434340206</v>
      </c>
    </row>
    <row r="21" spans="1:12" x14ac:dyDescent="0.25">
      <c r="A21" t="s">
        <v>9</v>
      </c>
      <c r="B21" s="2">
        <f>(B20-B10)/-B10</f>
        <v>1.1462373778008224</v>
      </c>
      <c r="C21" s="2">
        <f>(C20-D10)/-D10</f>
        <v>1.1189443521717011</v>
      </c>
    </row>
    <row r="22" spans="1:12" x14ac:dyDescent="0.25">
      <c r="A22" t="s">
        <v>10</v>
      </c>
      <c r="B22" s="1">
        <f>IRR(B10:B15)</f>
        <v>0.1270057912557685</v>
      </c>
      <c r="C22" s="1">
        <f>IRR(D10:D15)</f>
        <v>0.14124382148044012</v>
      </c>
    </row>
    <row r="23" spans="1:12" x14ac:dyDescent="0.25">
      <c r="A23" t="s">
        <v>15</v>
      </c>
      <c r="B23" s="1">
        <f>MIRR(B10:B15,B16,B16)</f>
        <v>0.11502511971575591</v>
      </c>
      <c r="C23" s="1">
        <f>MIRR(D10:D15,D16,D16)</f>
        <v>0.1096638444480762</v>
      </c>
    </row>
    <row r="25" spans="1:12" x14ac:dyDescent="0.25">
      <c r="A25" t="s">
        <v>1</v>
      </c>
      <c r="B25" t="s">
        <v>35</v>
      </c>
      <c r="C25" t="s">
        <v>36</v>
      </c>
      <c r="F25" s="45" t="s">
        <v>59</v>
      </c>
      <c r="G25" s="45"/>
      <c r="H25" s="45"/>
      <c r="I25" s="45"/>
      <c r="J25" s="45"/>
      <c r="K25" s="45"/>
      <c r="L25" s="45"/>
    </row>
    <row r="26" spans="1:12" x14ac:dyDescent="0.25">
      <c r="A26" s="6">
        <v>0</v>
      </c>
      <c r="B26" s="3">
        <f>NPV(A26,B$11:B$15)+B$10</f>
        <v>109425</v>
      </c>
      <c r="C26" s="3">
        <f>NPV(A26,D$11:D$15)+D$10</f>
        <v>70685</v>
      </c>
      <c r="F26" s="45" t="s">
        <v>60</v>
      </c>
      <c r="G26" s="45"/>
      <c r="H26" s="45"/>
      <c r="I26" s="45"/>
      <c r="J26" s="45"/>
      <c r="K26" s="45"/>
      <c r="L26" s="45"/>
    </row>
    <row r="27" spans="1:12" x14ac:dyDescent="0.25">
      <c r="A27" s="6">
        <v>0.05</v>
      </c>
      <c r="B27" s="3">
        <f t="shared" ref="B27:B34" si="0">NPV(A27,B$11:B$15)+B$10</f>
        <v>58333.298025685421</v>
      </c>
      <c r="C27" s="3">
        <f t="shared" ref="C27:C34" si="1">NPV(A27,D$11:D$15)+D$10</f>
        <v>41248.722898870503</v>
      </c>
      <c r="F27" s="45" t="s">
        <v>61</v>
      </c>
      <c r="G27" s="45"/>
      <c r="H27" s="45"/>
      <c r="I27" s="45"/>
      <c r="J27" s="45"/>
      <c r="K27" s="45"/>
      <c r="L27" s="45"/>
    </row>
    <row r="28" spans="1:12" x14ac:dyDescent="0.25">
      <c r="A28" s="6">
        <v>0.1</v>
      </c>
      <c r="B28" s="3">
        <f t="shared" si="0"/>
        <v>18160.564665851096</v>
      </c>
      <c r="C28" s="3">
        <f t="shared" si="1"/>
        <v>16971.86866272171</v>
      </c>
    </row>
    <row r="29" spans="1:12" x14ac:dyDescent="0.25">
      <c r="A29" s="6">
        <v>0.15</v>
      </c>
      <c r="B29" s="3">
        <f t="shared" si="0"/>
        <v>-13844.547439438757</v>
      </c>
      <c r="C29" s="3">
        <f t="shared" si="1"/>
        <v>-3301.8667836688983</v>
      </c>
    </row>
    <row r="30" spans="1:12" x14ac:dyDescent="0.25">
      <c r="A30" s="6">
        <v>0.2</v>
      </c>
      <c r="B30" s="3">
        <f t="shared" si="0"/>
        <v>-39649.72672325102</v>
      </c>
      <c r="C30" s="3">
        <f t="shared" si="1"/>
        <v>-20424.05992798353</v>
      </c>
    </row>
    <row r="31" spans="1:12" x14ac:dyDescent="0.25">
      <c r="A31" s="6">
        <v>0.25</v>
      </c>
      <c r="B31" s="3">
        <f t="shared" si="0"/>
        <v>-60685.056000000011</v>
      </c>
      <c r="C31" s="3">
        <f t="shared" si="1"/>
        <v>-35032.081919999997</v>
      </c>
    </row>
    <row r="32" spans="1:12" x14ac:dyDescent="0.25">
      <c r="A32" s="6">
        <v>0.3</v>
      </c>
      <c r="B32" s="3">
        <f t="shared" si="0"/>
        <v>-78005.330291710343</v>
      </c>
      <c r="C32" s="3">
        <f t="shared" si="1"/>
        <v>-47610.068544249429</v>
      </c>
    </row>
    <row r="33" spans="1:3" x14ac:dyDescent="0.25">
      <c r="A33" s="6">
        <v>0.35</v>
      </c>
      <c r="B33" s="3">
        <f t="shared" si="0"/>
        <v>-92399.149621640187</v>
      </c>
      <c r="C33" s="3">
        <f t="shared" si="1"/>
        <v>-58530.76301630502</v>
      </c>
    </row>
    <row r="34" spans="1:3" x14ac:dyDescent="0.25">
      <c r="A34" s="6">
        <v>0.4</v>
      </c>
      <c r="B34" s="3">
        <f t="shared" si="0"/>
        <v>-104463.50478967096</v>
      </c>
      <c r="C34" s="3">
        <f t="shared" si="1"/>
        <v>-68084.73046944724</v>
      </c>
    </row>
  </sheetData>
  <mergeCells count="2">
    <mergeCell ref="A8:E8"/>
    <mergeCell ref="A1:C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E0E9-B4A7-46A7-A7BD-D1A0AC6F61C4}">
  <dimension ref="A1:K35"/>
  <sheetViews>
    <sheetView tabSelected="1" workbookViewId="0">
      <selection activeCell="M25" sqref="M25"/>
    </sheetView>
  </sheetViews>
  <sheetFormatPr defaultRowHeight="15" x14ac:dyDescent="0.25"/>
  <cols>
    <col min="1" max="1" width="24.85546875" bestFit="1" customWidth="1"/>
    <col min="2" max="2" width="14.85546875" style="1" bestFit="1" customWidth="1"/>
    <col min="3" max="8" width="14.140625" bestFit="1" customWidth="1"/>
    <col min="9" max="9" width="14.140625" customWidth="1"/>
    <col min="10" max="10" width="13" bestFit="1" customWidth="1"/>
  </cols>
  <sheetData>
    <row r="1" spans="1:10" x14ac:dyDescent="0.25">
      <c r="A1" s="39" t="s">
        <v>123</v>
      </c>
      <c r="B1" s="39"/>
      <c r="C1" s="39"/>
      <c r="D1" s="39"/>
      <c r="E1" s="39"/>
      <c r="F1" s="39"/>
      <c r="G1" s="39"/>
      <c r="H1" s="39"/>
      <c r="I1" s="39"/>
      <c r="J1" s="39"/>
    </row>
    <row r="2" spans="1:10" x14ac:dyDescent="0.25">
      <c r="A2" s="39" t="s">
        <v>101</v>
      </c>
      <c r="B2" s="39"/>
      <c r="C2" s="39"/>
      <c r="D2" s="39"/>
      <c r="E2" s="39"/>
      <c r="F2" s="39"/>
      <c r="G2" s="39"/>
      <c r="H2" s="39"/>
      <c r="I2" s="39"/>
      <c r="J2" s="39"/>
    </row>
    <row r="3" spans="1:10" x14ac:dyDescent="0.25">
      <c r="A3" s="39" t="str">
        <f>"for the period "&amp;TEXT(E4,"mmmm")&amp;" to "&amp;TEXT(I4,"mmmm yyyy")</f>
        <v>for the period June to October 2021</v>
      </c>
      <c r="B3" s="39"/>
      <c r="C3" s="39"/>
      <c r="D3" s="39"/>
      <c r="E3" s="39"/>
      <c r="F3" s="39"/>
      <c r="G3" s="39"/>
      <c r="H3" s="39"/>
      <c r="I3" s="39"/>
      <c r="J3" s="39"/>
    </row>
    <row r="4" spans="1:10" x14ac:dyDescent="0.25">
      <c r="A4" s="49"/>
      <c r="B4" s="50" t="s">
        <v>124</v>
      </c>
      <c r="C4" s="51">
        <v>44287</v>
      </c>
      <c r="D4" s="51">
        <f>DATE(YEAR(C4),MONTH(C4)+1,DAY(C4))</f>
        <v>44317</v>
      </c>
      <c r="E4" s="51">
        <f t="shared" ref="E4:J4" si="0">DATE(YEAR(D4),MONTH(D4)+1,DAY(D4))</f>
        <v>44348</v>
      </c>
      <c r="F4" s="51">
        <f t="shared" si="0"/>
        <v>44378</v>
      </c>
      <c r="G4" s="51">
        <f t="shared" si="0"/>
        <v>44409</v>
      </c>
      <c r="H4" s="51">
        <f t="shared" si="0"/>
        <v>44440</v>
      </c>
      <c r="I4" s="51">
        <f t="shared" si="0"/>
        <v>44470</v>
      </c>
      <c r="J4" s="51">
        <f t="shared" si="0"/>
        <v>44501</v>
      </c>
    </row>
    <row r="5" spans="1:10" x14ac:dyDescent="0.25">
      <c r="A5" t="s">
        <v>102</v>
      </c>
      <c r="C5" s="4">
        <v>327031</v>
      </c>
      <c r="D5" s="4">
        <v>383906</v>
      </c>
      <c r="E5" s="4">
        <v>489125</v>
      </c>
      <c r="F5" s="4">
        <v>403812</v>
      </c>
      <c r="G5" s="4">
        <v>344093</v>
      </c>
      <c r="H5" s="4">
        <v>264468</v>
      </c>
      <c r="I5" s="4">
        <v>216125</v>
      </c>
      <c r="J5" s="4">
        <v>230343</v>
      </c>
    </row>
    <row r="6" spans="1:10" x14ac:dyDescent="0.25">
      <c r="A6" s="52" t="s">
        <v>103</v>
      </c>
      <c r="C6" s="4"/>
      <c r="D6" s="4"/>
      <c r="E6" s="4"/>
      <c r="F6" s="4"/>
      <c r="G6" s="4"/>
      <c r="H6" s="4"/>
      <c r="I6" s="4"/>
      <c r="J6" s="4"/>
    </row>
    <row r="7" spans="1:10" x14ac:dyDescent="0.25">
      <c r="A7" s="53" t="s">
        <v>104</v>
      </c>
      <c r="B7" s="54">
        <v>0.2</v>
      </c>
      <c r="C7" s="4"/>
      <c r="D7" s="4"/>
      <c r="E7" s="4">
        <f>E5*$B$7</f>
        <v>97825</v>
      </c>
      <c r="F7" s="4">
        <f t="shared" ref="F7:I7" si="1">F5*$B$7</f>
        <v>80762.400000000009</v>
      </c>
      <c r="G7" s="4">
        <f t="shared" si="1"/>
        <v>68818.600000000006</v>
      </c>
      <c r="H7" s="4">
        <f t="shared" si="1"/>
        <v>52893.600000000006</v>
      </c>
      <c r="I7" s="4">
        <f t="shared" si="1"/>
        <v>43225</v>
      </c>
      <c r="J7" s="4"/>
    </row>
    <row r="8" spans="1:10" x14ac:dyDescent="0.25">
      <c r="A8" s="53" t="s">
        <v>105</v>
      </c>
      <c r="B8" s="54">
        <v>0.65</v>
      </c>
      <c r="C8" s="4"/>
      <c r="D8" s="4"/>
      <c r="E8" s="4">
        <f>D5*$B$8</f>
        <v>249538.9</v>
      </c>
      <c r="F8" s="4">
        <f t="shared" ref="F8:I8" si="2">E5*$B$8</f>
        <v>317931.25</v>
      </c>
      <c r="G8" s="4">
        <f t="shared" si="2"/>
        <v>262477.8</v>
      </c>
      <c r="H8" s="4">
        <f t="shared" si="2"/>
        <v>223660.45</v>
      </c>
      <c r="I8" s="4">
        <f t="shared" si="2"/>
        <v>171904.2</v>
      </c>
      <c r="J8" s="4"/>
    </row>
    <row r="9" spans="1:10" x14ac:dyDescent="0.25">
      <c r="A9" s="53" t="s">
        <v>106</v>
      </c>
      <c r="B9" s="54">
        <v>0.15</v>
      </c>
      <c r="C9" s="4"/>
      <c r="D9" s="4"/>
      <c r="E9" s="4">
        <f>C5*$B$9</f>
        <v>49054.65</v>
      </c>
      <c r="F9" s="4">
        <f t="shared" ref="F9:I9" si="3">D5*$B$9</f>
        <v>57585.9</v>
      </c>
      <c r="G9" s="4">
        <f t="shared" si="3"/>
        <v>73368.75</v>
      </c>
      <c r="H9" s="4">
        <f t="shared" si="3"/>
        <v>60571.799999999996</v>
      </c>
      <c r="I9" s="4">
        <f t="shared" si="3"/>
        <v>51613.95</v>
      </c>
      <c r="J9" s="4"/>
    </row>
    <row r="10" spans="1:10" x14ac:dyDescent="0.25">
      <c r="A10" s="46" t="s">
        <v>107</v>
      </c>
      <c r="B10" s="54"/>
      <c r="C10" s="4"/>
      <c r="D10" s="4"/>
      <c r="E10" s="55">
        <f>SUM(E7:E9)</f>
        <v>396418.55000000005</v>
      </c>
      <c r="F10" s="55">
        <f t="shared" ref="F10:I10" si="4">SUM(F7:F9)</f>
        <v>456279.55000000005</v>
      </c>
      <c r="G10" s="55">
        <f t="shared" si="4"/>
        <v>404665.15</v>
      </c>
      <c r="H10" s="55">
        <f t="shared" si="4"/>
        <v>337125.85000000003</v>
      </c>
      <c r="I10" s="55">
        <f t="shared" si="4"/>
        <v>266743.15000000002</v>
      </c>
      <c r="J10" s="4"/>
    </row>
    <row r="11" spans="1:10" ht="15.75" thickBot="1" x14ac:dyDescent="0.3">
      <c r="A11" t="s">
        <v>108</v>
      </c>
      <c r="B11" s="54">
        <v>0.55000000000000004</v>
      </c>
      <c r="C11" s="4">
        <f>D5*$B$11</f>
        <v>211148.30000000002</v>
      </c>
      <c r="D11" s="4">
        <f t="shared" ref="D11:G11" si="5">E5*$B$11</f>
        <v>269018.75</v>
      </c>
      <c r="E11" s="56">
        <f t="shared" si="5"/>
        <v>222096.6</v>
      </c>
      <c r="F11" s="56">
        <f t="shared" si="5"/>
        <v>189251.15000000002</v>
      </c>
      <c r="G11" s="56">
        <f t="shared" si="5"/>
        <v>145457.40000000002</v>
      </c>
      <c r="H11" s="56">
        <f>J5*$B$11</f>
        <v>126688.65000000001</v>
      </c>
      <c r="I11" s="56">
        <f>K5*$B$11</f>
        <v>0</v>
      </c>
      <c r="J11" s="4"/>
    </row>
    <row r="12" spans="1:10" ht="15.75" thickTop="1" x14ac:dyDescent="0.25">
      <c r="A12" s="52" t="s">
        <v>109</v>
      </c>
      <c r="B12" s="54"/>
      <c r="C12" s="4"/>
      <c r="D12" s="4"/>
      <c r="E12" s="4"/>
      <c r="F12" s="4"/>
      <c r="G12" s="4"/>
      <c r="H12" s="4"/>
      <c r="I12" s="4"/>
      <c r="J12" s="4"/>
    </row>
    <row r="13" spans="1:10" x14ac:dyDescent="0.25">
      <c r="A13" s="53" t="s">
        <v>125</v>
      </c>
      <c r="B13" s="54">
        <v>0.4</v>
      </c>
      <c r="C13" s="4"/>
      <c r="D13" s="4"/>
      <c r="E13" s="4">
        <f>E11*$B$13*(1-$B$31)</f>
        <v>87061.867200000008</v>
      </c>
      <c r="F13" s="4">
        <f t="shared" ref="F13:I13" si="6">F11*$B$13*(1-$B$31)</f>
        <v>74186.450800000006</v>
      </c>
      <c r="G13" s="4">
        <f t="shared" si="6"/>
        <v>57019.300800000012</v>
      </c>
      <c r="H13" s="4">
        <f t="shared" si="6"/>
        <v>49661.950800000006</v>
      </c>
      <c r="I13" s="4">
        <f t="shared" si="6"/>
        <v>0</v>
      </c>
      <c r="J13" s="4"/>
    </row>
    <row r="14" spans="1:10" x14ac:dyDescent="0.25">
      <c r="A14" s="53" t="s">
        <v>105</v>
      </c>
      <c r="B14" s="54">
        <v>0.6</v>
      </c>
      <c r="C14" s="4"/>
      <c r="D14" s="4"/>
      <c r="E14" s="55">
        <f>D11*$B14</f>
        <v>161411.25</v>
      </c>
      <c r="F14" s="55">
        <f t="shared" ref="F14:I14" si="7">E11*$B14</f>
        <v>133257.96</v>
      </c>
      <c r="G14" s="55">
        <f t="shared" si="7"/>
        <v>113550.69000000002</v>
      </c>
      <c r="H14" s="55">
        <f t="shared" si="7"/>
        <v>87274.440000000017</v>
      </c>
      <c r="I14" s="55">
        <f t="shared" si="7"/>
        <v>76013.19</v>
      </c>
      <c r="J14" s="4"/>
    </row>
    <row r="15" spans="1:10" ht="15.75" thickBot="1" x14ac:dyDescent="0.3">
      <c r="A15" s="46" t="s">
        <v>110</v>
      </c>
      <c r="C15" s="4"/>
      <c r="D15" s="4"/>
      <c r="E15" s="56">
        <f>SUM(E13:E14)</f>
        <v>248473.11720000001</v>
      </c>
      <c r="F15" s="56">
        <f t="shared" ref="F15:I15" si="8">SUM(F13:F14)</f>
        <v>207444.41080000001</v>
      </c>
      <c r="G15" s="56">
        <f t="shared" si="8"/>
        <v>170569.99080000003</v>
      </c>
      <c r="H15" s="56">
        <f t="shared" si="8"/>
        <v>136936.39080000002</v>
      </c>
      <c r="I15" s="56">
        <f t="shared" si="8"/>
        <v>76013.19</v>
      </c>
      <c r="J15" s="4"/>
    </row>
    <row r="16" spans="1:10" ht="15.75" thickTop="1" x14ac:dyDescent="0.25">
      <c r="C16" s="4"/>
      <c r="D16" s="4"/>
      <c r="E16" s="4"/>
      <c r="F16" s="4"/>
      <c r="G16" s="4"/>
      <c r="H16" s="4"/>
      <c r="I16" s="4"/>
      <c r="J16" s="4"/>
    </row>
    <row r="17" spans="1:11" x14ac:dyDescent="0.25">
      <c r="A17" t="s">
        <v>103</v>
      </c>
      <c r="C17" s="4"/>
      <c r="D17" s="4"/>
      <c r="E17" s="4">
        <f>E10</f>
        <v>396418.55000000005</v>
      </c>
      <c r="F17" s="4">
        <f t="shared" ref="F17:I17" si="9">F10</f>
        <v>456279.55000000005</v>
      </c>
      <c r="G17" s="4">
        <f t="shared" si="9"/>
        <v>404665.15</v>
      </c>
      <c r="H17" s="4">
        <f t="shared" si="9"/>
        <v>337125.85000000003</v>
      </c>
      <c r="I17" s="4">
        <f t="shared" si="9"/>
        <v>266743.15000000002</v>
      </c>
      <c r="J17" s="4"/>
    </row>
    <row r="18" spans="1:11" x14ac:dyDescent="0.25">
      <c r="A18" s="52" t="s">
        <v>111</v>
      </c>
      <c r="C18" s="4"/>
      <c r="D18" s="4"/>
      <c r="E18" s="4"/>
      <c r="F18" s="4"/>
      <c r="G18" s="4"/>
      <c r="H18" s="4"/>
      <c r="I18" s="4"/>
      <c r="J18" s="4"/>
    </row>
    <row r="19" spans="1:11" x14ac:dyDescent="0.25">
      <c r="A19" s="53" t="s">
        <v>126</v>
      </c>
      <c r="C19" s="4"/>
      <c r="D19" s="4"/>
      <c r="E19" s="4">
        <v>227500</v>
      </c>
      <c r="F19" s="4">
        <v>213281</v>
      </c>
      <c r="G19" s="4">
        <v>199062</v>
      </c>
      <c r="H19" s="4">
        <v>142188</v>
      </c>
      <c r="I19" s="4">
        <v>127750</v>
      </c>
      <c r="J19" s="4"/>
    </row>
    <row r="20" spans="1:11" x14ac:dyDescent="0.25">
      <c r="A20" s="53" t="s">
        <v>112</v>
      </c>
      <c r="C20" s="4"/>
      <c r="D20" s="4"/>
      <c r="E20" s="4">
        <f>E15</f>
        <v>248473.11720000001</v>
      </c>
      <c r="F20" s="4">
        <f t="shared" ref="F20:I20" si="10">F15</f>
        <v>207444.41080000001</v>
      </c>
      <c r="G20" s="4">
        <f t="shared" si="10"/>
        <v>170569.99080000003</v>
      </c>
      <c r="H20" s="4">
        <f t="shared" si="10"/>
        <v>136936.39080000002</v>
      </c>
      <c r="I20" s="4">
        <f t="shared" si="10"/>
        <v>76013.19</v>
      </c>
      <c r="J20" s="4"/>
    </row>
    <row r="21" spans="1:11" x14ac:dyDescent="0.25">
      <c r="A21" s="53" t="s">
        <v>113</v>
      </c>
      <c r="C21" s="4"/>
      <c r="D21" s="4"/>
      <c r="E21" s="4">
        <f>$B$32/12*D28</f>
        <v>0</v>
      </c>
      <c r="F21" s="4">
        <f t="shared" ref="F21:I21" si="11">$B$32/12*E28</f>
        <v>248.51522399999979</v>
      </c>
      <c r="G21" s="4">
        <f t="shared" si="11"/>
        <v>130.82981074666625</v>
      </c>
      <c r="H21" s="4">
        <f t="shared" si="11"/>
        <v>14.488712782488438</v>
      </c>
      <c r="I21" s="4">
        <f t="shared" si="11"/>
        <v>0</v>
      </c>
      <c r="J21" s="4"/>
      <c r="K21" s="4">
        <f>SUM(E21:I21)</f>
        <v>393.83374752915449</v>
      </c>
    </row>
    <row r="22" spans="1:11" ht="15.75" thickBot="1" x14ac:dyDescent="0.3">
      <c r="A22" s="46" t="s">
        <v>114</v>
      </c>
      <c r="C22" s="4"/>
      <c r="D22" s="4"/>
      <c r="E22" s="57">
        <f>SUM(E19:E21)</f>
        <v>475973.11719999998</v>
      </c>
      <c r="F22" s="57">
        <f t="shared" ref="F22:I22" si="12">SUM(F19:F21)</f>
        <v>420973.92602399999</v>
      </c>
      <c r="G22" s="57">
        <f t="shared" si="12"/>
        <v>369762.82061074668</v>
      </c>
      <c r="H22" s="57">
        <f t="shared" si="12"/>
        <v>279138.87951278256</v>
      </c>
      <c r="I22" s="57">
        <f t="shared" si="12"/>
        <v>203763.19</v>
      </c>
      <c r="J22" s="4"/>
    </row>
    <row r="23" spans="1:11" ht="15.75" thickTop="1" x14ac:dyDescent="0.25">
      <c r="A23" t="s">
        <v>115</v>
      </c>
      <c r="C23" s="4"/>
      <c r="D23" s="4"/>
      <c r="E23" s="4">
        <f>D27</f>
        <v>30000</v>
      </c>
      <c r="F23" s="4">
        <f>E27</f>
        <v>25000</v>
      </c>
      <c r="G23" s="4">
        <f>F27</f>
        <v>25000</v>
      </c>
      <c r="H23" s="4">
        <f>G27</f>
        <v>25000</v>
      </c>
      <c r="I23" s="4">
        <f>H27</f>
        <v>78640.356652470946</v>
      </c>
      <c r="J23" s="4"/>
    </row>
    <row r="24" spans="1:11" x14ac:dyDescent="0.25">
      <c r="A24" t="s">
        <v>116</v>
      </c>
      <c r="C24" s="4"/>
      <c r="D24" s="4"/>
      <c r="E24" s="4">
        <f>E17-E22</f>
        <v>-79554.567199999932</v>
      </c>
      <c r="F24" s="4">
        <f>F17-F22</f>
        <v>35305.623976000061</v>
      </c>
      <c r="G24" s="4">
        <f>G17-G22</f>
        <v>34902.32938925334</v>
      </c>
      <c r="H24" s="4">
        <f>H17-H22</f>
        <v>57986.970487217477</v>
      </c>
      <c r="I24" s="4">
        <f>I17-I22</f>
        <v>62979.960000000021</v>
      </c>
      <c r="J24" s="4"/>
    </row>
    <row r="25" spans="1:11" x14ac:dyDescent="0.25">
      <c r="A25" t="s">
        <v>117</v>
      </c>
      <c r="C25" s="4"/>
      <c r="D25" s="4"/>
      <c r="E25" s="4">
        <f>SUM(E23:E24)</f>
        <v>-49554.567199999932</v>
      </c>
      <c r="F25" s="4">
        <f>SUM(F23:F24)</f>
        <v>60305.623976000061</v>
      </c>
      <c r="G25" s="4">
        <f t="shared" ref="G25:I25" si="13">SUM(G23:G24)</f>
        <v>59902.32938925334</v>
      </c>
      <c r="H25" s="4">
        <f t="shared" si="13"/>
        <v>82986.970487217477</v>
      </c>
      <c r="I25" s="4">
        <f t="shared" si="13"/>
        <v>141620.31665247097</v>
      </c>
      <c r="J25" s="4"/>
    </row>
    <row r="26" spans="1:11" x14ac:dyDescent="0.25">
      <c r="A26" t="s">
        <v>118</v>
      </c>
      <c r="C26" s="4"/>
      <c r="D26" s="4"/>
      <c r="E26" s="4">
        <f>IF(E25&lt;$B$30,$B$30-E25,-MIN(D28,E25-$B$30))</f>
        <v>74554.567199999932</v>
      </c>
      <c r="F26" s="4">
        <f t="shared" ref="F26:I26" si="14">IF(F25&lt;$B$30,$B$30-F25,-MIN(E28,F25-$B$30))</f>
        <v>-35305.623976000061</v>
      </c>
      <c r="G26" s="4">
        <f t="shared" si="14"/>
        <v>-34902.32938925334</v>
      </c>
      <c r="H26" s="4">
        <f t="shared" si="14"/>
        <v>-4346.6138347465312</v>
      </c>
      <c r="I26" s="4">
        <f t="shared" si="14"/>
        <v>0</v>
      </c>
      <c r="J26" s="4"/>
    </row>
    <row r="27" spans="1:11" x14ac:dyDescent="0.25">
      <c r="A27" s="46" t="s">
        <v>119</v>
      </c>
      <c r="C27" s="4"/>
      <c r="D27" s="4">
        <v>30000</v>
      </c>
      <c r="E27" s="4">
        <f>SUM(E25:E26)</f>
        <v>25000</v>
      </c>
      <c r="F27" s="4">
        <f t="shared" ref="F27:I27" si="15">SUM(F25:F26)</f>
        <v>25000</v>
      </c>
      <c r="G27" s="4">
        <f t="shared" si="15"/>
        <v>25000</v>
      </c>
      <c r="H27" s="4">
        <f t="shared" si="15"/>
        <v>78640.356652470946</v>
      </c>
      <c r="I27" s="4">
        <f t="shared" si="15"/>
        <v>141620.31665247097</v>
      </c>
      <c r="J27" s="4"/>
    </row>
    <row r="28" spans="1:11" x14ac:dyDescent="0.25">
      <c r="A28" s="58" t="s">
        <v>120</v>
      </c>
      <c r="C28" s="4"/>
      <c r="D28" s="4">
        <f>C28+D26</f>
        <v>0</v>
      </c>
      <c r="E28" s="4">
        <f>D28+E26</f>
        <v>74554.567199999932</v>
      </c>
      <c r="F28" s="4">
        <f t="shared" ref="F28:I28" si="16">E28+F26</f>
        <v>39248.943223999871</v>
      </c>
      <c r="G28" s="4">
        <f t="shared" si="16"/>
        <v>4346.6138347465312</v>
      </c>
      <c r="H28" s="4">
        <f t="shared" si="16"/>
        <v>0</v>
      </c>
      <c r="I28" s="4">
        <f t="shared" si="16"/>
        <v>0</v>
      </c>
      <c r="J28" s="4"/>
      <c r="K28" s="4"/>
    </row>
    <row r="29" spans="1:11" ht="33.75" x14ac:dyDescent="0.5">
      <c r="A29" s="58" t="s">
        <v>121</v>
      </c>
      <c r="C29" s="4"/>
      <c r="D29" s="4"/>
      <c r="E29" s="4"/>
      <c r="F29" s="4"/>
      <c r="G29" s="4"/>
      <c r="H29" s="4"/>
      <c r="I29" s="4"/>
      <c r="J29" s="4"/>
      <c r="K29" s="59"/>
    </row>
    <row r="30" spans="1:11" ht="33.75" x14ac:dyDescent="0.5">
      <c r="A30" s="58" t="s">
        <v>122</v>
      </c>
      <c r="B30" s="4">
        <v>25000</v>
      </c>
      <c r="C30" s="4"/>
      <c r="D30" s="4"/>
      <c r="E30" s="4"/>
      <c r="F30" s="4"/>
      <c r="G30" s="4"/>
      <c r="H30" s="4"/>
      <c r="I30" s="4"/>
      <c r="J30" s="4"/>
      <c r="K30" s="59"/>
    </row>
    <row r="31" spans="1:11" x14ac:dyDescent="0.25">
      <c r="A31" s="58" t="s">
        <v>127</v>
      </c>
      <c r="B31" s="1">
        <v>0.02</v>
      </c>
      <c r="C31" s="4"/>
      <c r="D31" s="4"/>
      <c r="E31" s="4"/>
      <c r="F31" s="4"/>
      <c r="G31" s="4"/>
      <c r="H31" s="4"/>
      <c r="I31" s="4"/>
      <c r="J31" s="4"/>
    </row>
    <row r="32" spans="1:11" x14ac:dyDescent="0.25">
      <c r="A32" s="58" t="s">
        <v>113</v>
      </c>
      <c r="B32" s="1">
        <v>0.04</v>
      </c>
      <c r="C32" s="4"/>
      <c r="D32" s="4"/>
      <c r="E32" s="4"/>
      <c r="F32" s="4"/>
      <c r="G32" s="4"/>
      <c r="H32" s="4"/>
      <c r="I32" s="4"/>
      <c r="J32" s="4"/>
    </row>
    <row r="33" spans="3:10" x14ac:dyDescent="0.25">
      <c r="C33" s="4"/>
      <c r="D33" s="4"/>
      <c r="E33" s="4"/>
      <c r="F33" s="4"/>
      <c r="G33" s="4"/>
      <c r="H33" s="4"/>
      <c r="I33" s="4"/>
      <c r="J33" s="4"/>
    </row>
    <row r="34" spans="3:10" x14ac:dyDescent="0.25">
      <c r="C34" s="4"/>
      <c r="D34" s="4"/>
      <c r="E34" s="4"/>
      <c r="F34" s="4"/>
      <c r="G34" s="4"/>
      <c r="H34" s="4"/>
      <c r="I34" s="4"/>
      <c r="J34" s="4"/>
    </row>
    <row r="35" spans="3:10" x14ac:dyDescent="0.25">
      <c r="C35" s="4"/>
      <c r="D35" s="4"/>
      <c r="E35" s="4"/>
      <c r="F35" s="4"/>
      <c r="G35" s="4"/>
      <c r="H35" s="4"/>
      <c r="I35" s="4"/>
      <c r="J35" s="4"/>
    </row>
  </sheetData>
  <mergeCells count="3">
    <mergeCell ref="A1:J1"/>
    <mergeCell ref="A2:J2"/>
    <mergeCell ref="A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53CF0-212D-4257-B7AA-BC9B72FDA292}">
  <dimension ref="A1:K52"/>
  <sheetViews>
    <sheetView workbookViewId="0">
      <selection activeCell="H28" sqref="H28"/>
    </sheetView>
  </sheetViews>
  <sheetFormatPr defaultRowHeight="15" x14ac:dyDescent="0.25"/>
  <cols>
    <col min="1" max="1" width="35.140625" bestFit="1" customWidth="1"/>
    <col min="2" max="3" width="13.28515625" bestFit="1" customWidth="1"/>
    <col min="4" max="4" width="12.5703125" bestFit="1" customWidth="1"/>
  </cols>
  <sheetData>
    <row r="1" spans="1:5" ht="15.75" x14ac:dyDescent="0.25">
      <c r="A1" s="30" t="s">
        <v>38</v>
      </c>
      <c r="B1" s="30"/>
      <c r="C1" s="30"/>
      <c r="D1" s="30"/>
    </row>
    <row r="2" spans="1:5" x14ac:dyDescent="0.25">
      <c r="B2" t="s">
        <v>39</v>
      </c>
      <c r="C2" t="s">
        <v>40</v>
      </c>
      <c r="D2" s="21"/>
    </row>
    <row r="3" spans="1:5" x14ac:dyDescent="0.25">
      <c r="A3" t="s">
        <v>41</v>
      </c>
      <c r="B3" s="23">
        <v>650000</v>
      </c>
      <c r="C3" s="23">
        <v>650000</v>
      </c>
      <c r="D3" s="22"/>
    </row>
    <row r="4" spans="1:5" x14ac:dyDescent="0.25">
      <c r="A4" t="s">
        <v>42</v>
      </c>
      <c r="B4" s="25">
        <v>8</v>
      </c>
      <c r="C4" s="26">
        <v>7</v>
      </c>
      <c r="D4" s="22"/>
    </row>
    <row r="5" spans="1:5" x14ac:dyDescent="0.25">
      <c r="A5" t="s">
        <v>43</v>
      </c>
      <c r="B5" s="25">
        <v>1</v>
      </c>
      <c r="C5" s="26">
        <v>1.25</v>
      </c>
      <c r="D5" s="22"/>
    </row>
    <row r="6" spans="1:5" x14ac:dyDescent="0.25">
      <c r="A6" t="s">
        <v>55</v>
      </c>
      <c r="B6" s="25">
        <v>12</v>
      </c>
      <c r="C6" s="26">
        <v>12</v>
      </c>
      <c r="D6" s="22"/>
    </row>
    <row r="7" spans="1:5" x14ac:dyDescent="0.25">
      <c r="A7" t="s">
        <v>49</v>
      </c>
      <c r="B7" s="25">
        <f>B4+B5</f>
        <v>9</v>
      </c>
      <c r="C7" s="25">
        <f>C4+C5</f>
        <v>8.25</v>
      </c>
      <c r="D7" s="22"/>
    </row>
    <row r="8" spans="1:5" x14ac:dyDescent="0.25">
      <c r="A8" t="s">
        <v>50</v>
      </c>
      <c r="B8" s="25"/>
      <c r="C8" s="25">
        <f>(C6-C7)-(B6-B7)</f>
        <v>0.75</v>
      </c>
      <c r="D8" s="22"/>
    </row>
    <row r="9" spans="1:5" x14ac:dyDescent="0.25">
      <c r="A9" t="s">
        <v>44</v>
      </c>
      <c r="B9" s="23"/>
      <c r="C9" s="24">
        <v>45000</v>
      </c>
      <c r="D9" s="22"/>
    </row>
    <row r="10" spans="1:5" x14ac:dyDescent="0.25">
      <c r="A10" t="s">
        <v>45</v>
      </c>
      <c r="B10" s="23"/>
      <c r="C10" s="24">
        <v>200000</v>
      </c>
      <c r="D10" s="22"/>
    </row>
    <row r="11" spans="1:5" x14ac:dyDescent="0.25">
      <c r="A11" t="s">
        <v>46</v>
      </c>
      <c r="B11" s="23"/>
      <c r="C11" s="24">
        <v>350000</v>
      </c>
      <c r="D11" s="22"/>
      <c r="E11" s="4"/>
    </row>
    <row r="12" spans="1:5" x14ac:dyDescent="0.25">
      <c r="A12" t="s">
        <v>47</v>
      </c>
      <c r="B12" s="23"/>
      <c r="C12" s="24">
        <v>250000</v>
      </c>
      <c r="D12" s="22"/>
    </row>
    <row r="13" spans="1:5" x14ac:dyDescent="0.25">
      <c r="A13" t="s">
        <v>56</v>
      </c>
      <c r="B13" s="23"/>
      <c r="C13" s="24">
        <v>100000</v>
      </c>
      <c r="D13" s="22"/>
    </row>
    <row r="14" spans="1:5" x14ac:dyDescent="0.25">
      <c r="A14" t="s">
        <v>48</v>
      </c>
      <c r="B14" s="23"/>
      <c r="C14" s="24">
        <f>SLN(C11,Defects,5)</f>
        <v>50000</v>
      </c>
      <c r="D14" s="22"/>
    </row>
    <row r="15" spans="1:5" x14ac:dyDescent="0.25">
      <c r="A15" t="s">
        <v>57</v>
      </c>
      <c r="B15" s="23"/>
      <c r="C15" s="24">
        <v>200000</v>
      </c>
      <c r="D15" s="22"/>
    </row>
    <row r="16" spans="1:5" x14ac:dyDescent="0.25">
      <c r="A16" t="s">
        <v>58</v>
      </c>
      <c r="B16" s="23"/>
      <c r="C16" s="24">
        <v>100000</v>
      </c>
      <c r="D16" s="22"/>
    </row>
    <row r="17" spans="1:11" x14ac:dyDescent="0.25">
      <c r="B17" s="23"/>
      <c r="C17" s="24"/>
      <c r="D17" s="22"/>
    </row>
    <row r="18" spans="1:11" x14ac:dyDescent="0.25">
      <c r="A18" t="s">
        <v>0</v>
      </c>
      <c r="B18" s="1">
        <v>0.25</v>
      </c>
    </row>
    <row r="19" spans="1:11" x14ac:dyDescent="0.25">
      <c r="A19" t="s">
        <v>1</v>
      </c>
      <c r="B19" s="1">
        <v>0.12</v>
      </c>
    </row>
    <row r="20" spans="1:11" ht="15.75" x14ac:dyDescent="0.25">
      <c r="A20" s="31" t="s">
        <v>2</v>
      </c>
      <c r="B20" s="31"/>
      <c r="C20" s="5" t="s">
        <v>12</v>
      </c>
      <c r="D20" s="5" t="s">
        <v>13</v>
      </c>
      <c r="E20" s="5" t="s">
        <v>14</v>
      </c>
    </row>
    <row r="21" spans="1:11" x14ac:dyDescent="0.25">
      <c r="A21" t="s">
        <v>3</v>
      </c>
      <c r="B21" s="23">
        <f>-SUM(C9:C11)</f>
        <v>-595000</v>
      </c>
      <c r="C21" s="21">
        <v>0</v>
      </c>
      <c r="D21" s="22">
        <f>B21</f>
        <v>-595000</v>
      </c>
      <c r="E21" s="21"/>
    </row>
    <row r="22" spans="1:11" x14ac:dyDescent="0.25">
      <c r="A22" t="s">
        <v>4</v>
      </c>
      <c r="B22" s="23">
        <f>(C8*C3-C12)*(1-B18)+(C14*B18)</f>
        <v>190625</v>
      </c>
      <c r="C22" s="21">
        <v>1</v>
      </c>
      <c r="D22" s="22">
        <f>$B$22</f>
        <v>190625</v>
      </c>
      <c r="E22" s="21" t="b">
        <f>IF(SUM(D$21:D22)&gt;0,COUNT(D$21:D21)+ABS(SUM(D$21:D21))/D22-1)</f>
        <v>0</v>
      </c>
    </row>
    <row r="23" spans="1:11" x14ac:dyDescent="0.25">
      <c r="A23" t="s">
        <v>5</v>
      </c>
      <c r="B23" s="23">
        <f>C16-(C16-C13)*B18+C15-(C15-C10)*B18+C9</f>
        <v>345000</v>
      </c>
      <c r="C23" s="21">
        <v>2</v>
      </c>
      <c r="D23" s="22">
        <f>$B$22</f>
        <v>190625</v>
      </c>
      <c r="E23" s="21" t="b">
        <f>IF(SUM(D$21:D23)&gt;0,COUNT(D$21:D22)+ABS(SUM(D$21:D22))/D23-1)</f>
        <v>0</v>
      </c>
    </row>
    <row r="24" spans="1:11" x14ac:dyDescent="0.25">
      <c r="B24" s="21"/>
      <c r="C24" s="21">
        <v>3</v>
      </c>
      <c r="D24" s="22">
        <f>$B$22</f>
        <v>190625</v>
      </c>
      <c r="E24" s="21" t="b">
        <f>IF(SUM(D$21:D24)&gt;0,COUNT(D$21:D23)+ABS(SUM(D$21:D23))/D24-1)</f>
        <v>0</v>
      </c>
    </row>
    <row r="25" spans="1:11" x14ac:dyDescent="0.25">
      <c r="B25" s="21"/>
      <c r="C25" s="21">
        <v>4</v>
      </c>
      <c r="D25" s="22">
        <f>$B$22</f>
        <v>190625</v>
      </c>
      <c r="E25" s="21">
        <f>IF(SUM(D$21:D25)&gt;0,COUNT(D$21:D24)+ABS(SUM(D$21:D24))/D25-1)</f>
        <v>3.1213114754098363</v>
      </c>
    </row>
    <row r="26" spans="1:11" x14ac:dyDescent="0.25">
      <c r="B26" s="21"/>
      <c r="C26" s="21">
        <v>5</v>
      </c>
      <c r="D26" s="22">
        <f>B22+B23</f>
        <v>535625</v>
      </c>
      <c r="E26" s="21">
        <f>IF(SUM(D$21:D26)&gt;0,COUNT(D$21:D25)+ABS(SUM(D$21:D25))/D26-1)</f>
        <v>4.3127187864644103</v>
      </c>
    </row>
    <row r="27" spans="1:11" x14ac:dyDescent="0.25">
      <c r="A27" t="s">
        <v>6</v>
      </c>
      <c r="B27" s="2">
        <f>MIN(E21:E26)</f>
        <v>3.1213114754098363</v>
      </c>
      <c r="D27" s="4"/>
    </row>
    <row r="28" spans="1:11" x14ac:dyDescent="0.25">
      <c r="A28" t="s">
        <v>7</v>
      </c>
      <c r="B28" t="s">
        <v>11</v>
      </c>
      <c r="D28" s="4"/>
    </row>
    <row r="29" spans="1:11" x14ac:dyDescent="0.25">
      <c r="A29" t="s">
        <v>8</v>
      </c>
      <c r="B29" s="27">
        <f>NPV(B19,D22:D26)+D21</f>
        <v>287922.72879493318</v>
      </c>
      <c r="D29" s="4"/>
    </row>
    <row r="30" spans="1:11" x14ac:dyDescent="0.25">
      <c r="A30" t="s">
        <v>9</v>
      </c>
      <c r="B30" s="27">
        <f>(B29-B21)/-B21</f>
        <v>1.4839037458738373</v>
      </c>
      <c r="D30" s="4"/>
      <c r="K30" t="s">
        <v>37</v>
      </c>
    </row>
    <row r="31" spans="1:11" x14ac:dyDescent="0.25">
      <c r="A31" t="s">
        <v>10</v>
      </c>
      <c r="B31" s="28">
        <f>IRR(D21:D26)</f>
        <v>0.27125619963974335</v>
      </c>
      <c r="D31" s="4"/>
    </row>
    <row r="32" spans="1:11" x14ac:dyDescent="0.25">
      <c r="A32" t="s">
        <v>15</v>
      </c>
      <c r="B32" s="28">
        <f>MIRR(D21:D26,B19,B19)</f>
        <v>0.21199036940627303</v>
      </c>
    </row>
    <row r="37" spans="1:2" x14ac:dyDescent="0.25">
      <c r="A37" t="s">
        <v>1</v>
      </c>
      <c r="B37" t="s">
        <v>16</v>
      </c>
    </row>
    <row r="38" spans="1:2" x14ac:dyDescent="0.25">
      <c r="A38" s="6">
        <v>0</v>
      </c>
      <c r="B38" s="3">
        <f>NPV(A38,D$22:D$26)+D$21</f>
        <v>703125</v>
      </c>
    </row>
    <row r="39" spans="1:2" x14ac:dyDescent="0.25">
      <c r="A39" s="6">
        <v>0.05</v>
      </c>
      <c r="B39" s="3">
        <f t="shared" ref="B39:B46" si="0">NPV(A39,D$22:D$26)+D$21</f>
        <v>500623.01777061797</v>
      </c>
    </row>
    <row r="40" spans="1:2" x14ac:dyDescent="0.25">
      <c r="A40" s="6">
        <v>0.1</v>
      </c>
      <c r="B40" s="3">
        <f t="shared" si="0"/>
        <v>341836.58437389368</v>
      </c>
    </row>
    <row r="41" spans="1:2" x14ac:dyDescent="0.25">
      <c r="A41" s="6">
        <v>0.15</v>
      </c>
      <c r="B41" s="3">
        <f t="shared" si="0"/>
        <v>215530.53923633369</v>
      </c>
    </row>
    <row r="42" spans="1:2" x14ac:dyDescent="0.25">
      <c r="A42" s="6">
        <v>0.2</v>
      </c>
      <c r="B42" s="3">
        <f t="shared" si="0"/>
        <v>113733.20151748974</v>
      </c>
    </row>
    <row r="43" spans="1:2" x14ac:dyDescent="0.25">
      <c r="A43" s="6">
        <v>0.25</v>
      </c>
      <c r="B43" s="3">
        <f t="shared" si="0"/>
        <v>30693.599999999977</v>
      </c>
    </row>
    <row r="44" spans="1:2" x14ac:dyDescent="0.25">
      <c r="A44" s="6">
        <v>0.3</v>
      </c>
      <c r="B44" s="3">
        <f t="shared" si="0"/>
        <v>-37800.985340418527</v>
      </c>
    </row>
    <row r="45" spans="1:2" x14ac:dyDescent="0.25">
      <c r="A45" s="6">
        <v>0.35</v>
      </c>
      <c r="B45" s="3">
        <f t="shared" si="0"/>
        <v>-94880.195578659885</v>
      </c>
    </row>
    <row r="46" spans="1:2" x14ac:dyDescent="0.25">
      <c r="A46" s="6">
        <v>0.4</v>
      </c>
      <c r="B46" s="3">
        <f t="shared" si="0"/>
        <v>-142899.49872077099</v>
      </c>
    </row>
    <row r="49" spans="2:2" x14ac:dyDescent="0.25">
      <c r="B49" s="3"/>
    </row>
    <row r="50" spans="2:2" x14ac:dyDescent="0.25">
      <c r="B50" s="20"/>
    </row>
    <row r="51" spans="2:2" x14ac:dyDescent="0.25">
      <c r="B51" s="20"/>
    </row>
    <row r="52" spans="2:2" x14ac:dyDescent="0.25">
      <c r="B52" s="20"/>
    </row>
  </sheetData>
  <scenarios current="0" sqref="B27 B29:B32">
    <scenario name="Best Case" locked="1" count="3" user="Braden" comment="Created by Braden on 4/10/2022">
      <inputCells r="C12" val="200000" numFmtId="165"/>
      <inputCells r="C15" val="300000" numFmtId="165"/>
      <inputCells r="C16" val="150000" numFmtId="165"/>
    </scenario>
    <scenario name="Expected Case" locked="1" count="3" user="Braden" comment="Created by Braden on 4/10/2022">
      <inputCells r="C12" val="250000" numFmtId="165"/>
      <inputCells r="C15" val="200000" numFmtId="165"/>
      <inputCells r="C16" val="100000" numFmtId="165"/>
    </scenario>
    <scenario name="Worst Case" locked="1" count="3" user="Braden" comment="Created by Braden on 4/10/2022">
      <inputCells r="C12" val="350000" numFmtId="165"/>
      <inputCells r="C15" val="40000" numFmtId="165"/>
      <inputCells r="C16" val="20000" numFmtId="165"/>
    </scenario>
  </scenarios>
  <mergeCells count="2">
    <mergeCell ref="A1:D1"/>
    <mergeCell ref="A20:B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8FA5-76CC-454E-AD55-59E818A9D57D}">
  <sheetPr>
    <outlinePr summaryBelow="0"/>
  </sheetPr>
  <dimension ref="B1:F22"/>
  <sheetViews>
    <sheetView showGridLines="0" workbookViewId="0">
      <selection activeCell="H22" sqref="H22"/>
    </sheetView>
  </sheetViews>
  <sheetFormatPr defaultRowHeight="15" outlineLevelRow="1" outlineLevelCol="1" x14ac:dyDescent="0.25"/>
  <cols>
    <col min="2" max="2" width="14" customWidth="1"/>
    <col min="3" max="3" width="19.42578125" bestFit="1" customWidth="1"/>
    <col min="4" max="4" width="26.28515625" customWidth="1" outlineLevel="1"/>
    <col min="5" max="5" width="22.28515625" customWidth="1" outlineLevel="1"/>
    <col min="6" max="6" width="13.140625" bestFit="1" customWidth="1" outlineLevel="1"/>
  </cols>
  <sheetData>
    <row r="1" spans="2:6" x14ac:dyDescent="0.25">
      <c r="B1" t="s">
        <v>65</v>
      </c>
      <c r="C1" t="s">
        <v>66</v>
      </c>
      <c r="D1" t="s">
        <v>67</v>
      </c>
      <c r="E1" t="s">
        <v>68</v>
      </c>
    </row>
    <row r="2" spans="2:6" x14ac:dyDescent="0.25">
      <c r="B2" t="s">
        <v>19</v>
      </c>
      <c r="C2" s="44">
        <v>200000</v>
      </c>
      <c r="D2" s="44">
        <v>150000</v>
      </c>
      <c r="E2" s="44">
        <v>300000</v>
      </c>
    </row>
    <row r="3" spans="2:6" x14ac:dyDescent="0.25">
      <c r="B3" t="s">
        <v>20</v>
      </c>
      <c r="C3" s="44">
        <v>250000</v>
      </c>
      <c r="D3" s="44">
        <v>100000</v>
      </c>
      <c r="E3" s="44">
        <v>200000</v>
      </c>
    </row>
    <row r="4" spans="2:6" x14ac:dyDescent="0.25">
      <c r="B4" t="s">
        <v>21</v>
      </c>
      <c r="C4" s="44">
        <v>350000</v>
      </c>
      <c r="D4" s="44">
        <v>20000</v>
      </c>
      <c r="E4" s="44">
        <v>40000</v>
      </c>
    </row>
    <row r="6" spans="2:6" ht="15.75" thickBot="1" x14ac:dyDescent="0.3"/>
    <row r="7" spans="2:6" ht="15.75" x14ac:dyDescent="0.25">
      <c r="B7" s="12" t="s">
        <v>22</v>
      </c>
      <c r="C7" s="12"/>
      <c r="D7" s="17"/>
      <c r="E7" s="17"/>
      <c r="F7" s="17"/>
    </row>
    <row r="8" spans="2:6" ht="15.75" collapsed="1" x14ac:dyDescent="0.25">
      <c r="B8" s="11"/>
      <c r="C8" s="11"/>
      <c r="D8" s="18" t="s">
        <v>19</v>
      </c>
      <c r="E8" s="18" t="s">
        <v>20</v>
      </c>
      <c r="F8" s="18" t="s">
        <v>21</v>
      </c>
    </row>
    <row r="9" spans="2:6" ht="33.75" hidden="1" outlineLevel="1" x14ac:dyDescent="0.25">
      <c r="B9" s="14"/>
      <c r="C9" s="14"/>
      <c r="D9" s="19" t="s">
        <v>52</v>
      </c>
      <c r="E9" s="19" t="s">
        <v>52</v>
      </c>
      <c r="F9" s="19" t="s">
        <v>52</v>
      </c>
    </row>
    <row r="10" spans="2:6" x14ac:dyDescent="0.25">
      <c r="B10" s="15" t="s">
        <v>23</v>
      </c>
      <c r="C10" s="15"/>
      <c r="D10" s="13"/>
      <c r="E10" s="13"/>
      <c r="F10" s="13"/>
    </row>
    <row r="11" spans="2:6" outlineLevel="1" x14ac:dyDescent="0.25">
      <c r="B11" s="14"/>
      <c r="C11" s="14" t="s">
        <v>51</v>
      </c>
      <c r="D11" s="29">
        <v>200000</v>
      </c>
      <c r="E11" s="29">
        <v>250000</v>
      </c>
      <c r="F11" s="29">
        <v>350000</v>
      </c>
    </row>
    <row r="12" spans="2:6" outlineLevel="1" x14ac:dyDescent="0.25">
      <c r="B12" s="14"/>
      <c r="C12" s="14" t="s">
        <v>53</v>
      </c>
      <c r="D12" s="29">
        <v>300000</v>
      </c>
      <c r="E12" s="29">
        <v>200000</v>
      </c>
      <c r="F12" s="29">
        <v>40000</v>
      </c>
    </row>
    <row r="13" spans="2:6" outlineLevel="1" x14ac:dyDescent="0.25">
      <c r="B13" s="14"/>
      <c r="C13" s="14" t="s">
        <v>54</v>
      </c>
      <c r="D13" s="29">
        <v>150000</v>
      </c>
      <c r="E13" s="29">
        <v>100000</v>
      </c>
      <c r="F13" s="29">
        <v>20000</v>
      </c>
    </row>
    <row r="14" spans="2:6" x14ac:dyDescent="0.25">
      <c r="B14" s="15" t="s">
        <v>24</v>
      </c>
      <c r="C14" s="15"/>
      <c r="D14" s="13"/>
      <c r="E14" s="13"/>
      <c r="F14" s="13"/>
    </row>
    <row r="15" spans="2:6" outlineLevel="1" x14ac:dyDescent="0.25">
      <c r="B15" s="14"/>
      <c r="C15" s="14" t="s">
        <v>28</v>
      </c>
      <c r="D15" s="8">
        <v>2.63711911357341</v>
      </c>
      <c r="E15" s="8">
        <v>3.1213114754098399</v>
      </c>
      <c r="F15" s="8">
        <v>4.40931049626702</v>
      </c>
    </row>
    <row r="16" spans="2:6" outlineLevel="1" x14ac:dyDescent="0.25">
      <c r="B16" s="14"/>
      <c r="C16" s="14" t="s">
        <v>16</v>
      </c>
      <c r="D16" s="8">
        <v>477925.41714535101</v>
      </c>
      <c r="E16" s="8">
        <v>287922.72879493301</v>
      </c>
      <c r="F16" s="8">
        <v>-70153.215600910102</v>
      </c>
    </row>
    <row r="17" spans="2:6" outlineLevel="1" x14ac:dyDescent="0.25">
      <c r="B17" s="14"/>
      <c r="C17" s="14" t="s">
        <v>29</v>
      </c>
      <c r="D17" s="8">
        <v>1.8032359952022701</v>
      </c>
      <c r="E17" s="8">
        <v>1.48390374587384</v>
      </c>
      <c r="F17" s="8">
        <v>0.88209543596485696</v>
      </c>
    </row>
    <row r="18" spans="2:6" outlineLevel="1" x14ac:dyDescent="0.25">
      <c r="B18" s="14"/>
      <c r="C18" s="14" t="s">
        <v>17</v>
      </c>
      <c r="D18" s="9">
        <v>0.35626230263032399</v>
      </c>
      <c r="E18" s="9">
        <v>0.27125619963974301</v>
      </c>
      <c r="F18" s="9">
        <v>7.7164975500784994E-2</v>
      </c>
    </row>
    <row r="19" spans="2:6" ht="15.75" outlineLevel="1" thickBot="1" x14ac:dyDescent="0.3">
      <c r="B19" s="16"/>
      <c r="C19" s="16" t="s">
        <v>18</v>
      </c>
      <c r="D19" s="10">
        <v>0.26016825844609598</v>
      </c>
      <c r="E19" s="10">
        <v>0.211990369406273</v>
      </c>
      <c r="F19" s="10">
        <v>9.2247696993473793E-2</v>
      </c>
    </row>
    <row r="20" spans="2:6" x14ac:dyDescent="0.25">
      <c r="B20" t="s">
        <v>25</v>
      </c>
    </row>
    <row r="21" spans="2:6" x14ac:dyDescent="0.25">
      <c r="B21" t="s">
        <v>26</v>
      </c>
    </row>
    <row r="22" spans="2:6" x14ac:dyDescent="0.25">
      <c r="B22" t="s">
        <v>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E5E54-60EE-4ECF-987C-8812369FEF9D}">
  <dimension ref="B17:P33"/>
  <sheetViews>
    <sheetView workbookViewId="0">
      <selection activeCell="S17" sqref="S17"/>
    </sheetView>
  </sheetViews>
  <sheetFormatPr defaultRowHeight="15" x14ac:dyDescent="0.25"/>
  <cols>
    <col min="2" max="2" width="16.28515625" bestFit="1" customWidth="1"/>
    <col min="4" max="4" width="15.7109375" bestFit="1" customWidth="1"/>
    <col min="5" max="5" width="16.5703125" bestFit="1" customWidth="1"/>
    <col min="6" max="6" width="23.85546875" bestFit="1" customWidth="1"/>
    <col min="7" max="7" width="25.7109375" bestFit="1" customWidth="1"/>
    <col min="10" max="10" width="16.42578125" bestFit="1" customWidth="1"/>
    <col min="14" max="14" width="13.140625" bestFit="1" customWidth="1"/>
    <col min="15" max="15" width="12.42578125" bestFit="1" customWidth="1"/>
  </cols>
  <sheetData>
    <row r="17" spans="2:16" x14ac:dyDescent="0.25">
      <c r="C17" s="46" t="s">
        <v>96</v>
      </c>
      <c r="D17" s="46" t="s">
        <v>97</v>
      </c>
      <c r="E17" s="46" t="s">
        <v>98</v>
      </c>
      <c r="F17" s="46" t="s">
        <v>99</v>
      </c>
      <c r="G17" s="46" t="s">
        <v>100</v>
      </c>
      <c r="H17" s="46"/>
      <c r="J17" s="46" t="s">
        <v>69</v>
      </c>
      <c r="N17" t="s">
        <v>90</v>
      </c>
      <c r="O17" t="s">
        <v>92</v>
      </c>
      <c r="P17" t="s">
        <v>91</v>
      </c>
    </row>
    <row r="18" spans="2:16" x14ac:dyDescent="0.25">
      <c r="B18" s="46" t="s">
        <v>70</v>
      </c>
      <c r="C18" s="46"/>
      <c r="D18" s="46"/>
      <c r="E18" s="46"/>
      <c r="F18" s="46"/>
      <c r="G18" s="46"/>
      <c r="H18" s="46"/>
      <c r="J18" t="s">
        <v>87</v>
      </c>
      <c r="K18">
        <v>3000</v>
      </c>
      <c r="M18" t="s">
        <v>71</v>
      </c>
      <c r="N18">
        <f>SUM(E19,E20,E21)</f>
        <v>8</v>
      </c>
      <c r="O18">
        <v>4</v>
      </c>
      <c r="P18">
        <f>N18/O18</f>
        <v>2</v>
      </c>
    </row>
    <row r="19" spans="2:16" x14ac:dyDescent="0.25">
      <c r="B19" t="s">
        <v>72</v>
      </c>
      <c r="C19">
        <v>100</v>
      </c>
      <c r="D19">
        <v>140</v>
      </c>
      <c r="E19" s="48">
        <v>0</v>
      </c>
      <c r="F19">
        <f>SUM(E19*C19)</f>
        <v>0</v>
      </c>
      <c r="G19">
        <f>D19*E19</f>
        <v>0</v>
      </c>
      <c r="J19" t="s">
        <v>88</v>
      </c>
      <c r="K19">
        <v>900</v>
      </c>
      <c r="M19" t="s">
        <v>73</v>
      </c>
      <c r="N19">
        <f>SUM(E23:E25)</f>
        <v>6</v>
      </c>
      <c r="O19">
        <v>3</v>
      </c>
      <c r="P19">
        <f t="shared" ref="P19:P20" si="0">N19/O19</f>
        <v>2</v>
      </c>
    </row>
    <row r="20" spans="2:16" x14ac:dyDescent="0.25">
      <c r="B20" t="s">
        <v>74</v>
      </c>
      <c r="C20">
        <v>150</v>
      </c>
      <c r="D20">
        <v>120</v>
      </c>
      <c r="E20" s="48">
        <v>0</v>
      </c>
      <c r="F20">
        <f t="shared" ref="F20:F29" si="1">SUM(E20*C20)</f>
        <v>0</v>
      </c>
      <c r="G20">
        <f t="shared" ref="G20:G29" si="2">D20*E20</f>
        <v>0</v>
      </c>
      <c r="J20" t="s">
        <v>89</v>
      </c>
      <c r="K20">
        <v>1</v>
      </c>
      <c r="M20" t="s">
        <v>75</v>
      </c>
      <c r="N20">
        <f>SUM(E27:E29)</f>
        <v>1</v>
      </c>
      <c r="O20">
        <v>1</v>
      </c>
      <c r="P20">
        <f t="shared" si="0"/>
        <v>1</v>
      </c>
    </row>
    <row r="21" spans="2:16" x14ac:dyDescent="0.25">
      <c r="B21" t="s">
        <v>76</v>
      </c>
      <c r="C21">
        <v>175</v>
      </c>
      <c r="D21">
        <v>100</v>
      </c>
      <c r="E21" s="48">
        <v>8</v>
      </c>
      <c r="F21">
        <f t="shared" si="1"/>
        <v>1400</v>
      </c>
      <c r="G21">
        <f t="shared" si="2"/>
        <v>800</v>
      </c>
      <c r="J21" t="s">
        <v>82</v>
      </c>
      <c r="K21">
        <v>5</v>
      </c>
      <c r="M21" t="s">
        <v>93</v>
      </c>
      <c r="P21">
        <f>SUM(P18:P20)</f>
        <v>5</v>
      </c>
    </row>
    <row r="22" spans="2:16" x14ac:dyDescent="0.25">
      <c r="B22" s="46" t="s">
        <v>77</v>
      </c>
      <c r="E22" s="48">
        <v>0</v>
      </c>
      <c r="F22">
        <f t="shared" si="1"/>
        <v>0</v>
      </c>
      <c r="G22">
        <f t="shared" si="2"/>
        <v>0</v>
      </c>
    </row>
    <row r="23" spans="2:16" x14ac:dyDescent="0.25">
      <c r="B23" t="s">
        <v>78</v>
      </c>
      <c r="C23">
        <v>200</v>
      </c>
      <c r="D23">
        <v>90</v>
      </c>
      <c r="E23" s="48">
        <v>0</v>
      </c>
      <c r="F23">
        <f t="shared" si="1"/>
        <v>0</v>
      </c>
      <c r="G23">
        <f t="shared" si="2"/>
        <v>0</v>
      </c>
    </row>
    <row r="24" spans="2:16" x14ac:dyDescent="0.25">
      <c r="B24" t="s">
        <v>79</v>
      </c>
      <c r="C24">
        <v>250</v>
      </c>
      <c r="D24">
        <v>70</v>
      </c>
      <c r="E24" s="48">
        <v>0</v>
      </c>
      <c r="F24">
        <f t="shared" si="1"/>
        <v>0</v>
      </c>
      <c r="G24">
        <f t="shared" si="2"/>
        <v>0</v>
      </c>
    </row>
    <row r="25" spans="2:16" x14ac:dyDescent="0.25">
      <c r="B25" t="s">
        <v>81</v>
      </c>
      <c r="C25">
        <v>275</v>
      </c>
      <c r="D25">
        <v>50</v>
      </c>
      <c r="E25" s="48">
        <v>6</v>
      </c>
      <c r="F25">
        <f t="shared" si="1"/>
        <v>1650</v>
      </c>
      <c r="G25">
        <f t="shared" si="2"/>
        <v>300</v>
      </c>
    </row>
    <row r="26" spans="2:16" x14ac:dyDescent="0.25">
      <c r="B26" s="46" t="s">
        <v>80</v>
      </c>
      <c r="E26" s="48">
        <v>0</v>
      </c>
      <c r="F26">
        <f t="shared" si="1"/>
        <v>0</v>
      </c>
      <c r="G26">
        <f t="shared" si="2"/>
        <v>0</v>
      </c>
    </row>
    <row r="27" spans="2:16" x14ac:dyDescent="0.25">
      <c r="B27" t="s">
        <v>83</v>
      </c>
      <c r="C27">
        <v>450</v>
      </c>
      <c r="D27">
        <v>50</v>
      </c>
      <c r="E27" s="48">
        <v>0</v>
      </c>
      <c r="F27">
        <f t="shared" si="1"/>
        <v>0</v>
      </c>
      <c r="G27">
        <f t="shared" si="2"/>
        <v>0</v>
      </c>
    </row>
    <row r="28" spans="2:16" x14ac:dyDescent="0.25">
      <c r="B28" t="s">
        <v>84</v>
      </c>
      <c r="C28">
        <v>500</v>
      </c>
      <c r="D28">
        <v>60</v>
      </c>
      <c r="E28" s="48">
        <v>0</v>
      </c>
      <c r="F28">
        <f t="shared" si="1"/>
        <v>0</v>
      </c>
      <c r="G28">
        <f t="shared" si="2"/>
        <v>0</v>
      </c>
    </row>
    <row r="29" spans="2:16" x14ac:dyDescent="0.25">
      <c r="B29" t="s">
        <v>85</v>
      </c>
      <c r="C29">
        <v>10</v>
      </c>
      <c r="D29">
        <v>1</v>
      </c>
      <c r="E29" s="48">
        <v>1</v>
      </c>
      <c r="F29">
        <f t="shared" si="1"/>
        <v>10</v>
      </c>
      <c r="G29">
        <f t="shared" si="2"/>
        <v>1</v>
      </c>
    </row>
    <row r="30" spans="2:16" x14ac:dyDescent="0.25">
      <c r="E30" s="47" t="s">
        <v>94</v>
      </c>
      <c r="F30" s="38">
        <f>SUM(F19:F29)</f>
        <v>3060</v>
      </c>
      <c r="G30" s="38">
        <f>SUM(G19:G29)</f>
        <v>1101</v>
      </c>
    </row>
    <row r="32" spans="2:16" x14ac:dyDescent="0.25">
      <c r="C32" t="s">
        <v>95</v>
      </c>
    </row>
    <row r="33" spans="2:3" x14ac:dyDescent="0.25">
      <c r="B33" s="46" t="s">
        <v>86</v>
      </c>
      <c r="C33" s="45">
        <f>SUM(F30,G30)</f>
        <v>4161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Projected Cash Flow Analysis</vt:lpstr>
      <vt:lpstr>Cash Budget</vt:lpstr>
      <vt:lpstr>Scenario Testing Data</vt:lpstr>
      <vt:lpstr>Scenario Test Summary</vt:lpstr>
      <vt:lpstr>Simplex Solver</vt:lpstr>
      <vt:lpstr>'Scenario Testing Data'!Defects</vt:lpstr>
      <vt:lpstr>IRR</vt:lpstr>
      <vt:lpstr>Labor_Cost</vt:lpstr>
      <vt:lpstr>'Scenario Testing Data'!Maintenance</vt:lpstr>
      <vt:lpstr>MIRR</vt:lpstr>
      <vt:lpstr>NPV</vt:lpstr>
      <vt:lpstr>Payback_Period</vt:lpstr>
      <vt:lpstr>PI</vt:lpstr>
      <vt:lpstr>Salvage_V_Building</vt:lpstr>
      <vt:lpstr>Salvage_V_Land</vt:lpstr>
      <vt:lpstr>Salvage_V_of_Building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Braden</dc:creator>
  <cp:lastModifiedBy>Braden</cp:lastModifiedBy>
  <dcterms:created xsi:type="dcterms:W3CDTF">2022-04-09T14:30:45Z</dcterms:created>
  <dcterms:modified xsi:type="dcterms:W3CDTF">2022-08-17T19:31:51Z</dcterms:modified>
</cp:coreProperties>
</file>