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70937995-7B72-4417-9586-C03165F966D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6" i="1"/>
  <c r="AO31" i="1" l="1"/>
  <c r="AM31" i="1"/>
  <c r="AK31" i="1"/>
  <c r="AN31" i="1"/>
  <c r="AL31" i="1"/>
  <c r="AJ31" i="1"/>
  <c r="AO30" i="1"/>
  <c r="AN30" i="1"/>
  <c r="AM30" i="1"/>
  <c r="AL30" i="1"/>
  <c r="AK30" i="1"/>
  <c r="AJ30" i="1"/>
  <c r="AO29" i="1"/>
  <c r="AO28" i="1"/>
  <c r="AO27" i="1"/>
  <c r="AM29" i="1"/>
  <c r="AM28" i="1"/>
  <c r="AM27" i="1"/>
  <c r="AN29" i="1"/>
  <c r="AN28" i="1"/>
  <c r="AN27" i="1"/>
  <c r="AL29" i="1"/>
  <c r="AL28" i="1"/>
  <c r="AL27" i="1"/>
  <c r="AK29" i="1"/>
  <c r="AK28" i="1"/>
  <c r="AK27" i="1"/>
  <c r="AJ28" i="1"/>
  <c r="AJ29" i="1"/>
  <c r="AJ27" i="1"/>
  <c r="B3" i="1"/>
  <c r="B4" i="1"/>
  <c r="B5" i="1"/>
  <c r="B7" i="1"/>
  <c r="B8" i="1"/>
  <c r="B9" i="1"/>
  <c r="B10" i="1"/>
  <c r="B12" i="1"/>
  <c r="B13" i="1"/>
  <c r="B14" i="1"/>
  <c r="B15" i="1"/>
  <c r="B16" i="1"/>
  <c r="B2" i="1"/>
  <c r="F17" i="1"/>
  <c r="E17" i="1"/>
  <c r="D17" i="1" l="1"/>
  <c r="L41" i="1"/>
  <c r="K41" i="1"/>
  <c r="M41" i="1" s="1"/>
  <c r="L40" i="1"/>
  <c r="K40" i="1"/>
  <c r="L38" i="1"/>
  <c r="K38" i="1"/>
  <c r="M38" i="1" s="1"/>
  <c r="M40" i="1" l="1"/>
  <c r="M42" i="1" s="1"/>
  <c r="Y33" i="1"/>
  <c r="Y32" i="1"/>
  <c r="Y31" i="1"/>
  <c r="W33" i="1"/>
  <c r="W32" i="1"/>
  <c r="W31" i="1"/>
  <c r="X31" i="1"/>
  <c r="X32" i="1" s="1"/>
  <c r="X33" i="1" s="1"/>
  <c r="V33" i="1"/>
  <c r="V31" i="1"/>
  <c r="V32" i="1" s="1"/>
  <c r="T3" i="1"/>
  <c r="T4" i="1"/>
  <c r="T5" i="1"/>
  <c r="T7" i="1"/>
  <c r="T8" i="1"/>
  <c r="T9" i="1"/>
  <c r="T10" i="1"/>
  <c r="T12" i="1"/>
  <c r="T13" i="1"/>
  <c r="T14" i="1"/>
  <c r="T15" i="1"/>
  <c r="T16" i="1"/>
  <c r="T2" i="1"/>
  <c r="S33" i="1"/>
  <c r="S32" i="1"/>
  <c r="S31" i="1"/>
  <c r="R33" i="1"/>
  <c r="R32" i="1"/>
  <c r="R31" i="1"/>
  <c r="T32" i="1" l="1"/>
  <c r="T31" i="1"/>
  <c r="U31" i="1"/>
  <c r="U33" i="1"/>
  <c r="T33" i="1"/>
  <c r="U32" i="1"/>
  <c r="U17" i="1"/>
  <c r="S17" i="1"/>
  <c r="R17" i="1"/>
  <c r="P17" i="1" l="1"/>
  <c r="Q17" i="1"/>
  <c r="O17" i="1"/>
  <c r="N17" i="1"/>
  <c r="M17" i="1"/>
  <c r="F22" i="1"/>
  <c r="E22" i="1"/>
  <c r="E20" i="1"/>
  <c r="G22" i="1"/>
  <c r="E21" i="1" l="1"/>
  <c r="F21" i="1"/>
  <c r="J20" i="1"/>
  <c r="G21" i="1" l="1"/>
  <c r="K20" i="1"/>
  <c r="F20" i="1"/>
  <c r="G20" i="1" s="1"/>
  <c r="I20" i="1" l="1"/>
  <c r="O20" i="1"/>
  <c r="L20" i="1"/>
  <c r="N20" i="1"/>
  <c r="M20" i="1" l="1"/>
</calcChain>
</file>

<file path=xl/sharedStrings.xml><?xml version="1.0" encoding="utf-8"?>
<sst xmlns="http://schemas.openxmlformats.org/spreadsheetml/2006/main" count="172" uniqueCount="144">
  <si>
    <t>no</t>
    <phoneticPr fontId="3" type="noConversion"/>
  </si>
  <si>
    <t>create</t>
    <phoneticPr fontId="3" type="noConversion"/>
  </si>
  <si>
    <t>data</t>
    <phoneticPr fontId="3" type="noConversion"/>
  </si>
  <si>
    <t>f10-23-1119</t>
    <phoneticPr fontId="3" type="noConversion"/>
  </si>
  <si>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</si>
  <si>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</si>
  <si>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</si>
  <si>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</si>
  <si>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</si>
  <si>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</si>
  <si>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</si>
  <si>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</si>
  <si>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</si>
  <si>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</si>
  <si>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</si>
  <si>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</si>
  <si>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</si>
  <si>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</si>
  <si>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</si>
  <si>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</si>
  <si>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</si>
  <si>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</si>
  <si>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</si>
  <si>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</si>
  <si>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</si>
  <si>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</si>
  <si>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</si>
  <si>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</si>
  <si>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</si>
  <si>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</si>
  <si>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p_test</t>
    <phoneticPr fontId="3" type="noConversion"/>
  </si>
  <si>
    <t>n_test</t>
    <phoneticPr fontId="3" type="noConversion"/>
  </si>
  <si>
    <t>p_pre</t>
    <phoneticPr fontId="3" type="noConversion"/>
  </si>
  <si>
    <t>n_pre</t>
    <phoneticPr fontId="3" type="noConversion"/>
  </si>
  <si>
    <t>acu</t>
    <phoneticPr fontId="3" type="noConversion"/>
  </si>
  <si>
    <t>pre</t>
    <phoneticPr fontId="3" type="noConversion"/>
  </si>
  <si>
    <t>TP</t>
    <phoneticPr fontId="3" type="noConversion"/>
  </si>
  <si>
    <t>TN</t>
    <phoneticPr fontId="3" type="noConversion"/>
  </si>
  <si>
    <t>kappa</t>
    <phoneticPr fontId="3" type="noConversion"/>
  </si>
  <si>
    <t>p0</t>
    <phoneticPr fontId="3" type="noConversion"/>
  </si>
  <si>
    <t>pe</t>
    <phoneticPr fontId="3" type="noConversion"/>
  </si>
  <si>
    <t>正常</t>
    <phoneticPr fontId="3" type="noConversion"/>
  </si>
  <si>
    <t>轻度</t>
    <phoneticPr fontId="3" type="noConversion"/>
  </si>
  <si>
    <t>中度</t>
    <phoneticPr fontId="3" type="noConversion"/>
  </si>
  <si>
    <t>重度</t>
    <phoneticPr fontId="3" type="noConversion"/>
  </si>
  <si>
    <t>人工判断SAHS严重程度</t>
    <phoneticPr fontId="3" type="noConversion"/>
  </si>
  <si>
    <t>模型预测严重程度</t>
    <phoneticPr fontId="3" type="noConversion"/>
  </si>
  <si>
    <t>No. of AH events</t>
    <phoneticPr fontId="3" type="noConversion"/>
  </si>
  <si>
    <t>Estimated</t>
    <phoneticPr fontId="3" type="noConversion"/>
  </si>
  <si>
    <t>Reference</t>
    <phoneticPr fontId="3" type="noConversion"/>
  </si>
  <si>
    <t>AHI(events/h)</t>
    <phoneticPr fontId="3" type="noConversion"/>
  </si>
  <si>
    <t>Group</t>
    <phoneticPr fontId="3" type="noConversion"/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</si>
  <si>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</si>
  <si>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</si>
  <si>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</si>
  <si>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</si>
  <si>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mean</t>
    <phoneticPr fontId="3" type="noConversion"/>
  </si>
  <si>
    <t>std</t>
    <phoneticPr fontId="3" type="noConversion"/>
  </si>
  <si>
    <t>total_estimated</t>
    <phoneticPr fontId="3" type="noConversion"/>
  </si>
  <si>
    <t>73.5±17.1</t>
    <phoneticPr fontId="3" type="noConversion"/>
  </si>
  <si>
    <t>89.5±27.5</t>
    <phoneticPr fontId="3" type="noConversion"/>
  </si>
  <si>
    <t>12.4±1.8</t>
    <phoneticPr fontId="3" type="noConversion"/>
  </si>
  <si>
    <t>14.9±2.7</t>
    <phoneticPr fontId="3" type="noConversion"/>
  </si>
  <si>
    <t>133.2±23.3</t>
    <phoneticPr fontId="3" type="noConversion"/>
  </si>
  <si>
    <t>160.0±38.3</t>
    <phoneticPr fontId="3" type="noConversion"/>
  </si>
  <si>
    <t>23.0±3.6</t>
    <phoneticPr fontId="3" type="noConversion"/>
  </si>
  <si>
    <t>27.6±6.6</t>
    <phoneticPr fontId="3" type="noConversion"/>
  </si>
  <si>
    <t>191.8±70.5</t>
    <phoneticPr fontId="3" type="noConversion"/>
  </si>
  <si>
    <t>216.2±71.0</t>
    <phoneticPr fontId="3" type="noConversion"/>
  </si>
  <si>
    <t>43.8±16.3</t>
    <phoneticPr fontId="3" type="noConversion"/>
  </si>
  <si>
    <t>40.7±14.0</t>
    <phoneticPr fontId="3" type="noConversion"/>
  </si>
  <si>
    <t>p0</t>
    <phoneticPr fontId="3" type="noConversion"/>
  </si>
  <si>
    <t>pe</t>
    <phoneticPr fontId="3" type="noConversion"/>
  </si>
  <si>
    <t>kappa</t>
    <phoneticPr fontId="3" type="noConversion"/>
  </si>
  <si>
    <t>overall</t>
    <phoneticPr fontId="3" type="noConversion"/>
  </si>
  <si>
    <t>≥5</t>
    <phoneticPr fontId="3" type="noConversion"/>
  </si>
  <si>
    <t>≥15</t>
    <phoneticPr fontId="3" type="noConversion"/>
  </si>
  <si>
    <t>≥30</t>
    <phoneticPr fontId="3" type="noConversion"/>
  </si>
  <si>
    <t>UCDDB002</t>
  </si>
  <si>
    <t>M</t>
  </si>
  <si>
    <t>0:11:04</t>
  </si>
  <si>
    <t>UCDDB003</t>
  </si>
  <si>
    <t>23:07:50</t>
  </si>
  <si>
    <t>UCDDB006</t>
  </si>
  <si>
    <t>23:57:14</t>
  </si>
  <si>
    <t>UCDDB007</t>
  </si>
  <si>
    <t>23:30:22</t>
  </si>
  <si>
    <t>F</t>
  </si>
  <si>
    <t>UCDDB010</t>
  </si>
  <si>
    <t>22:51:18</t>
  </si>
  <si>
    <t>UCDDB012</t>
  </si>
  <si>
    <t>23:23:21</t>
  </si>
  <si>
    <t>UCDDB014</t>
  </si>
  <si>
    <t>23:37:59</t>
  </si>
  <si>
    <t>UCDDB019</t>
  </si>
  <si>
    <t>23:30:33</t>
  </si>
  <si>
    <t>UCDDB023</t>
  </si>
  <si>
    <t>22:55:51</t>
  </si>
  <si>
    <t>UCDDB025</t>
  </si>
  <si>
    <t>0:25:37</t>
  </si>
  <si>
    <t>UCDDB026</t>
  </si>
  <si>
    <t>22:58:13</t>
  </si>
  <si>
    <t>UCDDB027</t>
  </si>
  <si>
    <t>22:56:30</t>
  </si>
  <si>
    <t>UCDDB028</t>
  </si>
  <si>
    <t>0:29:08</t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</si>
  <si>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</si>
  <si>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</si>
  <si>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</si>
  <si>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</si>
  <si>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Age</t>
  </si>
  <si>
    <t>Age(years)</t>
    <phoneticPr fontId="3" type="noConversion"/>
  </si>
  <si>
    <t>BMI(kg/m2)</t>
    <phoneticPr fontId="3" type="noConversion"/>
  </si>
  <si>
    <t>AHI(events/h)</t>
    <phoneticPr fontId="3" type="noConversion"/>
  </si>
  <si>
    <t>Epworth Sleepiness Score</t>
  </si>
  <si>
    <t>mean</t>
    <phoneticPr fontId="3" type="noConversion"/>
  </si>
  <si>
    <t>std</t>
    <phoneticPr fontId="3" type="noConversion"/>
  </si>
  <si>
    <t>S/No</t>
  </si>
  <si>
    <t>Study Number</t>
  </si>
  <si>
    <t>Height (cm)</t>
  </si>
  <si>
    <t>Weight (kg)</t>
  </si>
  <si>
    <t>Gender</t>
  </si>
  <si>
    <t>PSG Start Time</t>
  </si>
  <si>
    <t>PSG AHI</t>
  </si>
  <si>
    <t>BMI</t>
  </si>
  <si>
    <t>Study Duration (hr)</t>
  </si>
  <si>
    <t>Sleep Efficiency (%)</t>
  </si>
  <si>
    <t>No of data blocks in EDF</t>
  </si>
  <si>
    <t>Study Duration(hours)</t>
    <phoneticPr fontId="3" type="noConversion"/>
  </si>
  <si>
    <t>49.00±1.63</t>
    <phoneticPr fontId="3" type="noConversion"/>
  </si>
  <si>
    <t>57.50±7.19</t>
    <phoneticPr fontId="3" type="noConversion"/>
  </si>
  <si>
    <t>46.60±5.46</t>
    <phoneticPr fontId="3" type="noConversion"/>
  </si>
  <si>
    <t>28.45±2.72</t>
    <phoneticPr fontId="3" type="noConversion"/>
  </si>
  <si>
    <t>12.40±1.81</t>
    <phoneticPr fontId="3" type="noConversion"/>
  </si>
  <si>
    <t>7.03±0.17</t>
    <phoneticPr fontId="3" type="noConversion"/>
  </si>
  <si>
    <t>14.50±3.87</t>
    <phoneticPr fontId="3" type="noConversion"/>
  </si>
  <si>
    <t>31.45±2.25</t>
    <phoneticPr fontId="3" type="noConversion"/>
  </si>
  <si>
    <t>25.59±3.58</t>
    <phoneticPr fontId="3" type="noConversion"/>
  </si>
  <si>
    <t>6.63±0.43</t>
    <phoneticPr fontId="3" type="noConversion"/>
  </si>
  <si>
    <t>9.25±6.24</t>
    <phoneticPr fontId="3" type="noConversion"/>
  </si>
  <si>
    <t>34.36±6.22</t>
    <phoneticPr fontId="3" type="noConversion"/>
  </si>
  <si>
    <t>43.75±16.34</t>
    <phoneticPr fontId="3" type="noConversion"/>
  </si>
  <si>
    <t>6.84±0.82</t>
    <phoneticPr fontId="3" type="noConversion"/>
  </si>
  <si>
    <t>12.4±7.89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</si>
</sst>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</cellStyleXfs>
  <cellXfs count="17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0" xfId="1" applyAlignment="1"/>
    <xf numFmtId="0" fontId="2" fillId="3" borderId="1" xfId="2" applyBorder="1" applyAlignment="1">
      <alignment horizontal="center" vertical="top"/>
    </xf>
    <xf numFmtId="0" fontId="2" fillId="3" borderId="0" xfId="2" applyAlignmen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6" fillId="5" borderId="1" xfId="4" applyBorder="1" applyAlignment="1">
      <alignment horizontal="center" vertical="top"/>
    </xf>
    <xf numFmtId="0" fontId="6" fillId="5" borderId="0" xfId="4" applyAlignment="1"/>
    <xf numFmtId="0" fontId="5" fillId="4" borderId="1" xfId="3" applyBorder="1" applyAlignment="1">
      <alignment horizontal="center" vertical="top"/>
    </xf>
    <xf numFmtId="0" fontId="5" fillId="4" borderId="0" xfId="3" applyAlignment="1"/>
    <xf numFmtId="0" fontId="7" fillId="6" borderId="2" xfId="5" applyAlignment="1"/>
    <xf numFmtId="0" fontId="6" fillId="5" borderId="0" xfId="4" applyNumberFormat="1" applyAlignment="1"/>
    <xf numFmtId="0" fontId="5" fillId="4" borderId="0" xfId="3" applyNumberFormat="1" applyAlignment="1"/>
    <xf numFmtId="0" fontId="1" fillId="2" borderId="0" xfId="1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差" xfId="3" builtinId="27"/>
    <cellStyle name="常规" xfId="0" builtinId="0"/>
    <cellStyle name="好" xfId="1" builtinId="26"/>
    <cellStyle name="检查单元格" xfId="5" builtinId="23"/>
    <cellStyle name="适中" xfId="4" builtinId="28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2"/>
  <sheetViews>
    <sheetView tabSelected="1" topLeftCell="A4" workbookViewId="0">
      <selection activeCell="L23" sqref="L23"/>
    </sheetView>
  </sheetViews>
  <sheetFormatPr defaultRowHeight="14.25" x14ac:dyDescent="0.2"/>
  <cols>
    <col min="1" max="3" width="9" style="5"/>
    <col min="11" max="11" width="15.25" customWidth="1"/>
    <col min="19" max="19" width="12.75" bestFit="1" customWidth="1"/>
    <col min="20" max="20" width="20.625" style="5" customWidth="1"/>
    <col min="30" max="30" width="24.375" customWidth="1"/>
    <col min="31" max="34" width="14" customWidth="1"/>
  </cols>
  <sheetData>
    <row r="1" spans="1:45" x14ac:dyDescent="0.2">
      <c r="D1" s="5"/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58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5" t="s">
        <v>117</v>
      </c>
      <c r="AG1" s="5" t="s">
        <v>118</v>
      </c>
      <c r="AH1" s="5" t="s">
        <v>119</v>
      </c>
      <c r="AI1" s="5" t="s">
        <v>120</v>
      </c>
      <c r="AJ1" s="5" t="s">
        <v>121</v>
      </c>
      <c r="AK1" s="5" t="s">
        <v>122</v>
      </c>
      <c r="AL1" s="5" t="s">
        <v>123</v>
      </c>
      <c r="AM1" s="5" t="s">
        <v>124</v>
      </c>
      <c r="AN1" s="5" t="s">
        <v>110</v>
      </c>
      <c r="AO1" s="5" t="s">
        <v>114</v>
      </c>
      <c r="AP1" s="5" t="s">
        <v>125</v>
      </c>
      <c r="AQ1" s="5" t="s">
        <v>126</v>
      </c>
      <c r="AR1" s="5"/>
      <c r="AS1" s="5" t="s">
        <v>127</v>
      </c>
    </row>
    <row r="2" spans="1:45" s="8" customFormat="1" x14ac:dyDescent="0.2">
      <c r="A2" s="8">
        <v>1</v>
      </c>
      <c r="B2" s="8">
        <f>C2+1</f>
        <v>1</v>
      </c>
      <c r="C2" s="7">
        <v>0</v>
      </c>
      <c r="D2" s="7">
        <v>0</v>
      </c>
      <c r="E2" s="8">
        <v>7652.5</v>
      </c>
      <c r="F2" s="8">
        <v>1059.5</v>
      </c>
      <c r="G2" s="8">
        <v>0.86585365853658536</v>
      </c>
      <c r="H2" s="8">
        <v>0.82005048854266449</v>
      </c>
      <c r="I2" s="8">
        <v>0.75012065217661184</v>
      </c>
      <c r="J2" s="8">
        <v>0.81927547399939216</v>
      </c>
      <c r="K2" s="8">
        <v>0.86399859279880076</v>
      </c>
      <c r="L2" s="8">
        <v>0.63548391413735883</v>
      </c>
      <c r="M2" s="8">
        <v>0.92570189454462448</v>
      </c>
      <c r="N2" s="8">
        <v>0.7873345935727788</v>
      </c>
      <c r="O2" s="8">
        <v>0.63548391413735883</v>
      </c>
      <c r="P2" s="8">
        <v>0.78260869565217395</v>
      </c>
      <c r="Q2" s="8">
        <v>0.87378640776699035</v>
      </c>
      <c r="R2" s="8">
        <v>25</v>
      </c>
      <c r="S2" s="8">
        <v>13</v>
      </c>
      <c r="T2" s="8">
        <f>U2-S2+R2</f>
        <v>115</v>
      </c>
      <c r="U2" s="8">
        <v>103</v>
      </c>
      <c r="V2" s="8">
        <v>2116</v>
      </c>
      <c r="W2" s="8">
        <v>15408</v>
      </c>
      <c r="X2" s="8">
        <v>16222</v>
      </c>
      <c r="Y2" s="8">
        <v>1666</v>
      </c>
      <c r="Z2" s="8">
        <v>21.14748488650622</v>
      </c>
      <c r="AA2" s="8">
        <v>23.61126953347781</v>
      </c>
      <c r="AB2" s="8">
        <v>2</v>
      </c>
      <c r="AC2" s="8">
        <v>2</v>
      </c>
      <c r="AE2" s="8" t="s">
        <v>0</v>
      </c>
      <c r="AF2" s="8">
        <v>1</v>
      </c>
      <c r="AG2" s="8" t="s">
        <v>78</v>
      </c>
      <c r="AH2" s="8">
        <v>172</v>
      </c>
      <c r="AI2" s="8">
        <v>100.3</v>
      </c>
      <c r="AJ2" s="8" t="s">
        <v>79</v>
      </c>
      <c r="AK2" s="8" t="s">
        <v>80</v>
      </c>
      <c r="AL2" s="8">
        <v>23</v>
      </c>
      <c r="AM2" s="8">
        <v>33.9</v>
      </c>
      <c r="AN2" s="8">
        <v>54</v>
      </c>
      <c r="AO2" s="12">
        <v>16</v>
      </c>
      <c r="AP2" s="8">
        <v>6.2</v>
      </c>
      <c r="AQ2" s="8">
        <v>84</v>
      </c>
      <c r="AS2" s="8">
        <v>22470</v>
      </c>
    </row>
    <row r="3" spans="1:45" s="10" customFormat="1" x14ac:dyDescent="0.2">
      <c r="A3" s="10">
        <v>2</v>
      </c>
      <c r="B3" s="10">
        <f t="shared" ref="B3:B16" si="0">C3+1</f>
        <v>2</v>
      </c>
      <c r="C3" s="9">
        <v>1</v>
      </c>
      <c r="D3" s="9">
        <v>1</v>
      </c>
      <c r="E3" s="10">
        <v>8798.5</v>
      </c>
      <c r="F3" s="10">
        <v>2303.5</v>
      </c>
      <c r="G3" s="10">
        <v>0.79449986272535922</v>
      </c>
      <c r="H3" s="10">
        <v>0.91542400988016603</v>
      </c>
      <c r="I3" s="10">
        <v>0.69985259671417843</v>
      </c>
      <c r="J3" s="10">
        <v>0.82271470120586887</v>
      </c>
      <c r="K3" s="10">
        <v>0.70147755522108968</v>
      </c>
      <c r="L3" s="10">
        <v>0.5952618486436837</v>
      </c>
      <c r="M3" s="10">
        <v>0.87746592539454804</v>
      </c>
      <c r="N3" s="10">
        <v>0.78163663989581067</v>
      </c>
      <c r="O3" s="10">
        <v>0.5952618486436837</v>
      </c>
      <c r="P3" s="10">
        <v>0.84674329501915713</v>
      </c>
      <c r="Q3" s="10">
        <v>0.88400000000000001</v>
      </c>
      <c r="R3" s="10">
        <v>40</v>
      </c>
      <c r="S3" s="10">
        <v>29</v>
      </c>
      <c r="T3" s="10">
        <f t="shared" ref="T3:T16" si="1">U3-S3+R3</f>
        <v>261</v>
      </c>
      <c r="U3" s="10">
        <v>250</v>
      </c>
      <c r="V3" s="10">
        <v>4607</v>
      </c>
      <c r="W3" s="10">
        <v>17697</v>
      </c>
      <c r="X3" s="10">
        <v>19571</v>
      </c>
      <c r="Y3" s="10">
        <v>3601</v>
      </c>
      <c r="Z3" s="10">
        <v>40.333422963162143</v>
      </c>
      <c r="AA3" s="10">
        <v>42.108093573541282</v>
      </c>
      <c r="AB3" s="10">
        <v>3</v>
      </c>
      <c r="AC3" s="10">
        <v>3</v>
      </c>
      <c r="AE3" s="10" t="s">
        <v>1</v>
      </c>
      <c r="AF3" s="10">
        <v>2</v>
      </c>
      <c r="AG3" s="10" t="s">
        <v>81</v>
      </c>
      <c r="AH3" s="10">
        <v>179</v>
      </c>
      <c r="AI3" s="10">
        <v>102</v>
      </c>
      <c r="AJ3" s="10" t="s">
        <v>79</v>
      </c>
      <c r="AK3" s="10" t="s">
        <v>82</v>
      </c>
      <c r="AL3" s="10">
        <v>51</v>
      </c>
      <c r="AM3" s="10">
        <v>31.8</v>
      </c>
      <c r="AN3" s="10">
        <v>48</v>
      </c>
      <c r="AO3" s="13">
        <v>13</v>
      </c>
      <c r="AP3" s="10">
        <v>7.3</v>
      </c>
      <c r="AQ3" s="10">
        <v>81</v>
      </c>
      <c r="AS3" s="10">
        <v>26478</v>
      </c>
    </row>
    <row r="4" spans="1:45" s="8" customFormat="1" x14ac:dyDescent="0.2">
      <c r="A4" s="8">
        <v>4</v>
      </c>
      <c r="B4" s="8">
        <f t="shared" si="0"/>
        <v>3</v>
      </c>
      <c r="C4" s="7">
        <v>2</v>
      </c>
      <c r="D4" s="7">
        <v>2</v>
      </c>
      <c r="E4" s="8">
        <v>8387</v>
      </c>
      <c r="F4" s="8">
        <v>933</v>
      </c>
      <c r="G4" s="8">
        <v>0.86057955166757794</v>
      </c>
      <c r="H4" s="8">
        <v>0.86927642034167651</v>
      </c>
      <c r="I4" s="8">
        <v>0.68171716876201827</v>
      </c>
      <c r="J4" s="8">
        <v>0.79790920541732102</v>
      </c>
      <c r="K4" s="8">
        <v>0.85473756382528032</v>
      </c>
      <c r="L4" s="8">
        <v>0.51758911030030874</v>
      </c>
      <c r="M4" s="8">
        <v>0.90747065101387403</v>
      </c>
      <c r="N4" s="8">
        <v>0.82622773880194278</v>
      </c>
      <c r="O4" s="8">
        <v>0.51267751894470948</v>
      </c>
      <c r="P4" s="8">
        <v>0.80281690140845074</v>
      </c>
      <c r="Q4" s="8">
        <v>0.89763779527559051</v>
      </c>
      <c r="R4" s="8">
        <v>28</v>
      </c>
      <c r="S4" s="8">
        <v>13</v>
      </c>
      <c r="T4" s="8">
        <f t="shared" si="1"/>
        <v>142</v>
      </c>
      <c r="U4" s="8">
        <v>127</v>
      </c>
      <c r="V4" s="8">
        <v>1853</v>
      </c>
      <c r="W4" s="8">
        <v>16887</v>
      </c>
      <c r="X4" s="8">
        <v>17006</v>
      </c>
      <c r="Y4" s="8">
        <v>1531</v>
      </c>
      <c r="Z4" s="8">
        <v>24.384</v>
      </c>
      <c r="AA4" s="8">
        <v>27.263999999999999</v>
      </c>
      <c r="AB4" s="8">
        <v>2</v>
      </c>
      <c r="AC4" s="8">
        <v>2</v>
      </c>
      <c r="AE4" s="8" t="s">
        <v>2</v>
      </c>
      <c r="AF4" s="8">
        <v>4</v>
      </c>
      <c r="AG4" s="8" t="s">
        <v>83</v>
      </c>
      <c r="AH4" s="8">
        <v>185</v>
      </c>
      <c r="AI4" s="8">
        <v>103.5</v>
      </c>
      <c r="AJ4" s="8" t="s">
        <v>79</v>
      </c>
      <c r="AK4" s="8" t="s">
        <v>84</v>
      </c>
      <c r="AL4" s="8">
        <v>31</v>
      </c>
      <c r="AM4" s="8">
        <v>30.2</v>
      </c>
      <c r="AN4" s="8">
        <v>52</v>
      </c>
      <c r="AO4" s="12">
        <v>3</v>
      </c>
      <c r="AP4" s="8">
        <v>6.7</v>
      </c>
      <c r="AQ4" s="8">
        <v>89</v>
      </c>
      <c r="AS4" s="8">
        <v>24267</v>
      </c>
    </row>
    <row r="5" spans="1:45" s="2" customFormat="1" x14ac:dyDescent="0.2">
      <c r="A5" s="2">
        <v>5</v>
      </c>
      <c r="B5" s="8">
        <f t="shared" si="0"/>
        <v>4</v>
      </c>
      <c r="C5" s="1">
        <v>3</v>
      </c>
      <c r="D5" s="1">
        <v>3</v>
      </c>
      <c r="E5" s="2">
        <v>10596</v>
      </c>
      <c r="F5" s="2">
        <v>683</v>
      </c>
      <c r="G5" s="2">
        <v>0.82522931694719026</v>
      </c>
      <c r="H5" s="2">
        <v>0.64118935186655857</v>
      </c>
      <c r="I5" s="2">
        <v>0.53874578260508577</v>
      </c>
      <c r="J5" s="2">
        <v>0.83389635296667264</v>
      </c>
      <c r="K5" s="2">
        <v>0.74382974545878466</v>
      </c>
      <c r="L5" s="2">
        <v>0.53395275586106461</v>
      </c>
      <c r="M5" s="2">
        <v>0.93591667402242029</v>
      </c>
      <c r="N5" s="2">
        <v>0.62079062957540265</v>
      </c>
      <c r="O5" s="2">
        <v>0.53395275586106461</v>
      </c>
      <c r="P5" s="2">
        <v>0.58024691358024694</v>
      </c>
      <c r="Q5" s="2">
        <v>0.71212121212121215</v>
      </c>
      <c r="R5" s="2">
        <v>34</v>
      </c>
      <c r="S5" s="2">
        <v>19</v>
      </c>
      <c r="T5" s="2">
        <f t="shared" si="1"/>
        <v>81</v>
      </c>
      <c r="U5" s="2">
        <v>66</v>
      </c>
      <c r="V5" s="2">
        <v>1366</v>
      </c>
      <c r="W5" s="2">
        <v>21292</v>
      </c>
      <c r="X5" s="2">
        <v>21206</v>
      </c>
      <c r="Y5" s="2">
        <v>848</v>
      </c>
      <c r="Z5" s="2">
        <v>10.48173636844891</v>
      </c>
      <c r="AA5" s="2">
        <v>12.863949179460031</v>
      </c>
      <c r="AB5" s="2">
        <v>1</v>
      </c>
      <c r="AC5" s="2">
        <v>1</v>
      </c>
      <c r="AF5" s="2">
        <v>5</v>
      </c>
      <c r="AG5" s="2" t="s">
        <v>85</v>
      </c>
      <c r="AH5" s="2">
        <v>183</v>
      </c>
      <c r="AI5" s="2">
        <v>84</v>
      </c>
      <c r="AJ5" s="2" t="s">
        <v>79</v>
      </c>
      <c r="AK5" s="2" t="s">
        <v>86</v>
      </c>
      <c r="AL5" s="2">
        <v>12</v>
      </c>
      <c r="AM5" s="2">
        <v>25.1</v>
      </c>
      <c r="AN5" s="2">
        <v>47</v>
      </c>
      <c r="AO5" s="14">
        <v>15</v>
      </c>
      <c r="AP5" s="2">
        <v>6.8</v>
      </c>
      <c r="AQ5" s="2">
        <v>90</v>
      </c>
      <c r="AS5" s="2">
        <v>24405</v>
      </c>
    </row>
    <row r="6" spans="1:45" s="5" customFormat="1" x14ac:dyDescent="0.2">
      <c r="A6" s="5">
        <v>6</v>
      </c>
      <c r="B6" s="5">
        <v>5</v>
      </c>
      <c r="C6" s="5">
        <v>4</v>
      </c>
      <c r="D6" s="5">
        <v>4</v>
      </c>
      <c r="E6" s="5">
        <v>8991</v>
      </c>
      <c r="F6" s="5">
        <v>113</v>
      </c>
      <c r="G6" s="5">
        <v>0.852730928180498</v>
      </c>
      <c r="H6" s="5">
        <v>0.16302652106084201</v>
      </c>
      <c r="I6" s="5">
        <v>7.20192970365265E-2</v>
      </c>
      <c r="J6" s="5">
        <v>0.86769099445155695</v>
      </c>
      <c r="K6" s="5">
        <v>3.9215686274509803E-2</v>
      </c>
      <c r="L6" s="5">
        <v>6.1162079510703304E-3</v>
      </c>
      <c r="M6" s="5">
        <v>0.96684147274117704</v>
      </c>
      <c r="N6" s="5">
        <v>1.9230769230769201E-2</v>
      </c>
      <c r="O6" s="5">
        <v>6.1162079510703304E-3</v>
      </c>
      <c r="P6" s="5">
        <v>0.04</v>
      </c>
      <c r="Q6" s="5">
        <v>6.25E-2</v>
      </c>
      <c r="R6" s="5">
        <v>24</v>
      </c>
      <c r="S6" s="5">
        <v>15</v>
      </c>
      <c r="T6" s="5">
        <f t="shared" si="1"/>
        <v>25</v>
      </c>
      <c r="U6" s="5">
        <v>16</v>
      </c>
      <c r="V6" s="5">
        <v>208</v>
      </c>
      <c r="W6" s="5">
        <v>18098</v>
      </c>
      <c r="X6" s="5">
        <v>17699</v>
      </c>
      <c r="Y6" s="5">
        <v>4</v>
      </c>
      <c r="Z6" s="5">
        <v>3.1447914391788498</v>
      </c>
      <c r="AA6" s="5">
        <v>4.91373662371696</v>
      </c>
      <c r="AB6" s="5">
        <v>0</v>
      </c>
      <c r="AC6" s="5">
        <v>0</v>
      </c>
    </row>
    <row r="7" spans="1:45" s="10" customFormat="1" x14ac:dyDescent="0.2">
      <c r="A7" s="10">
        <v>8</v>
      </c>
      <c r="B7" s="10">
        <f t="shared" si="0"/>
        <v>7</v>
      </c>
      <c r="C7" s="9">
        <v>6</v>
      </c>
      <c r="D7" s="9">
        <v>6</v>
      </c>
      <c r="E7" s="10">
        <v>9845</v>
      </c>
      <c r="F7" s="10">
        <v>1600</v>
      </c>
      <c r="G7" s="10">
        <v>0.73216826752045527</v>
      </c>
      <c r="H7" s="10">
        <v>0.84757909856101277</v>
      </c>
      <c r="I7" s="10">
        <v>0.55270111771525343</v>
      </c>
      <c r="J7" s="10">
        <v>0.69624592896920467</v>
      </c>
      <c r="K7" s="10">
        <v>0.72454146528013341</v>
      </c>
      <c r="L7" s="10">
        <v>0.41617694832253882</v>
      </c>
      <c r="M7" s="10">
        <v>0.8089002958065078</v>
      </c>
      <c r="N7" s="10">
        <v>0.70942325874566659</v>
      </c>
      <c r="O7" s="10">
        <v>0.41617694832253882</v>
      </c>
      <c r="P7" s="10">
        <v>0.6015325670498084</v>
      </c>
      <c r="Q7" s="10">
        <v>0.80927835051546393</v>
      </c>
      <c r="R7" s="10">
        <v>104</v>
      </c>
      <c r="S7" s="10">
        <v>37</v>
      </c>
      <c r="T7" s="10">
        <f t="shared" si="1"/>
        <v>261</v>
      </c>
      <c r="U7" s="10">
        <v>194</v>
      </c>
      <c r="V7" s="10">
        <v>3173</v>
      </c>
      <c r="W7" s="10">
        <v>19815</v>
      </c>
      <c r="X7" s="10">
        <v>18595</v>
      </c>
      <c r="Y7" s="10">
        <v>2251</v>
      </c>
      <c r="Z7" s="10">
        <v>30.367858074615182</v>
      </c>
      <c r="AA7" s="10">
        <v>40.855726584920433</v>
      </c>
      <c r="AB7" s="10">
        <v>3</v>
      </c>
      <c r="AC7" s="10">
        <v>3</v>
      </c>
      <c r="AF7" s="10">
        <v>8</v>
      </c>
      <c r="AG7" s="10" t="s">
        <v>88</v>
      </c>
      <c r="AH7" s="10">
        <v>174</v>
      </c>
      <c r="AI7" s="10">
        <v>119</v>
      </c>
      <c r="AJ7" s="10" t="s">
        <v>79</v>
      </c>
      <c r="AK7" s="10" t="s">
        <v>89</v>
      </c>
      <c r="AL7" s="10">
        <v>34</v>
      </c>
      <c r="AM7" s="10">
        <v>39.299999999999997</v>
      </c>
      <c r="AN7" s="10">
        <v>38</v>
      </c>
      <c r="AO7" s="13">
        <v>2</v>
      </c>
      <c r="AP7" s="10">
        <v>7.6</v>
      </c>
      <c r="AQ7" s="10">
        <v>92</v>
      </c>
      <c r="AS7" s="10">
        <v>27211</v>
      </c>
    </row>
    <row r="8" spans="1:45" s="2" customFormat="1" ht="15" thickBot="1" x14ac:dyDescent="0.25">
      <c r="A8" s="2">
        <v>10</v>
      </c>
      <c r="B8" s="8">
        <f t="shared" si="0"/>
        <v>8</v>
      </c>
      <c r="C8" s="1">
        <v>7</v>
      </c>
      <c r="D8" s="1">
        <v>7</v>
      </c>
      <c r="E8" s="2">
        <v>7446.5</v>
      </c>
      <c r="F8" s="2">
        <v>677.5</v>
      </c>
      <c r="G8" s="2">
        <v>0.88156717371852233</v>
      </c>
      <c r="H8" s="2">
        <v>0.75043126486223533</v>
      </c>
      <c r="I8" s="2">
        <v>0.70273522797196708</v>
      </c>
      <c r="J8" s="2">
        <v>0.77668697587625624</v>
      </c>
      <c r="K8" s="2">
        <v>0.87848239032955555</v>
      </c>
      <c r="L8" s="2">
        <v>0.57243158222745416</v>
      </c>
      <c r="M8" s="2">
        <v>0.93301113422243975</v>
      </c>
      <c r="N8" s="2">
        <v>0.77919161676646709</v>
      </c>
      <c r="O8" s="2">
        <v>0.5648732298926189</v>
      </c>
      <c r="P8" s="2">
        <v>0.76666666666666661</v>
      </c>
      <c r="Q8" s="2">
        <v>0.77966101694915257</v>
      </c>
      <c r="R8" s="2">
        <v>14</v>
      </c>
      <c r="S8" s="2">
        <v>13</v>
      </c>
      <c r="T8" s="2">
        <f t="shared" si="1"/>
        <v>60</v>
      </c>
      <c r="U8" s="2">
        <v>59</v>
      </c>
      <c r="V8" s="2">
        <v>1336</v>
      </c>
      <c r="W8" s="2">
        <v>15010</v>
      </c>
      <c r="X8" s="2">
        <v>15251</v>
      </c>
      <c r="Y8" s="2">
        <v>1041</v>
      </c>
      <c r="Z8" s="2">
        <v>12.986060161408661</v>
      </c>
      <c r="AA8" s="2">
        <v>13.206162876008809</v>
      </c>
      <c r="AB8" s="2">
        <v>1</v>
      </c>
      <c r="AC8" s="2">
        <v>1</v>
      </c>
      <c r="AE8" s="2" t="s">
        <v>3</v>
      </c>
      <c r="AF8" s="2">
        <v>10</v>
      </c>
      <c r="AG8" s="2" t="s">
        <v>90</v>
      </c>
      <c r="AH8" s="2">
        <v>179</v>
      </c>
      <c r="AI8" s="2">
        <v>97.5</v>
      </c>
      <c r="AJ8" s="2" t="s">
        <v>79</v>
      </c>
      <c r="AK8" s="2" t="s">
        <v>91</v>
      </c>
      <c r="AL8" s="2">
        <v>25</v>
      </c>
      <c r="AM8" s="2">
        <v>30.4</v>
      </c>
      <c r="AN8" s="2">
        <v>51</v>
      </c>
      <c r="AO8" s="14">
        <v>16</v>
      </c>
      <c r="AP8" s="2">
        <v>7.2</v>
      </c>
      <c r="AQ8" s="2">
        <v>85</v>
      </c>
      <c r="AS8" s="2">
        <v>25941</v>
      </c>
    </row>
    <row r="9" spans="1:45" s="8" customFormat="1" ht="15.75" thickTop="1" thickBot="1" x14ac:dyDescent="0.25">
      <c r="A9" s="8">
        <v>12</v>
      </c>
      <c r="B9" s="8">
        <f t="shared" si="0"/>
        <v>10</v>
      </c>
      <c r="C9" s="7">
        <v>9</v>
      </c>
      <c r="D9" s="7">
        <v>9</v>
      </c>
      <c r="E9" s="8">
        <v>7949</v>
      </c>
      <c r="F9" s="8">
        <v>2013</v>
      </c>
      <c r="G9" s="8">
        <v>0.81999796147181736</v>
      </c>
      <c r="H9" s="8">
        <v>0.89088650777110001</v>
      </c>
      <c r="I9" s="8">
        <v>0.77396128386435681</v>
      </c>
      <c r="J9" s="8">
        <v>0.82191900068545687</v>
      </c>
      <c r="K9" s="8">
        <v>0.77192092636237497</v>
      </c>
      <c r="L9" s="8">
        <v>0.70604479407236331</v>
      </c>
      <c r="M9" s="8">
        <v>0.88048147038257918</v>
      </c>
      <c r="N9" s="8">
        <v>0.72455834784772333</v>
      </c>
      <c r="O9" s="8">
        <v>0.70604479407236331</v>
      </c>
      <c r="P9" s="8">
        <v>0.75268817204301075</v>
      </c>
      <c r="Q9" s="8">
        <v>0.90909090909090906</v>
      </c>
      <c r="R9" s="8">
        <v>46</v>
      </c>
      <c r="S9" s="8">
        <v>14</v>
      </c>
      <c r="T9" s="8">
        <f t="shared" si="1"/>
        <v>186</v>
      </c>
      <c r="U9" s="8">
        <v>154</v>
      </c>
      <c r="V9" s="8">
        <v>4019</v>
      </c>
      <c r="W9" s="8">
        <v>16003</v>
      </c>
      <c r="X9" s="8">
        <v>17629</v>
      </c>
      <c r="Y9" s="8">
        <v>2912</v>
      </c>
      <c r="Z9" s="8">
        <v>27.675718849840251</v>
      </c>
      <c r="AA9" s="8">
        <v>33.426517571884979</v>
      </c>
      <c r="AB9" s="11">
        <v>2</v>
      </c>
      <c r="AC9" s="11">
        <v>3</v>
      </c>
      <c r="AF9" s="8">
        <v>12</v>
      </c>
      <c r="AG9" s="8" t="s">
        <v>92</v>
      </c>
      <c r="AH9" s="8">
        <v>177</v>
      </c>
      <c r="AI9" s="8">
        <v>91</v>
      </c>
      <c r="AJ9" s="8" t="s">
        <v>79</v>
      </c>
      <c r="AK9" s="8" t="s">
        <v>93</v>
      </c>
      <c r="AL9" s="8">
        <v>36</v>
      </c>
      <c r="AM9" s="8">
        <v>29</v>
      </c>
      <c r="AN9" s="8">
        <v>56</v>
      </c>
      <c r="AO9" s="12">
        <v>5</v>
      </c>
      <c r="AP9" s="8">
        <v>6.4</v>
      </c>
      <c r="AQ9" s="8">
        <v>79</v>
      </c>
      <c r="AS9" s="8">
        <v>23239</v>
      </c>
    </row>
    <row r="10" spans="1:45" s="4" customFormat="1" ht="15.75" thickTop="1" thickBot="1" x14ac:dyDescent="0.25">
      <c r="A10" s="4">
        <v>16</v>
      </c>
      <c r="B10" s="8">
        <f t="shared" si="0"/>
        <v>14</v>
      </c>
      <c r="C10" s="3">
        <v>13</v>
      </c>
      <c r="D10" s="3">
        <v>12</v>
      </c>
      <c r="E10" s="4">
        <v>11178.5</v>
      </c>
      <c r="F10" s="4">
        <v>813.5</v>
      </c>
      <c r="G10" s="4">
        <v>0.88304362360020061</v>
      </c>
      <c r="H10" s="4">
        <v>0.81885659799482546</v>
      </c>
      <c r="I10" s="4">
        <v>0.69221369537696997</v>
      </c>
      <c r="J10" s="4">
        <v>0.70282550999715576</v>
      </c>
      <c r="K10" s="4">
        <v>0.88690500978636577</v>
      </c>
      <c r="L10" s="4">
        <v>0.40636617704903982</v>
      </c>
      <c r="M10" s="4">
        <v>0.90598787476123244</v>
      </c>
      <c r="N10" s="4">
        <v>0.79963122311001844</v>
      </c>
      <c r="O10" s="4">
        <v>0.40636617704903982</v>
      </c>
      <c r="P10" s="4">
        <v>0.66666666666666674</v>
      </c>
      <c r="Q10" s="4">
        <v>0.85714285714285721</v>
      </c>
      <c r="R10" s="4">
        <v>42</v>
      </c>
      <c r="S10" s="4">
        <v>14</v>
      </c>
      <c r="T10" s="2">
        <f t="shared" si="1"/>
        <v>126</v>
      </c>
      <c r="U10" s="4">
        <v>98</v>
      </c>
      <c r="V10" s="4">
        <v>1627</v>
      </c>
      <c r="W10" s="4">
        <v>22455</v>
      </c>
      <c r="X10" s="4">
        <v>21818</v>
      </c>
      <c r="Y10" s="4">
        <v>1301</v>
      </c>
      <c r="Z10" s="2">
        <v>14.64386518346339</v>
      </c>
      <c r="AA10" s="2">
        <v>18.827826664452932</v>
      </c>
      <c r="AB10" s="11">
        <v>1</v>
      </c>
      <c r="AC10" s="11">
        <v>2</v>
      </c>
      <c r="AF10" s="2">
        <v>16</v>
      </c>
      <c r="AG10" s="2" t="s">
        <v>94</v>
      </c>
      <c r="AH10" s="2">
        <v>178</v>
      </c>
      <c r="AI10" s="2">
        <v>97.8</v>
      </c>
      <c r="AJ10" s="2" t="s">
        <v>79</v>
      </c>
      <c r="AK10" s="2" t="s">
        <v>95</v>
      </c>
      <c r="AL10" s="2">
        <v>16</v>
      </c>
      <c r="AM10" s="2">
        <v>30.9</v>
      </c>
      <c r="AN10" s="2">
        <v>49</v>
      </c>
      <c r="AO10" s="14">
        <v>18</v>
      </c>
      <c r="AP10" s="2">
        <v>7.1</v>
      </c>
      <c r="AQ10" s="2">
        <v>92</v>
      </c>
      <c r="AR10" s="2"/>
      <c r="AS10" s="2">
        <v>25573</v>
      </c>
    </row>
    <row r="11" spans="1:45" s="5" customFormat="1" ht="15.75" thickTop="1" thickBot="1" x14ac:dyDescent="0.25">
      <c r="A11" s="5">
        <v>18</v>
      </c>
      <c r="B11" s="5">
        <v>16</v>
      </c>
      <c r="C11" s="5">
        <v>15</v>
      </c>
      <c r="D11" s="5">
        <v>14</v>
      </c>
      <c r="E11" s="5">
        <v>9100.5</v>
      </c>
      <c r="F11" s="5">
        <v>213.5</v>
      </c>
      <c r="G11" s="5">
        <v>0.9059136802396538</v>
      </c>
      <c r="H11" s="5">
        <v>0.25330396475770928</v>
      </c>
      <c r="I11" s="5">
        <v>0.224609375</v>
      </c>
      <c r="J11" s="5">
        <v>0.46128608923884512</v>
      </c>
      <c r="K11" s="5">
        <v>0.1583333333333333</v>
      </c>
      <c r="L11" s="5">
        <v>0.25675675675675669</v>
      </c>
      <c r="M11" s="5">
        <v>0.9763964541279504</v>
      </c>
      <c r="N11" s="5">
        <v>4.3678160919540229E-2</v>
      </c>
      <c r="O11" s="5">
        <v>0.25675675675675669</v>
      </c>
      <c r="P11" s="5">
        <v>1</v>
      </c>
      <c r="Q11" s="5">
        <v>7.6923076923076872E-2</v>
      </c>
      <c r="R11" s="5">
        <v>0</v>
      </c>
      <c r="S11" s="5">
        <v>24</v>
      </c>
      <c r="T11" s="5">
        <f t="shared" si="1"/>
        <v>2</v>
      </c>
      <c r="U11" s="5">
        <v>26</v>
      </c>
      <c r="V11" s="5">
        <v>435</v>
      </c>
      <c r="W11" s="5">
        <v>18291</v>
      </c>
      <c r="X11" s="5">
        <v>18284</v>
      </c>
      <c r="Y11" s="5">
        <v>19</v>
      </c>
      <c r="Z11" s="5">
        <v>4.995730145175064</v>
      </c>
      <c r="AA11" s="5">
        <v>0.38428693424423571</v>
      </c>
      <c r="AB11" s="5">
        <v>0</v>
      </c>
      <c r="AC11" s="5">
        <v>0</v>
      </c>
    </row>
    <row r="12" spans="1:45" s="8" customFormat="1" ht="15.75" thickTop="1" thickBot="1" x14ac:dyDescent="0.25">
      <c r="A12" s="8">
        <v>20</v>
      </c>
      <c r="B12" s="8">
        <f t="shared" si="0"/>
        <v>18</v>
      </c>
      <c r="C12" s="7">
        <v>17</v>
      </c>
      <c r="D12" s="7">
        <v>16</v>
      </c>
      <c r="E12" s="8">
        <v>7897.5</v>
      </c>
      <c r="F12" s="8">
        <v>1242.5</v>
      </c>
      <c r="G12" s="8">
        <v>0.79274730319026854</v>
      </c>
      <c r="H12" s="8">
        <v>0.75500597434014027</v>
      </c>
      <c r="I12" s="8">
        <v>0.72845143698688597</v>
      </c>
      <c r="J12" s="8">
        <v>0.69862745267557835</v>
      </c>
      <c r="K12" s="8">
        <v>0.86875529910892491</v>
      </c>
      <c r="L12" s="8">
        <v>0.45400762927418192</v>
      </c>
      <c r="M12" s="8">
        <v>0.84057024703449779</v>
      </c>
      <c r="N12" s="8">
        <v>0.7709429380817483</v>
      </c>
      <c r="O12" s="8">
        <v>0.451671180676051</v>
      </c>
      <c r="P12" s="8">
        <v>0.64467005076142136</v>
      </c>
      <c r="Q12" s="8">
        <v>0.8523489932885906</v>
      </c>
      <c r="R12" s="8">
        <v>70</v>
      </c>
      <c r="S12" s="8">
        <v>22</v>
      </c>
      <c r="T12" s="8">
        <f t="shared" si="1"/>
        <v>197</v>
      </c>
      <c r="U12" s="8">
        <v>149</v>
      </c>
      <c r="V12" s="8">
        <v>2471</v>
      </c>
      <c r="W12" s="8">
        <v>15907</v>
      </c>
      <c r="X12" s="8">
        <v>15448</v>
      </c>
      <c r="Y12" s="8">
        <v>1905</v>
      </c>
      <c r="Z12" s="8">
        <v>29.171198607787691</v>
      </c>
      <c r="AA12" s="8">
        <v>38.568631716336739</v>
      </c>
      <c r="AB12" s="11">
        <v>2</v>
      </c>
      <c r="AC12" s="11">
        <v>3</v>
      </c>
      <c r="AF12" s="8">
        <v>20</v>
      </c>
      <c r="AG12" s="8" t="s">
        <v>96</v>
      </c>
      <c r="AH12" s="8">
        <v>165</v>
      </c>
      <c r="AI12" s="8">
        <v>89</v>
      </c>
      <c r="AJ12" s="8" t="s">
        <v>87</v>
      </c>
      <c r="AK12" s="8" t="s">
        <v>97</v>
      </c>
      <c r="AL12" s="8">
        <v>39</v>
      </c>
      <c r="AM12" s="8">
        <v>32.700000000000003</v>
      </c>
      <c r="AN12" s="8">
        <v>68</v>
      </c>
      <c r="AO12" s="12">
        <v>13</v>
      </c>
      <c r="AP12" s="8">
        <v>7.2</v>
      </c>
      <c r="AQ12" s="8">
        <v>67</v>
      </c>
      <c r="AS12" s="8">
        <v>25850</v>
      </c>
    </row>
    <row r="13" spans="1:45" s="10" customFormat="1" ht="16.5" customHeight="1" thickTop="1" x14ac:dyDescent="0.2">
      <c r="A13" s="10">
        <v>22</v>
      </c>
      <c r="B13" s="10">
        <f t="shared" si="0"/>
        <v>20</v>
      </c>
      <c r="C13" s="9">
        <v>19</v>
      </c>
      <c r="D13" s="9">
        <v>18</v>
      </c>
      <c r="E13" s="10">
        <v>1461.5</v>
      </c>
      <c r="F13" s="10">
        <v>1076.5</v>
      </c>
      <c r="G13" s="10">
        <v>0.77541998231653397</v>
      </c>
      <c r="H13" s="10">
        <v>0.95922066153149066</v>
      </c>
      <c r="I13" s="10">
        <v>0.81458434174266037</v>
      </c>
      <c r="J13" s="10">
        <v>0.75151722685158462</v>
      </c>
      <c r="K13" s="10">
        <v>0.74038679673321228</v>
      </c>
      <c r="L13" s="10">
        <v>0.67502318683574147</v>
      </c>
      <c r="M13" s="10">
        <v>0.7423656745264785</v>
      </c>
      <c r="N13" s="10">
        <v>0.71996303142329021</v>
      </c>
      <c r="O13" s="10">
        <v>0.67311114094664015</v>
      </c>
      <c r="P13" s="10">
        <v>0.86792452830188682</v>
      </c>
      <c r="Q13" s="10">
        <v>0.89320388349514568</v>
      </c>
      <c r="R13" s="10">
        <v>14</v>
      </c>
      <c r="S13" s="10">
        <v>11</v>
      </c>
      <c r="T13" s="10">
        <f t="shared" si="1"/>
        <v>106</v>
      </c>
      <c r="U13" s="10">
        <v>103</v>
      </c>
      <c r="V13" s="10">
        <v>2164</v>
      </c>
      <c r="W13" s="10">
        <v>3010</v>
      </c>
      <c r="X13" s="10">
        <v>3841</v>
      </c>
      <c r="Y13" s="10">
        <v>1558</v>
      </c>
      <c r="Z13" s="10">
        <v>71.527777777777786</v>
      </c>
      <c r="AA13" s="10">
        <v>73.611111111111114</v>
      </c>
      <c r="AB13" s="10">
        <v>3</v>
      </c>
      <c r="AC13" s="10">
        <v>3</v>
      </c>
      <c r="AF13" s="10">
        <v>22</v>
      </c>
      <c r="AG13" s="10" t="s">
        <v>98</v>
      </c>
      <c r="AH13" s="10">
        <v>174</v>
      </c>
      <c r="AI13" s="10">
        <v>128.6</v>
      </c>
      <c r="AJ13" s="10" t="s">
        <v>79</v>
      </c>
      <c r="AK13" s="10" t="s">
        <v>99</v>
      </c>
      <c r="AL13" s="10">
        <v>91</v>
      </c>
      <c r="AM13" s="10">
        <v>42.5</v>
      </c>
      <c r="AN13" s="10">
        <v>52</v>
      </c>
      <c r="AO13" s="13">
        <v>24</v>
      </c>
      <c r="AP13" s="10">
        <v>5.9</v>
      </c>
      <c r="AQ13" s="10">
        <v>77</v>
      </c>
      <c r="AS13" s="10">
        <v>21350</v>
      </c>
    </row>
    <row r="14" spans="1:45" s="2" customFormat="1" x14ac:dyDescent="0.2">
      <c r="A14" s="2">
        <v>23</v>
      </c>
      <c r="B14" s="8">
        <f t="shared" si="0"/>
        <v>21</v>
      </c>
      <c r="C14" s="1">
        <v>20</v>
      </c>
      <c r="D14" s="1">
        <v>19</v>
      </c>
      <c r="E14" s="2">
        <v>10338</v>
      </c>
      <c r="F14" s="2">
        <v>717</v>
      </c>
      <c r="G14" s="2">
        <v>0.81928975716633201</v>
      </c>
      <c r="H14" s="2">
        <v>0.61869966436296409</v>
      </c>
      <c r="I14" s="2">
        <v>0.50910517768683028</v>
      </c>
      <c r="J14" s="2">
        <v>0.74000270802007351</v>
      </c>
      <c r="K14" s="2">
        <v>0.81642294815359939</v>
      </c>
      <c r="L14" s="2">
        <v>0.35938210410181898</v>
      </c>
      <c r="M14" s="2">
        <v>0.9094470461095101</v>
      </c>
      <c r="N14" s="2">
        <v>0.60508701472556892</v>
      </c>
      <c r="O14" s="2">
        <v>0.35938210410181898</v>
      </c>
      <c r="P14" s="2">
        <v>0.53846153846153844</v>
      </c>
      <c r="Q14" s="2">
        <v>0.6901408450704225</v>
      </c>
      <c r="R14" s="2">
        <v>42</v>
      </c>
      <c r="S14" s="2">
        <v>22</v>
      </c>
      <c r="T14" s="2">
        <f t="shared" si="1"/>
        <v>91</v>
      </c>
      <c r="U14" s="2">
        <v>71</v>
      </c>
      <c r="V14" s="2">
        <v>1494</v>
      </c>
      <c r="W14" s="2">
        <v>20714</v>
      </c>
      <c r="X14" s="2">
        <v>20197</v>
      </c>
      <c r="Y14" s="2">
        <v>904</v>
      </c>
      <c r="Z14" s="2">
        <v>11.50418579530111</v>
      </c>
      <c r="AA14" s="2">
        <v>14.74480151228733</v>
      </c>
      <c r="AB14" s="2">
        <v>1</v>
      </c>
      <c r="AC14" s="2">
        <v>1</v>
      </c>
      <c r="AF14" s="2">
        <v>23</v>
      </c>
      <c r="AG14" s="2" t="s">
        <v>100</v>
      </c>
      <c r="AH14" s="2">
        <v>175</v>
      </c>
      <c r="AI14" s="2">
        <v>84</v>
      </c>
      <c r="AJ14" s="2" t="s">
        <v>79</v>
      </c>
      <c r="AK14" s="2" t="s">
        <v>101</v>
      </c>
      <c r="AL14" s="2">
        <v>14</v>
      </c>
      <c r="AM14" s="2">
        <v>27.4</v>
      </c>
      <c r="AN14" s="2">
        <v>49</v>
      </c>
      <c r="AO14" s="14">
        <v>9</v>
      </c>
      <c r="AP14" s="2">
        <v>7</v>
      </c>
      <c r="AQ14" s="2">
        <v>87</v>
      </c>
      <c r="AS14" s="2">
        <v>25160</v>
      </c>
    </row>
    <row r="15" spans="1:45" s="10" customFormat="1" x14ac:dyDescent="0.2">
      <c r="A15" s="10">
        <v>24</v>
      </c>
      <c r="B15" s="10">
        <f t="shared" si="0"/>
        <v>22</v>
      </c>
      <c r="C15" s="9">
        <v>21</v>
      </c>
      <c r="D15" s="9">
        <v>20</v>
      </c>
      <c r="E15" s="10">
        <v>8585</v>
      </c>
      <c r="F15" s="10">
        <v>2647</v>
      </c>
      <c r="G15" s="10">
        <v>0.82534741021476266</v>
      </c>
      <c r="H15" s="10">
        <v>0.84521382466720796</v>
      </c>
      <c r="I15" s="10">
        <v>0.79010276082854314</v>
      </c>
      <c r="J15" s="10">
        <v>0.73772875288196371</v>
      </c>
      <c r="K15" s="10">
        <v>0.84671559851461509</v>
      </c>
      <c r="L15" s="10">
        <v>0.60588571154428195</v>
      </c>
      <c r="M15" s="10">
        <v>0.82906399574543521</v>
      </c>
      <c r="N15" s="10">
        <v>0.8151623193844999</v>
      </c>
      <c r="O15" s="10">
        <v>0.60358777351605375</v>
      </c>
      <c r="P15" s="10">
        <v>0.84444444444444444</v>
      </c>
      <c r="Q15" s="10">
        <v>0.84444444444444444</v>
      </c>
      <c r="R15" s="10">
        <v>42</v>
      </c>
      <c r="S15" s="10">
        <v>42</v>
      </c>
      <c r="T15" s="10">
        <f t="shared" si="1"/>
        <v>270</v>
      </c>
      <c r="U15" s="10">
        <v>270</v>
      </c>
      <c r="V15" s="10">
        <v>5329</v>
      </c>
      <c r="W15" s="10">
        <v>17235</v>
      </c>
      <c r="X15" s="10">
        <v>18707</v>
      </c>
      <c r="Y15" s="10">
        <v>4344</v>
      </c>
      <c r="Z15" s="10">
        <v>43.058385753521748</v>
      </c>
      <c r="AA15" s="10">
        <v>43.058385753521748</v>
      </c>
      <c r="AB15" s="10">
        <v>3</v>
      </c>
      <c r="AC15" s="10">
        <v>3</v>
      </c>
      <c r="AF15" s="10">
        <v>24</v>
      </c>
      <c r="AG15" s="10" t="s">
        <v>102</v>
      </c>
      <c r="AH15" s="10">
        <v>182</v>
      </c>
      <c r="AI15" s="10">
        <v>93</v>
      </c>
      <c r="AJ15" s="10" t="s">
        <v>79</v>
      </c>
      <c r="AK15" s="10" t="s">
        <v>103</v>
      </c>
      <c r="AL15" s="10">
        <v>55</v>
      </c>
      <c r="AM15" s="10">
        <v>28.1</v>
      </c>
      <c r="AN15" s="10">
        <v>45</v>
      </c>
      <c r="AO15" s="13">
        <v>10</v>
      </c>
      <c r="AP15" s="10">
        <v>7.4</v>
      </c>
      <c r="AQ15" s="10">
        <v>86</v>
      </c>
      <c r="AS15" s="10">
        <v>26791</v>
      </c>
    </row>
    <row r="16" spans="1:45" s="10" customFormat="1" x14ac:dyDescent="0.2">
      <c r="A16" s="10">
        <v>25</v>
      </c>
      <c r="B16" s="10">
        <f t="shared" si="0"/>
        <v>23</v>
      </c>
      <c r="C16" s="9">
        <v>22</v>
      </c>
      <c r="D16" s="9">
        <v>21</v>
      </c>
      <c r="E16" s="10">
        <v>6033</v>
      </c>
      <c r="F16" s="10">
        <v>1551</v>
      </c>
      <c r="G16" s="10">
        <v>0.68500273672687473</v>
      </c>
      <c r="H16" s="10">
        <v>0.86753865562528309</v>
      </c>
      <c r="I16" s="10">
        <v>0.63773748012718601</v>
      </c>
      <c r="J16" s="10">
        <v>0.76758334555600038</v>
      </c>
      <c r="K16" s="10">
        <v>0.73680689359880114</v>
      </c>
      <c r="L16" s="10">
        <v>0.52662774953679503</v>
      </c>
      <c r="M16" s="10">
        <v>0.82189178566749643</v>
      </c>
      <c r="N16" s="10">
        <v>0.66120218579234968</v>
      </c>
      <c r="O16" s="10">
        <v>0.52662774953679503</v>
      </c>
      <c r="P16" s="10">
        <v>0.62841530054644812</v>
      </c>
      <c r="Q16" s="10">
        <v>0.8098591549295775</v>
      </c>
      <c r="R16" s="10">
        <v>68</v>
      </c>
      <c r="S16" s="10">
        <v>27</v>
      </c>
      <c r="T16" s="10">
        <f t="shared" si="1"/>
        <v>183</v>
      </c>
      <c r="U16" s="10">
        <v>142</v>
      </c>
      <c r="V16" s="10">
        <v>3111</v>
      </c>
      <c r="W16" s="10">
        <v>12155</v>
      </c>
      <c r="X16" s="10">
        <v>12547</v>
      </c>
      <c r="Y16" s="10">
        <v>2057</v>
      </c>
      <c r="Z16" s="10">
        <v>33.464257659073063</v>
      </c>
      <c r="AA16" s="10">
        <v>43.126472898664566</v>
      </c>
      <c r="AB16" s="10">
        <v>3</v>
      </c>
      <c r="AC16" s="10">
        <v>3</v>
      </c>
      <c r="AF16" s="10">
        <v>25</v>
      </c>
      <c r="AG16" s="10" t="s">
        <v>104</v>
      </c>
      <c r="AH16" s="10">
        <v>172</v>
      </c>
      <c r="AI16" s="10">
        <v>88.9</v>
      </c>
      <c r="AJ16" s="10" t="s">
        <v>79</v>
      </c>
      <c r="AK16" s="10" t="s">
        <v>105</v>
      </c>
      <c r="AL16" s="10">
        <v>46</v>
      </c>
      <c r="AM16" s="10">
        <v>30.1</v>
      </c>
      <c r="AN16" s="10">
        <v>50</v>
      </c>
      <c r="AO16" s="13">
        <v>13</v>
      </c>
      <c r="AP16" s="10">
        <v>6</v>
      </c>
      <c r="AQ16" s="10">
        <v>68</v>
      </c>
      <c r="AS16" s="10">
        <v>21660</v>
      </c>
    </row>
    <row r="17" spans="4:41" x14ac:dyDescent="0.2">
      <c r="D17">
        <f>E17+F17</f>
        <v>283806</v>
      </c>
      <c r="E17">
        <f>SUM(E2:E16)*2</f>
        <v>248519</v>
      </c>
      <c r="F17">
        <f>SUM(F2:F16)*2</f>
        <v>35287</v>
      </c>
      <c r="M17">
        <f>AVERAGE(M2:M16)</f>
        <v>0.88410083974005149</v>
      </c>
      <c r="N17">
        <f>AVERAGE(N2:N16)</f>
        <v>0.64427069785823854</v>
      </c>
      <c r="O17">
        <f>AVERAGE(O2:O16)</f>
        <v>0.48320600669390429</v>
      </c>
      <c r="P17">
        <f>(U17-S17)/(U17-S17+R17)</f>
        <v>0.7184235517568851</v>
      </c>
      <c r="Q17">
        <f>(U17-S17)/U17</f>
        <v>0.82768052516411383</v>
      </c>
      <c r="R17">
        <f>SUM(R2:R16)</f>
        <v>593</v>
      </c>
      <c r="S17">
        <f>SUM(S2:S16)</f>
        <v>315</v>
      </c>
      <c r="U17">
        <f>SUM(U2:U16)</f>
        <v>1828</v>
      </c>
    </row>
    <row r="19" spans="4:41" x14ac:dyDescent="0.2">
      <c r="E19" t="s">
        <v>30</v>
      </c>
      <c r="F19" t="s">
        <v>31</v>
      </c>
      <c r="I19" t="s">
        <v>34</v>
      </c>
      <c r="J19" t="s">
        <v>36</v>
      </c>
      <c r="K19" t="s">
        <v>37</v>
      </c>
      <c r="L19" t="s">
        <v>35</v>
      </c>
      <c r="M19" t="s">
        <v>38</v>
      </c>
      <c r="N19" t="s">
        <v>39</v>
      </c>
      <c r="O19" t="s">
        <v>40</v>
      </c>
      <c r="R19" t="s">
        <v>45</v>
      </c>
    </row>
    <row r="20" spans="4:41" x14ac:dyDescent="0.2">
      <c r="D20" t="s">
        <v>32</v>
      </c>
      <c r="E20">
        <f>SUM(Y2:Y16)</f>
        <v>25942</v>
      </c>
      <c r="F20">
        <f>F22-F21</f>
        <v>21898</v>
      </c>
      <c r="G20">
        <f>E20+F20</f>
        <v>47840</v>
      </c>
      <c r="I20">
        <f>G22/(G20+G21)</f>
        <v>0.89040822192466507</v>
      </c>
      <c r="J20">
        <f>E20/E22</f>
        <v>0.73471352912855081</v>
      </c>
      <c r="K20">
        <f>F21/F22</f>
        <v>0.91239994079455311</v>
      </c>
      <c r="L20">
        <f>E20/G20</f>
        <v>0.5422658862876254</v>
      </c>
      <c r="M20">
        <f>(N20-O20)/(1-O20)</f>
        <v>0.56154356839333841</v>
      </c>
      <c r="N20">
        <f>G22/(G20+G21)</f>
        <v>0.89040822192466507</v>
      </c>
      <c r="O20">
        <f>(E22*G20+F22*G21)/(E22+F22)^2</f>
        <v>0.75005092826725939</v>
      </c>
      <c r="R20" t="s">
        <v>41</v>
      </c>
      <c r="S20" t="s">
        <v>42</v>
      </c>
      <c r="T20" t="s">
        <v>43</v>
      </c>
      <c r="U20" t="s">
        <v>44</v>
      </c>
    </row>
    <row r="21" spans="4:41" x14ac:dyDescent="0.2">
      <c r="D21" t="s">
        <v>33</v>
      </c>
      <c r="E21">
        <f>E22-E20</f>
        <v>9367</v>
      </c>
      <c r="F21">
        <f>G22-E20</f>
        <v>228079</v>
      </c>
      <c r="G21">
        <f>E21+F21</f>
        <v>237446</v>
      </c>
      <c r="P21" t="s">
        <v>46</v>
      </c>
      <c r="Q21" t="s">
        <v>41</v>
      </c>
      <c r="R21">
        <v>2</v>
      </c>
      <c r="S21">
        <v>0</v>
      </c>
      <c r="T21">
        <v>0</v>
      </c>
      <c r="U21">
        <v>0</v>
      </c>
      <c r="V21">
        <v>0</v>
      </c>
    </row>
    <row r="22" spans="4:41" x14ac:dyDescent="0.2">
      <c r="E22">
        <f>SUM(V2:V16)</f>
        <v>35309</v>
      </c>
      <c r="F22">
        <f>SUM(W2:W16)</f>
        <v>249977</v>
      </c>
      <c r="G22">
        <f>SUM(X2:X16)</f>
        <v>254021</v>
      </c>
      <c r="Q22" t="s">
        <v>42</v>
      </c>
      <c r="R22">
        <v>0</v>
      </c>
      <c r="S22">
        <v>3</v>
      </c>
      <c r="T22">
        <v>0</v>
      </c>
      <c r="U22">
        <v>0</v>
      </c>
      <c r="V22">
        <v>3</v>
      </c>
    </row>
    <row r="23" spans="4:41" x14ac:dyDescent="0.2">
      <c r="Q23" t="s">
        <v>43</v>
      </c>
      <c r="R23">
        <v>0</v>
      </c>
      <c r="S23">
        <v>1</v>
      </c>
      <c r="T23">
        <v>2</v>
      </c>
      <c r="U23">
        <v>0</v>
      </c>
      <c r="V23">
        <v>3</v>
      </c>
    </row>
    <row r="24" spans="4:41" x14ac:dyDescent="0.2">
      <c r="Q24" t="s">
        <v>44</v>
      </c>
      <c r="R24">
        <v>0</v>
      </c>
      <c r="S24">
        <v>0</v>
      </c>
      <c r="T24">
        <v>2</v>
      </c>
      <c r="U24">
        <v>5</v>
      </c>
      <c r="V24">
        <v>7</v>
      </c>
    </row>
    <row r="25" spans="4:41" x14ac:dyDescent="0.2">
      <c r="R25">
        <v>2</v>
      </c>
      <c r="S25">
        <v>4</v>
      </c>
      <c r="T25">
        <v>4</v>
      </c>
      <c r="U25">
        <v>5</v>
      </c>
      <c r="V25">
        <v>15</v>
      </c>
    </row>
    <row r="26" spans="4:41" x14ac:dyDescent="0.2">
      <c r="AE26" t="s">
        <v>106</v>
      </c>
      <c r="AF26" t="s">
        <v>107</v>
      </c>
      <c r="AG26" t="s">
        <v>108</v>
      </c>
      <c r="AH26" t="s">
        <v>109</v>
      </c>
      <c r="AJ26" t="s">
        <v>115</v>
      </c>
      <c r="AK26" t="s">
        <v>116</v>
      </c>
      <c r="AL26" t="s">
        <v>115</v>
      </c>
      <c r="AM26" t="s">
        <v>116</v>
      </c>
      <c r="AN26" t="s">
        <v>115</v>
      </c>
      <c r="AO26" t="s">
        <v>116</v>
      </c>
    </row>
    <row r="27" spans="4:41" x14ac:dyDescent="0.2">
      <c r="AD27" t="s">
        <v>111</v>
      </c>
      <c r="AF27" t="s">
        <v>129</v>
      </c>
      <c r="AG27" t="s">
        <v>130</v>
      </c>
      <c r="AH27" t="s">
        <v>131</v>
      </c>
      <c r="AJ27">
        <f>AVERAGE(AN5,AN8,AN10,AN14)</f>
        <v>49</v>
      </c>
      <c r="AK27">
        <f>STDEV(AN5,AN8,AN10,AN14)</f>
        <v>1.6329931618554521</v>
      </c>
      <c r="AL27">
        <f>AVERAGE(AN2,AN4,AN9,AN12)</f>
        <v>57.5</v>
      </c>
      <c r="AM27">
        <f>STDEV(AN2,AN4,AN9,AN12)</f>
        <v>7.1879528842826081</v>
      </c>
      <c r="AN27">
        <f>AVERAGE(AN3,AN7,AN13,AN15,AN16)</f>
        <v>46.6</v>
      </c>
      <c r="AO27">
        <f>STDEV(AN3,AN7,AN13,AN15,AN16)</f>
        <v>5.4589376255824886</v>
      </c>
    </row>
    <row r="28" spans="4:41" x14ac:dyDescent="0.2">
      <c r="K28" s="15" t="s">
        <v>51</v>
      </c>
      <c r="L28" s="16" t="s">
        <v>47</v>
      </c>
      <c r="M28" s="16"/>
      <c r="N28" s="16" t="s">
        <v>50</v>
      </c>
      <c r="O28" s="16"/>
      <c r="AD28" t="s">
        <v>112</v>
      </c>
      <c r="AF28" t="s">
        <v>132</v>
      </c>
      <c r="AG28" t="s">
        <v>136</v>
      </c>
      <c r="AH28" t="s">
        <v>140</v>
      </c>
      <c r="AJ28">
        <f>AVERAGE(AM5,AM8,AM10,AM14)</f>
        <v>28.450000000000003</v>
      </c>
      <c r="AK28">
        <f>STDEV(AM5,AM8,AM10,AM14)</f>
        <v>2.7160019636713559</v>
      </c>
      <c r="AL28">
        <f>AVERAGE(AM2,AM4,AM9,AM12)</f>
        <v>31.45</v>
      </c>
      <c r="AM28">
        <f>STDEV(AM2,AM4,AM9,AM12)</f>
        <v>2.2457367016935299</v>
      </c>
      <c r="AN28">
        <f>AVERAGE(AM3,AM7,AM13,AM15,AM16)</f>
        <v>34.36</v>
      </c>
      <c r="AO28">
        <f>STDEV(AM3,AM7,AM13,AM15,AM16)</f>
        <v>6.2159472327232939</v>
      </c>
    </row>
    <row r="29" spans="4:41" x14ac:dyDescent="0.2">
      <c r="K29" s="15"/>
      <c r="L29" t="s">
        <v>48</v>
      </c>
      <c r="M29" t="s">
        <v>49</v>
      </c>
      <c r="N29" t="s">
        <v>48</v>
      </c>
      <c r="O29" t="s">
        <v>49</v>
      </c>
      <c r="R29" t="s">
        <v>56</v>
      </c>
      <c r="S29" t="s">
        <v>57</v>
      </c>
      <c r="T29" s="5" t="s">
        <v>56</v>
      </c>
      <c r="U29" s="5" t="s">
        <v>57</v>
      </c>
      <c r="V29" s="5" t="s">
        <v>56</v>
      </c>
      <c r="W29" s="5" t="s">
        <v>57</v>
      </c>
      <c r="X29" s="5" t="s">
        <v>56</v>
      </c>
      <c r="Y29" s="5" t="s">
        <v>57</v>
      </c>
      <c r="AD29" t="s">
        <v>113</v>
      </c>
      <c r="AF29" t="s">
        <v>133</v>
      </c>
      <c r="AG29" t="s">
        <v>137</v>
      </c>
      <c r="AH29" t="s">
        <v>141</v>
      </c>
      <c r="AJ29">
        <f>AVERAGE(Z5,Z8,Z10,Z14)</f>
        <v>12.403961877155519</v>
      </c>
      <c r="AK29">
        <f>STDEV(Z5,Z8,Z10,Z14)</f>
        <v>1.8129674696418716</v>
      </c>
      <c r="AL29">
        <f>AVERAGE(Z2,Z4,Z9,Z12)</f>
        <v>25.59460058603354</v>
      </c>
      <c r="AM29">
        <f>STDEV(Z2,Z4,Z9,Z12)</f>
        <v>3.5761011572685568</v>
      </c>
      <c r="AN29">
        <f>AVERAGE(Z3,Z7,Z13,Z15,Z16)</f>
        <v>43.750340445629988</v>
      </c>
      <c r="AO29">
        <f>STDEV(Z3,Z7,Z13,Z15,Z16)</f>
        <v>16.344987646230781</v>
      </c>
    </row>
    <row r="30" spans="4:41" x14ac:dyDescent="0.2">
      <c r="K30" t="s">
        <v>52</v>
      </c>
      <c r="T30"/>
      <c r="AD30" s="5" t="s">
        <v>128</v>
      </c>
      <c r="AF30" t="s">
        <v>134</v>
      </c>
      <c r="AG30" t="s">
        <v>138</v>
      </c>
      <c r="AH30" t="s">
        <v>142</v>
      </c>
      <c r="AJ30">
        <f>AVERAGE(AP5,AP8,AP10,AP14)</f>
        <v>7.0250000000000004</v>
      </c>
      <c r="AK30">
        <f>STDEV(AP5,AP8,AP10,AP14)</f>
        <v>0.17078251276599341</v>
      </c>
      <c r="AL30">
        <f>AVERAGE(AP2,AP4,AP9,AP12)</f>
        <v>6.625</v>
      </c>
      <c r="AM30">
        <f>STDEV(AP2,AP4,AP9,AP12)</f>
        <v>0.43493294502332958</v>
      </c>
      <c r="AN30">
        <f>AVERAGE(AP3,AP7,AP13,AP15,AP16)</f>
        <v>6.839999999999999</v>
      </c>
      <c r="AO30">
        <f>STDEV(AP3,AP7,AP13,AP15,AP16)</f>
        <v>0.82036577207975714</v>
      </c>
    </row>
    <row r="31" spans="4:41" x14ac:dyDescent="0.2">
      <c r="K31" t="s">
        <v>53</v>
      </c>
      <c r="L31" t="s">
        <v>59</v>
      </c>
      <c r="M31" t="s">
        <v>60</v>
      </c>
      <c r="N31" t="s">
        <v>61</v>
      </c>
      <c r="O31" t="s">
        <v>62</v>
      </c>
      <c r="R31">
        <f>AVERAGE(U5,U8,U10,U14)</f>
        <v>73.5</v>
      </c>
      <c r="S31">
        <f>STDEV(U5,U8,U10,U14)</f>
        <v>17.058722109231979</v>
      </c>
      <c r="T31">
        <f>AVERAGE(T5,T8,T10,T14)</f>
        <v>89.5</v>
      </c>
      <c r="U31">
        <f>STDEV(T5,T8,T10,T14)</f>
        <v>27.54995462791182</v>
      </c>
      <c r="V31">
        <f>AVERAGE(Z5,Z8,Z14,Z10)</f>
        <v>12.403961877155519</v>
      </c>
      <c r="W31">
        <f>STDEV(Z5,Z8,Z10,Z14)</f>
        <v>1.8129674696418716</v>
      </c>
      <c r="X31">
        <f>AVERAGE(AA5,AA8,AA10,AA14)</f>
        <v>14.910685058052275</v>
      </c>
      <c r="Y31">
        <f>STDEV(AA5,AA8,AA10,AA14)</f>
        <v>2.7365452271763862</v>
      </c>
      <c r="AD31" s="5" t="s">
        <v>114</v>
      </c>
      <c r="AF31" t="s">
        <v>135</v>
      </c>
      <c r="AG31" t="s">
        <v>139</v>
      </c>
      <c r="AH31" t="s">
        <v>143</v>
      </c>
      <c r="AJ31">
        <f>AVERAGE(AO5,AO8,AO10,AO14)</f>
        <v>14.5</v>
      </c>
      <c r="AK31">
        <f>STDEV(AO5,AO8,AO10,AO14)</f>
        <v>3.872983346207417</v>
      </c>
      <c r="AL31">
        <f>AVERAGE(AO2,AO4,AO9,AO12)</f>
        <v>9.25</v>
      </c>
      <c r="AM31">
        <f>STDEV(AO2,AO4,AO9,AO12)</f>
        <v>6.2383224240709669</v>
      </c>
      <c r="AN31">
        <f>AVERAGE(AO3,AO7,AO13,AO15,AO16)</f>
        <v>12.4</v>
      </c>
      <c r="AO31">
        <f>STDEV(AO3,AO7,AO13,AO16,AO15)</f>
        <v>7.8930349042684469</v>
      </c>
    </row>
    <row r="32" spans="4:41" x14ac:dyDescent="0.2">
      <c r="K32" t="s">
        <v>54</v>
      </c>
      <c r="L32" t="s">
        <v>63</v>
      </c>
      <c r="M32" t="s">
        <v>64</v>
      </c>
      <c r="N32" t="s">
        <v>65</v>
      </c>
      <c r="O32" t="s">
        <v>66</v>
      </c>
      <c r="R32">
        <f>AVERAGE(U2,U4,U9,U12)</f>
        <v>133.25</v>
      </c>
      <c r="S32">
        <f>STDEV(U2,U4,U9,U12)</f>
        <v>23.32916629457641</v>
      </c>
      <c r="T32">
        <f>AVERAGE(T2,T4,T9,T12)</f>
        <v>160</v>
      </c>
      <c r="U32">
        <f>STDEV(T2,T4,T9,T12)</f>
        <v>38.27096375408734</v>
      </c>
      <c r="V32">
        <f>AVERAGE(V31,Z2,Z4,Z9,Z12)</f>
        <v>22.956472844257934</v>
      </c>
      <c r="W32">
        <f>STDEV(Z2,Z4,Z9,Z12)</f>
        <v>3.5761011572685568</v>
      </c>
      <c r="X32">
        <f>AVERAGE(X31,AA2,AA4,AA9,AA12)</f>
        <v>27.556220775950361</v>
      </c>
      <c r="Y32">
        <f>STDEV(AA2,AA4,AA9,AA12)</f>
        <v>6.6182630924214765</v>
      </c>
    </row>
    <row r="33" spans="10:25" x14ac:dyDescent="0.2">
      <c r="K33" t="s">
        <v>55</v>
      </c>
      <c r="L33" t="s">
        <v>67</v>
      </c>
      <c r="M33" t="s">
        <v>68</v>
      </c>
      <c r="N33" t="s">
        <v>69</v>
      </c>
      <c r="O33" t="s">
        <v>70</v>
      </c>
      <c r="R33">
        <f>AVERAGE(U3,U7,U13,U15,U16)</f>
        <v>191.8</v>
      </c>
      <c r="S33">
        <f>STDEV(U3,U7,U13,U15,U16)</f>
        <v>70.485459493430255</v>
      </c>
      <c r="T33">
        <f>AVERAGE(T3,T7,T13,T16,T15)</f>
        <v>216.2</v>
      </c>
      <c r="U33">
        <f>STDEV(T3,T7,T13,T15,T16)</f>
        <v>70.983800968953446</v>
      </c>
      <c r="V33">
        <f>AVERAGE(Z3,Z7,Z13,Z15,Z16)</f>
        <v>43.750340445629988</v>
      </c>
      <c r="W33">
        <f>STDEV(Z3,Z7,Z13,Z15,Z16)</f>
        <v>16.344987646230781</v>
      </c>
      <c r="X33">
        <f>AVERAGE(X31:X32,AA3,AA7,AA13,AA15,AA16)</f>
        <v>40.746670822251687</v>
      </c>
      <c r="Y33">
        <f>STDEV(AA3,AA7,AA13,AA15,AA16)</f>
        <v>14.038623027199264</v>
      </c>
    </row>
    <row r="37" spans="10:25" x14ac:dyDescent="0.2">
      <c r="K37" t="s">
        <v>71</v>
      </c>
      <c r="L37" t="s">
        <v>72</v>
      </c>
      <c r="M37" t="s">
        <v>73</v>
      </c>
    </row>
    <row r="38" spans="10:25" x14ac:dyDescent="0.2">
      <c r="J38" t="s">
        <v>74</v>
      </c>
      <c r="K38">
        <f>10/13</f>
        <v>0.76923076923076927</v>
      </c>
      <c r="L38">
        <f>(12+12+35)/169</f>
        <v>0.34911242603550297</v>
      </c>
      <c r="M38">
        <f>(K38-L38)/(1-L38)</f>
        <v>0.6454545454545455</v>
      </c>
    </row>
    <row r="39" spans="10:25" x14ac:dyDescent="0.2">
      <c r="J39" t="s">
        <v>75</v>
      </c>
      <c r="K39">
        <v>1</v>
      </c>
      <c r="L39">
        <v>1</v>
      </c>
      <c r="M39">
        <v>1</v>
      </c>
    </row>
    <row r="40" spans="10:25" x14ac:dyDescent="0.2">
      <c r="J40" t="s">
        <v>76</v>
      </c>
      <c r="K40">
        <f>12/13</f>
        <v>0.92307692307692313</v>
      </c>
      <c r="L40">
        <f>(12+90)/169</f>
        <v>0.60355029585798814</v>
      </c>
      <c r="M40">
        <f>(K40-L40)/(1-L40)</f>
        <v>0.80597014925373145</v>
      </c>
    </row>
    <row r="41" spans="10:25" x14ac:dyDescent="0.2">
      <c r="J41" t="s">
        <v>77</v>
      </c>
      <c r="K41">
        <f>11/13</f>
        <v>0.84615384615384615</v>
      </c>
      <c r="L41">
        <f>(48+35)/169</f>
        <v>0.4911242603550296</v>
      </c>
      <c r="M41" s="5">
        <f>(K41-L41)/(1-L41)</f>
        <v>0.69767441860465118</v>
      </c>
    </row>
    <row r="42" spans="10:25" x14ac:dyDescent="0.2">
      <c r="M42">
        <f>(M39+M40+M41)/3</f>
        <v>0.83454818928612751</v>
      </c>
    </row>
  </sheetData>
  <mergeCells count="3">
    <mergeCell ref="K28:K29"/>
    <mergeCell ref="L28:M28"/>
    <mergeCell ref="N28:O2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2018-12-18T12:13:31Z</dcterms:modified>
</cp:coreProperties>
</file>