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B67AFE44-3240-4228-805E-FDD68DCFED9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39" i="1"/>
  <c r="J38" i="1"/>
  <c r="I39" i="1"/>
  <c r="H39" i="1"/>
  <c r="I38" i="1"/>
  <c r="H38" i="1"/>
  <c r="J36" i="1"/>
  <c r="I36" i="1"/>
  <c r="H36" i="1"/>
  <c r="V31" i="1" l="1"/>
  <c r="V30" i="1"/>
  <c r="V29" i="1"/>
  <c r="T31" i="1"/>
  <c r="T30" i="1"/>
  <c r="T29" i="1"/>
  <c r="U30" i="1"/>
  <c r="U31" i="1" s="1"/>
  <c r="U29" i="1"/>
  <c r="S31" i="1"/>
  <c r="S30" i="1"/>
  <c r="S29" i="1"/>
  <c r="R31" i="1"/>
  <c r="R30" i="1"/>
  <c r="R29" i="1"/>
  <c r="Q31" i="1"/>
  <c r="Q30" i="1"/>
  <c r="Q29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31" i="1"/>
  <c r="P30" i="1"/>
  <c r="P29" i="1"/>
  <c r="O31" i="1"/>
  <c r="O30" i="1"/>
  <c r="O29" i="1"/>
  <c r="R15" i="1" l="1"/>
  <c r="M15" i="1" s="1"/>
  <c r="P15" i="1"/>
  <c r="O15" i="1"/>
  <c r="N15" i="1" l="1"/>
  <c r="L15" i="1"/>
  <c r="K15" i="1"/>
  <c r="J15" i="1"/>
  <c r="C20" i="1"/>
  <c r="B20" i="1"/>
  <c r="B19" i="1" s="1"/>
  <c r="B18" i="1"/>
  <c r="G18" i="1" s="1"/>
  <c r="D20" i="1"/>
  <c r="C19" i="1" s="1"/>
  <c r="H18" i="1" s="1"/>
  <c r="D19" i="1" l="1"/>
  <c r="C18" i="1"/>
  <c r="D18" i="1" s="1"/>
  <c r="L18" i="1" l="1"/>
  <c r="K18" i="1"/>
  <c r="I18" i="1"/>
  <c r="F18" i="1"/>
  <c r="J18" i="1" l="1"/>
</calcChain>
</file>

<file path=xl/sharedStrings.xml><?xml version="1.0" encoding="utf-8"?>
<sst xmlns="http://schemas.openxmlformats.org/spreadsheetml/2006/main" count="92" uniqueCount="80">
  <si>
    <t>no</t>
    <phoneticPr fontId="3" type="noConversion"/>
  </si>
  <si>
    <t>create</t>
    <phoneticPr fontId="3" type="noConversion"/>
  </si>
  <si>
    <t>data</t>
    <phoneticPr fontId="3" type="noConversion"/>
  </si>
  <si>
    <t>f10-23-1119</t>
    <phoneticPr fontId="3" type="noConversion"/>
  </si>
  <si>
    <t>nump</t>
  </si>
  <si>
    <t>numn</t>
  </si>
  <si>
    <t>acu1</t>
  </si>
  <si>
    <t>recall1</t>
  </si>
  <si>
    <t>pre1</t>
  </si>
  <si>
    <t>acu2</t>
  </si>
  <si>
    <t>recall2</t>
  </si>
  <si>
    <t>pre2</t>
  </si>
  <si>
    <t>acu3</t>
  </si>
  <si>
    <t>recall3</t>
  </si>
  <si>
    <t>pre3</t>
  </si>
  <si>
    <t>pre_e</t>
  </si>
  <si>
    <t>recall_e</t>
  </si>
  <si>
    <t>wrong_e</t>
  </si>
  <si>
    <t>miss_e</t>
  </si>
  <si>
    <t>total_e</t>
  </si>
  <si>
    <t>p_test</t>
  </si>
  <si>
    <t>n_test</t>
  </si>
  <si>
    <t>true_pre</t>
  </si>
  <si>
    <t>true_p</t>
  </si>
  <si>
    <t>ahi_psg</t>
  </si>
  <si>
    <t>ahi_pre</t>
  </si>
  <si>
    <t>ind_minsplit1</t>
  </si>
  <si>
    <t>ind_minleaf1</t>
  </si>
  <si>
    <t>ind_maxdepth1</t>
  </si>
  <si>
    <t>ind_minsplit2</t>
  </si>
  <si>
    <t>ind_minleaf2</t>
  </si>
  <si>
    <t>ind_maxdepth2</t>
  </si>
  <si>
    <t>p_test</t>
    <phoneticPr fontId="3" type="noConversion"/>
  </si>
  <si>
    <t>n_test</t>
    <phoneticPr fontId="3" type="noConversion"/>
  </si>
  <si>
    <t>p_pre</t>
    <phoneticPr fontId="3" type="noConversion"/>
  </si>
  <si>
    <t>n_pre</t>
    <phoneticPr fontId="3" type="noConversion"/>
  </si>
  <si>
    <t>acu</t>
    <phoneticPr fontId="3" type="noConversion"/>
  </si>
  <si>
    <t>pre</t>
    <phoneticPr fontId="3" type="noConversion"/>
  </si>
  <si>
    <t>TP</t>
    <phoneticPr fontId="3" type="noConversion"/>
  </si>
  <si>
    <t>TN</t>
    <phoneticPr fontId="3" type="noConversion"/>
  </si>
  <si>
    <t>kappa</t>
    <phoneticPr fontId="3" type="noConversion"/>
  </si>
  <si>
    <t>p0</t>
    <phoneticPr fontId="3" type="noConversion"/>
  </si>
  <si>
    <t>pe</t>
    <phoneticPr fontId="3" type="noConversion"/>
  </si>
  <si>
    <t>正常</t>
    <phoneticPr fontId="3" type="noConversion"/>
  </si>
  <si>
    <t>轻度</t>
    <phoneticPr fontId="3" type="noConversion"/>
  </si>
  <si>
    <t>中度</t>
    <phoneticPr fontId="3" type="noConversion"/>
  </si>
  <si>
    <t>重度</t>
    <phoneticPr fontId="3" type="noConversion"/>
  </si>
  <si>
    <t>人工判断SAHS严重程度</t>
    <phoneticPr fontId="3" type="noConversion"/>
  </si>
  <si>
    <t>模型预测严重程度</t>
    <phoneticPr fontId="3" type="noConversion"/>
  </si>
  <si>
    <t>No. of AH events</t>
    <phoneticPr fontId="3" type="noConversion"/>
  </si>
  <si>
    <t>Estimated</t>
    <phoneticPr fontId="3" type="noConversion"/>
  </si>
  <si>
    <t>Reference</t>
    <phoneticPr fontId="3" type="noConversion"/>
  </si>
  <si>
    <t>AHI(events/h)</t>
    <phoneticPr fontId="3" type="noConversion"/>
  </si>
  <si>
    <t>Group</t>
    <phoneticPr fontId="3" type="noConversion"/>
  </si>
  <si>
    <t>Non-SAHS</t>
    <phoneticPr fontId="3" type="noConversion"/>
  </si>
  <si>
    <t>Mild SAHS</t>
    <phoneticPr fontId="3" type="noConversion"/>
  </si>
  <si>
    <t>Moderate SAHS</t>
    <phoneticPr fontId="3" type="noConversion"/>
  </si>
  <si>
    <t>Severe SAHS</t>
    <phoneticPr fontId="3" type="noConversion"/>
  </si>
  <si>
    <t>mean</t>
    <phoneticPr fontId="3" type="noConversion"/>
  </si>
  <si>
    <t>std</t>
    <phoneticPr fontId="3" type="noConversion"/>
  </si>
  <si>
    <t>total_estimated</t>
    <phoneticPr fontId="3" type="noConversion"/>
  </si>
  <si>
    <t>73.5±17.1</t>
    <phoneticPr fontId="3" type="noConversion"/>
  </si>
  <si>
    <t>89.5±27.5</t>
    <phoneticPr fontId="3" type="noConversion"/>
  </si>
  <si>
    <t>12.4±1.8</t>
    <phoneticPr fontId="3" type="noConversion"/>
  </si>
  <si>
    <t>14.9±2.7</t>
    <phoneticPr fontId="3" type="noConversion"/>
  </si>
  <si>
    <t>133.2±23.3</t>
    <phoneticPr fontId="3" type="noConversion"/>
  </si>
  <si>
    <t>160.0±38.3</t>
    <phoneticPr fontId="3" type="noConversion"/>
  </si>
  <si>
    <t>23.0±3.6</t>
    <phoneticPr fontId="3" type="noConversion"/>
  </si>
  <si>
    <t>27.6±6.6</t>
    <phoneticPr fontId="3" type="noConversion"/>
  </si>
  <si>
    <t>191.8±70.5</t>
    <phoneticPr fontId="3" type="noConversion"/>
  </si>
  <si>
    <t>216.2±71.0</t>
    <phoneticPr fontId="3" type="noConversion"/>
  </si>
  <si>
    <t>43.8±16.3</t>
    <phoneticPr fontId="3" type="noConversion"/>
  </si>
  <si>
    <t>40.7±14.0</t>
    <phoneticPr fontId="3" type="noConversion"/>
  </si>
  <si>
    <t>p0</t>
    <phoneticPr fontId="3" type="noConversion"/>
  </si>
  <si>
    <t>pe</t>
    <phoneticPr fontId="3" type="noConversion"/>
  </si>
  <si>
    <t>kappa</t>
    <phoneticPr fontId="3" type="noConversion"/>
  </si>
  <si>
    <t>overall</t>
    <phoneticPr fontId="3" type="noConversion"/>
  </si>
  <si>
    <t>≥5</t>
    <phoneticPr fontId="3" type="noConversion"/>
  </si>
  <si>
    <t>≥15</t>
    <phoneticPr fontId="3" type="noConversion"/>
  </si>
  <si>
    <t>≥30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</si>
</sst>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1" applyBorder="1" applyAlignment="1">
      <alignment horizontal="center" vertical="top"/>
    </xf>
    <xf numFmtId="0" fontId="1" fillId="2" borderId="0" xfId="1" applyAlignment="1"/>
    <xf numFmtId="0" fontId="2" fillId="3" borderId="1" xfId="2" applyBorder="1" applyAlignment="1">
      <alignment horizontal="center" vertical="top"/>
    </xf>
    <xf numFmtId="0" fontId="2" fillId="3" borderId="0" xfId="2" applyAlignment="1"/>
    <xf numFmtId="0" fontId="0" fillId="0" borderId="0" xfId="0"/>
    <xf numFmtId="0" fontId="4" fillId="0" borderId="1" xfId="0" applyFont="1" applyBorder="1" applyAlignment="1">
      <alignment horizontal="center" vertical="top"/>
    </xf>
    <xf numFmtId="0" fontId="6" fillId="5" borderId="1" xfId="4" applyBorder="1" applyAlignment="1">
      <alignment horizontal="center" vertical="top"/>
    </xf>
    <xf numFmtId="0" fontId="6" fillId="5" borderId="0" xfId="4" applyAlignment="1"/>
    <xf numFmtId="0" fontId="5" fillId="4" borderId="1" xfId="3" applyBorder="1" applyAlignment="1">
      <alignment horizontal="center" vertical="top"/>
    </xf>
    <xf numFmtId="0" fontId="5" fillId="4" borderId="0" xfId="3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差" xfId="3" builtinId="27"/>
    <cellStyle name="常规" xfId="0" builtinId="0"/>
    <cellStyle name="好" xfId="1" builtinId="26"/>
    <cellStyle name="适中" xfId="4" builtinId="28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"/>
  <sheetViews>
    <sheetView tabSelected="1" topLeftCell="A7" workbookViewId="0">
      <selection activeCell="J41" sqref="J41"/>
    </sheetView>
  </sheetViews>
  <sheetFormatPr defaultRowHeight="14.25" x14ac:dyDescent="0.2"/>
  <cols>
    <col min="8" max="8" width="15.25" customWidth="1"/>
    <col min="16" max="16" width="12.75" bestFit="1" customWidth="1"/>
    <col min="17" max="17" width="20.625" style="5" customWidth="1"/>
  </cols>
  <sheetData>
    <row r="1" spans="1:30" x14ac:dyDescent="0.2">
      <c r="A1" s="5"/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60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</row>
    <row r="2" spans="1:30" s="8" customFormat="1" x14ac:dyDescent="0.2">
      <c r="A2" s="7">
        <v>0</v>
      </c>
      <c r="B2" s="8">
        <v>7652.5</v>
      </c>
      <c r="C2" s="8">
        <v>1059.5</v>
      </c>
      <c r="D2" s="8">
        <v>0.86585365853658536</v>
      </c>
      <c r="E2" s="8">
        <v>0.82005048854266449</v>
      </c>
      <c r="F2" s="8">
        <v>0.75012065217661184</v>
      </c>
      <c r="G2" s="8">
        <v>0.81927547399939216</v>
      </c>
      <c r="H2" s="8">
        <v>0.86399859279880076</v>
      </c>
      <c r="I2" s="8">
        <v>0.63548391413735883</v>
      </c>
      <c r="J2" s="8">
        <v>0.92570189454462448</v>
      </c>
      <c r="K2" s="8">
        <v>0.7873345935727788</v>
      </c>
      <c r="L2" s="8">
        <v>0.63548391413735883</v>
      </c>
      <c r="M2" s="8">
        <v>0.78260869565217395</v>
      </c>
      <c r="N2" s="8">
        <v>0.87378640776699035</v>
      </c>
      <c r="O2" s="8">
        <v>25</v>
      </c>
      <c r="P2" s="8">
        <v>13</v>
      </c>
      <c r="Q2" s="8">
        <f>R2-P2+O2</f>
        <v>115</v>
      </c>
      <c r="R2" s="8">
        <v>103</v>
      </c>
      <c r="S2" s="8">
        <v>2116</v>
      </c>
      <c r="T2" s="8">
        <v>15408</v>
      </c>
      <c r="U2" s="8">
        <v>16222</v>
      </c>
      <c r="V2" s="8">
        <v>1666</v>
      </c>
      <c r="W2" s="8">
        <v>21.14748488650622</v>
      </c>
      <c r="X2" s="8">
        <v>23.61126953347781</v>
      </c>
      <c r="Y2" s="2">
        <v>2</v>
      </c>
      <c r="Z2" s="2">
        <v>2</v>
      </c>
      <c r="AB2" s="8" t="s">
        <v>0</v>
      </c>
    </row>
    <row r="3" spans="1:30" s="10" customFormat="1" x14ac:dyDescent="0.2">
      <c r="A3" s="9">
        <v>1</v>
      </c>
      <c r="B3" s="10">
        <v>8798.5</v>
      </c>
      <c r="C3" s="10">
        <v>2303.5</v>
      </c>
      <c r="D3" s="10">
        <v>0.79449986272535922</v>
      </c>
      <c r="E3" s="10">
        <v>0.91542400988016603</v>
      </c>
      <c r="F3" s="10">
        <v>0.69985259671417843</v>
      </c>
      <c r="G3" s="10">
        <v>0.82271470120586887</v>
      </c>
      <c r="H3" s="10">
        <v>0.70147755522108968</v>
      </c>
      <c r="I3" s="10">
        <v>0.5952618486436837</v>
      </c>
      <c r="J3" s="10">
        <v>0.87746592539454804</v>
      </c>
      <c r="K3" s="10">
        <v>0.78163663989581067</v>
      </c>
      <c r="L3" s="10">
        <v>0.5952618486436837</v>
      </c>
      <c r="M3" s="10">
        <v>0.84674329501915713</v>
      </c>
      <c r="N3" s="10">
        <v>0.88400000000000001</v>
      </c>
      <c r="O3" s="10">
        <v>40</v>
      </c>
      <c r="P3" s="10">
        <v>29</v>
      </c>
      <c r="Q3" s="10">
        <f t="shared" ref="Q3:Q14" si="0">R3-P3+O3</f>
        <v>261</v>
      </c>
      <c r="R3" s="10">
        <v>250</v>
      </c>
      <c r="S3" s="10">
        <v>4607</v>
      </c>
      <c r="T3" s="10">
        <v>17697</v>
      </c>
      <c r="U3" s="10">
        <v>19571</v>
      </c>
      <c r="V3" s="10">
        <v>3601</v>
      </c>
      <c r="W3" s="10">
        <v>40.333422963162143</v>
      </c>
      <c r="X3" s="10">
        <v>42.108093573541282</v>
      </c>
      <c r="Y3" s="2">
        <v>3</v>
      </c>
      <c r="Z3" s="2">
        <v>3</v>
      </c>
      <c r="AB3" s="10" t="s">
        <v>1</v>
      </c>
    </row>
    <row r="4" spans="1:30" s="8" customFormat="1" x14ac:dyDescent="0.2">
      <c r="A4" s="7">
        <v>2</v>
      </c>
      <c r="B4" s="8">
        <v>8387</v>
      </c>
      <c r="C4" s="8">
        <v>933</v>
      </c>
      <c r="D4" s="8">
        <v>0.86057955166757794</v>
      </c>
      <c r="E4" s="8">
        <v>0.86927642034167651</v>
      </c>
      <c r="F4" s="8">
        <v>0.68171716876201827</v>
      </c>
      <c r="G4" s="8">
        <v>0.79790920541732102</v>
      </c>
      <c r="H4" s="8">
        <v>0.85473756382528032</v>
      </c>
      <c r="I4" s="8">
        <v>0.51758911030030874</v>
      </c>
      <c r="J4" s="8">
        <v>0.90747065101387403</v>
      </c>
      <c r="K4" s="8">
        <v>0.82622773880194278</v>
      </c>
      <c r="L4" s="8">
        <v>0.51267751894470948</v>
      </c>
      <c r="M4" s="8">
        <v>0.80281690140845074</v>
      </c>
      <c r="N4" s="8">
        <v>0.89763779527559051</v>
      </c>
      <c r="O4" s="8">
        <v>28</v>
      </c>
      <c r="P4" s="8">
        <v>13</v>
      </c>
      <c r="Q4" s="8">
        <f t="shared" si="0"/>
        <v>142</v>
      </c>
      <c r="R4" s="8">
        <v>127</v>
      </c>
      <c r="S4" s="8">
        <v>1853</v>
      </c>
      <c r="T4" s="8">
        <v>16887</v>
      </c>
      <c r="U4" s="8">
        <v>17006</v>
      </c>
      <c r="V4" s="8">
        <v>1531</v>
      </c>
      <c r="W4" s="8">
        <v>24.384</v>
      </c>
      <c r="X4" s="8">
        <v>27.263999999999999</v>
      </c>
      <c r="Y4" s="2">
        <v>2</v>
      </c>
      <c r="Z4" s="2">
        <v>2</v>
      </c>
      <c r="AB4" s="8" t="s">
        <v>2</v>
      </c>
    </row>
    <row r="5" spans="1:30" s="2" customFormat="1" x14ac:dyDescent="0.2">
      <c r="A5" s="1">
        <v>3</v>
      </c>
      <c r="B5" s="2">
        <v>10596</v>
      </c>
      <c r="C5" s="2">
        <v>683</v>
      </c>
      <c r="D5" s="2">
        <v>0.82522931694719026</v>
      </c>
      <c r="E5" s="2">
        <v>0.64118935186655857</v>
      </c>
      <c r="F5" s="2">
        <v>0.53874578260508577</v>
      </c>
      <c r="G5" s="2">
        <v>0.83389635296667264</v>
      </c>
      <c r="H5" s="2">
        <v>0.74382974545878466</v>
      </c>
      <c r="I5" s="2">
        <v>0.53395275586106461</v>
      </c>
      <c r="J5" s="2">
        <v>0.93591667402242029</v>
      </c>
      <c r="K5" s="2">
        <v>0.62079062957540265</v>
      </c>
      <c r="L5" s="2">
        <v>0.53395275586106461</v>
      </c>
      <c r="M5" s="2">
        <v>0.58024691358024694</v>
      </c>
      <c r="N5" s="2">
        <v>0.71212121212121215</v>
      </c>
      <c r="O5" s="2">
        <v>34</v>
      </c>
      <c r="P5" s="2">
        <v>19</v>
      </c>
      <c r="Q5" s="2">
        <f t="shared" si="0"/>
        <v>81</v>
      </c>
      <c r="R5" s="2">
        <v>66</v>
      </c>
      <c r="S5" s="2">
        <v>1366</v>
      </c>
      <c r="T5" s="2">
        <v>21292</v>
      </c>
      <c r="U5" s="2">
        <v>21206</v>
      </c>
      <c r="V5" s="2">
        <v>848</v>
      </c>
      <c r="W5" s="2">
        <v>10.48173636844891</v>
      </c>
      <c r="X5" s="2">
        <v>12.863949179460031</v>
      </c>
      <c r="Y5" s="2">
        <v>1</v>
      </c>
      <c r="Z5" s="2">
        <v>1</v>
      </c>
    </row>
    <row r="6" spans="1:30" s="10" customFormat="1" x14ac:dyDescent="0.2">
      <c r="A6" s="9">
        <v>6</v>
      </c>
      <c r="B6" s="10">
        <v>9845</v>
      </c>
      <c r="C6" s="10">
        <v>1600</v>
      </c>
      <c r="D6" s="10">
        <v>0.73216826752045527</v>
      </c>
      <c r="E6" s="10">
        <v>0.84757909856101277</v>
      </c>
      <c r="F6" s="10">
        <v>0.55270111771525343</v>
      </c>
      <c r="G6" s="10">
        <v>0.69624592896920467</v>
      </c>
      <c r="H6" s="10">
        <v>0.72454146528013341</v>
      </c>
      <c r="I6" s="10">
        <v>0.41617694832253882</v>
      </c>
      <c r="J6" s="10">
        <v>0.8089002958065078</v>
      </c>
      <c r="K6" s="10">
        <v>0.70942325874566659</v>
      </c>
      <c r="L6" s="10">
        <v>0.41617694832253882</v>
      </c>
      <c r="M6" s="10">
        <v>0.6015325670498084</v>
      </c>
      <c r="N6" s="10">
        <v>0.80927835051546393</v>
      </c>
      <c r="O6" s="10">
        <v>104</v>
      </c>
      <c r="P6" s="10">
        <v>37</v>
      </c>
      <c r="Q6" s="10">
        <f t="shared" si="0"/>
        <v>261</v>
      </c>
      <c r="R6" s="10">
        <v>194</v>
      </c>
      <c r="S6" s="10">
        <v>3173</v>
      </c>
      <c r="T6" s="10">
        <v>19815</v>
      </c>
      <c r="U6" s="10">
        <v>18595</v>
      </c>
      <c r="V6" s="10">
        <v>2251</v>
      </c>
      <c r="W6" s="10">
        <v>30.367858074615182</v>
      </c>
      <c r="X6" s="10">
        <v>40.855726584920433</v>
      </c>
      <c r="Y6" s="2">
        <v>3</v>
      </c>
      <c r="Z6" s="2">
        <v>3</v>
      </c>
    </row>
    <row r="7" spans="1:30" s="2" customFormat="1" x14ac:dyDescent="0.2">
      <c r="A7" s="1">
        <v>7</v>
      </c>
      <c r="B7" s="2">
        <v>7446.5</v>
      </c>
      <c r="C7" s="2">
        <v>677.5</v>
      </c>
      <c r="D7" s="2">
        <v>0.88156717371852233</v>
      </c>
      <c r="E7" s="2">
        <v>0.75043126486223533</v>
      </c>
      <c r="F7" s="2">
        <v>0.70273522797196708</v>
      </c>
      <c r="G7" s="2">
        <v>0.77668697587625624</v>
      </c>
      <c r="H7" s="2">
        <v>0.87848239032955555</v>
      </c>
      <c r="I7" s="2">
        <v>0.57243158222745416</v>
      </c>
      <c r="J7" s="2">
        <v>0.93301113422243975</v>
      </c>
      <c r="K7" s="2">
        <v>0.77919161676646709</v>
      </c>
      <c r="L7" s="2">
        <v>0.5648732298926189</v>
      </c>
      <c r="M7" s="2">
        <v>0.76666666666666661</v>
      </c>
      <c r="N7" s="2">
        <v>0.77966101694915257</v>
      </c>
      <c r="O7" s="2">
        <v>14</v>
      </c>
      <c r="P7" s="2">
        <v>13</v>
      </c>
      <c r="Q7" s="2">
        <f t="shared" si="0"/>
        <v>60</v>
      </c>
      <c r="R7" s="2">
        <v>59</v>
      </c>
      <c r="S7" s="2">
        <v>1336</v>
      </c>
      <c r="T7" s="2">
        <v>15010</v>
      </c>
      <c r="U7" s="2">
        <v>15251</v>
      </c>
      <c r="V7" s="2">
        <v>1041</v>
      </c>
      <c r="W7" s="2">
        <v>12.986060161408661</v>
      </c>
      <c r="X7" s="2">
        <v>13.206162876008809</v>
      </c>
      <c r="Y7" s="2">
        <v>1</v>
      </c>
      <c r="Z7" s="2">
        <v>1</v>
      </c>
      <c r="AB7" s="2" t="s">
        <v>3</v>
      </c>
    </row>
    <row r="8" spans="1:30" s="8" customFormat="1" x14ac:dyDescent="0.2">
      <c r="A8" s="7">
        <v>9</v>
      </c>
      <c r="B8" s="8">
        <v>7949</v>
      </c>
      <c r="C8" s="8">
        <v>2013</v>
      </c>
      <c r="D8" s="8">
        <v>0.81999796147181736</v>
      </c>
      <c r="E8" s="8">
        <v>0.89088650777110001</v>
      </c>
      <c r="F8" s="8">
        <v>0.77396128386435681</v>
      </c>
      <c r="G8" s="8">
        <v>0.82191900068545687</v>
      </c>
      <c r="H8" s="8">
        <v>0.77192092636237497</v>
      </c>
      <c r="I8" s="8">
        <v>0.70604479407236331</v>
      </c>
      <c r="J8" s="8">
        <v>0.88048147038257918</v>
      </c>
      <c r="K8" s="8">
        <v>0.72455834784772333</v>
      </c>
      <c r="L8" s="8">
        <v>0.70604479407236331</v>
      </c>
      <c r="M8" s="8">
        <v>0.75268817204301075</v>
      </c>
      <c r="N8" s="8">
        <v>0.90909090909090906</v>
      </c>
      <c r="O8" s="8">
        <v>46</v>
      </c>
      <c r="P8" s="8">
        <v>14</v>
      </c>
      <c r="Q8" s="8">
        <f t="shared" si="0"/>
        <v>186</v>
      </c>
      <c r="R8" s="8">
        <v>154</v>
      </c>
      <c r="S8" s="8">
        <v>4019</v>
      </c>
      <c r="T8" s="8">
        <v>16003</v>
      </c>
      <c r="U8" s="8">
        <v>17629</v>
      </c>
      <c r="V8" s="8">
        <v>2912</v>
      </c>
      <c r="W8" s="8">
        <v>27.675718849840251</v>
      </c>
      <c r="X8" s="8">
        <v>33.426517571884979</v>
      </c>
      <c r="Y8" s="4">
        <v>2</v>
      </c>
      <c r="Z8" s="4">
        <v>3</v>
      </c>
    </row>
    <row r="9" spans="1:30" s="4" customFormat="1" x14ac:dyDescent="0.2">
      <c r="A9" s="3">
        <v>12</v>
      </c>
      <c r="B9" s="4">
        <v>11178.5</v>
      </c>
      <c r="C9" s="4">
        <v>813.5</v>
      </c>
      <c r="D9" s="4">
        <v>0.88304362360020061</v>
      </c>
      <c r="E9" s="4">
        <v>0.81885659799482546</v>
      </c>
      <c r="F9" s="4">
        <v>0.69221369537696997</v>
      </c>
      <c r="G9" s="4">
        <v>0.70282550999715576</v>
      </c>
      <c r="H9" s="4">
        <v>0.88690500978636577</v>
      </c>
      <c r="I9" s="4">
        <v>0.40636617704903982</v>
      </c>
      <c r="J9" s="4">
        <v>0.90598787476123244</v>
      </c>
      <c r="K9" s="4">
        <v>0.79963122311001844</v>
      </c>
      <c r="L9" s="4">
        <v>0.40636617704903982</v>
      </c>
      <c r="M9" s="4">
        <v>0.66666666666666674</v>
      </c>
      <c r="N9" s="4">
        <v>0.85714285714285721</v>
      </c>
      <c r="O9" s="4">
        <v>42</v>
      </c>
      <c r="P9" s="4">
        <v>14</v>
      </c>
      <c r="Q9" s="2">
        <f t="shared" si="0"/>
        <v>126</v>
      </c>
      <c r="R9" s="4">
        <v>98</v>
      </c>
      <c r="S9" s="4">
        <v>1627</v>
      </c>
      <c r="T9" s="4">
        <v>22455</v>
      </c>
      <c r="U9" s="4">
        <v>21818</v>
      </c>
      <c r="V9" s="4">
        <v>1301</v>
      </c>
      <c r="W9" s="2">
        <v>14.64386518346339</v>
      </c>
      <c r="X9" s="2">
        <v>18.827826664452932</v>
      </c>
      <c r="Y9" s="4">
        <v>1</v>
      </c>
      <c r="Z9" s="4">
        <v>2</v>
      </c>
    </row>
    <row r="10" spans="1:30" s="8" customFormat="1" x14ac:dyDescent="0.2">
      <c r="A10" s="7">
        <v>16</v>
      </c>
      <c r="B10" s="8">
        <v>7897.5</v>
      </c>
      <c r="C10" s="8">
        <v>1242.5</v>
      </c>
      <c r="D10" s="8">
        <v>0.79274730319026854</v>
      </c>
      <c r="E10" s="8">
        <v>0.75500597434014027</v>
      </c>
      <c r="F10" s="8">
        <v>0.72845143698688597</v>
      </c>
      <c r="G10" s="8">
        <v>0.69862745267557835</v>
      </c>
      <c r="H10" s="8">
        <v>0.86875529910892491</v>
      </c>
      <c r="I10" s="8">
        <v>0.45400762927418192</v>
      </c>
      <c r="J10" s="8">
        <v>0.84057024703449779</v>
      </c>
      <c r="K10" s="8">
        <v>0.7709429380817483</v>
      </c>
      <c r="L10" s="8">
        <v>0.451671180676051</v>
      </c>
      <c r="M10" s="8">
        <v>0.64467005076142136</v>
      </c>
      <c r="N10" s="8">
        <v>0.8523489932885906</v>
      </c>
      <c r="O10" s="8">
        <v>70</v>
      </c>
      <c r="P10" s="8">
        <v>22</v>
      </c>
      <c r="Q10" s="8">
        <f t="shared" si="0"/>
        <v>197</v>
      </c>
      <c r="R10" s="8">
        <v>149</v>
      </c>
      <c r="S10" s="8">
        <v>2471</v>
      </c>
      <c r="T10" s="8">
        <v>15907</v>
      </c>
      <c r="U10" s="8">
        <v>15448</v>
      </c>
      <c r="V10" s="8">
        <v>1905</v>
      </c>
      <c r="W10" s="8">
        <v>29.171198607787691</v>
      </c>
      <c r="X10" s="8">
        <v>38.568631716336739</v>
      </c>
      <c r="Y10" s="4">
        <v>2</v>
      </c>
      <c r="Z10" s="4">
        <v>3</v>
      </c>
    </row>
    <row r="11" spans="1:30" s="10" customFormat="1" ht="16.5" customHeight="1" x14ac:dyDescent="0.2">
      <c r="A11" s="9">
        <v>18</v>
      </c>
      <c r="B11" s="10">
        <v>1461.5</v>
      </c>
      <c r="C11" s="10">
        <v>1076.5</v>
      </c>
      <c r="D11" s="10">
        <v>0.77541998231653397</v>
      </c>
      <c r="E11" s="10">
        <v>0.95922066153149066</v>
      </c>
      <c r="F11" s="10">
        <v>0.81458434174266037</v>
      </c>
      <c r="G11" s="10">
        <v>0.75151722685158462</v>
      </c>
      <c r="H11" s="10">
        <v>0.74038679673321228</v>
      </c>
      <c r="I11" s="10">
        <v>0.67502318683574147</v>
      </c>
      <c r="J11" s="10">
        <v>0.7423656745264785</v>
      </c>
      <c r="K11" s="10">
        <v>0.71996303142329021</v>
      </c>
      <c r="L11" s="10">
        <v>0.67311114094664015</v>
      </c>
      <c r="M11" s="10">
        <v>0.86792452830188682</v>
      </c>
      <c r="N11" s="10">
        <v>0.89320388349514568</v>
      </c>
      <c r="O11" s="10">
        <v>14</v>
      </c>
      <c r="P11" s="10">
        <v>11</v>
      </c>
      <c r="Q11" s="10">
        <f t="shared" si="0"/>
        <v>106</v>
      </c>
      <c r="R11" s="10">
        <v>103</v>
      </c>
      <c r="S11" s="10">
        <v>2164</v>
      </c>
      <c r="T11" s="10">
        <v>3010</v>
      </c>
      <c r="U11" s="10">
        <v>3841</v>
      </c>
      <c r="V11" s="10">
        <v>1558</v>
      </c>
      <c r="W11" s="10">
        <v>71.527777777777786</v>
      </c>
      <c r="X11" s="10">
        <v>73.611111111111114</v>
      </c>
      <c r="Y11" s="2">
        <v>3</v>
      </c>
      <c r="Z11" s="2">
        <v>3</v>
      </c>
    </row>
    <row r="12" spans="1:30" s="2" customFormat="1" x14ac:dyDescent="0.2">
      <c r="A12" s="1">
        <v>19</v>
      </c>
      <c r="B12" s="2">
        <v>10338</v>
      </c>
      <c r="C12" s="2">
        <v>717</v>
      </c>
      <c r="D12" s="2">
        <v>0.81928975716633201</v>
      </c>
      <c r="E12" s="2">
        <v>0.61869966436296409</v>
      </c>
      <c r="F12" s="2">
        <v>0.50910517768683028</v>
      </c>
      <c r="G12" s="2">
        <v>0.74000270802007351</v>
      </c>
      <c r="H12" s="2">
        <v>0.81642294815359939</v>
      </c>
      <c r="I12" s="2">
        <v>0.35938210410181898</v>
      </c>
      <c r="J12" s="2">
        <v>0.9094470461095101</v>
      </c>
      <c r="K12" s="2">
        <v>0.60508701472556892</v>
      </c>
      <c r="L12" s="2">
        <v>0.35938210410181898</v>
      </c>
      <c r="M12" s="2">
        <v>0.53846153846153844</v>
      </c>
      <c r="N12" s="2">
        <v>0.6901408450704225</v>
      </c>
      <c r="O12" s="2">
        <v>42</v>
      </c>
      <c r="P12" s="2">
        <v>22</v>
      </c>
      <c r="Q12" s="2">
        <f t="shared" si="0"/>
        <v>91</v>
      </c>
      <c r="R12" s="2">
        <v>71</v>
      </c>
      <c r="S12" s="2">
        <v>1494</v>
      </c>
      <c r="T12" s="2">
        <v>20714</v>
      </c>
      <c r="U12" s="2">
        <v>20197</v>
      </c>
      <c r="V12" s="2">
        <v>904</v>
      </c>
      <c r="W12" s="2">
        <v>11.50418579530111</v>
      </c>
      <c r="X12" s="2">
        <v>14.74480151228733</v>
      </c>
      <c r="Y12" s="2">
        <v>1</v>
      </c>
      <c r="Z12" s="2">
        <v>1</v>
      </c>
    </row>
    <row r="13" spans="1:30" s="10" customFormat="1" x14ac:dyDescent="0.2">
      <c r="A13" s="9">
        <v>20</v>
      </c>
      <c r="B13" s="10">
        <v>8585</v>
      </c>
      <c r="C13" s="10">
        <v>2647</v>
      </c>
      <c r="D13" s="10">
        <v>0.82534741021476266</v>
      </c>
      <c r="E13" s="10">
        <v>0.84521382466720796</v>
      </c>
      <c r="F13" s="10">
        <v>0.79010276082854314</v>
      </c>
      <c r="G13" s="10">
        <v>0.73772875288196371</v>
      </c>
      <c r="H13" s="10">
        <v>0.84671559851461509</v>
      </c>
      <c r="I13" s="10">
        <v>0.60588571154428195</v>
      </c>
      <c r="J13" s="10">
        <v>0.82906399574543521</v>
      </c>
      <c r="K13" s="10">
        <v>0.8151623193844999</v>
      </c>
      <c r="L13" s="10">
        <v>0.60358777351605375</v>
      </c>
      <c r="M13" s="10">
        <v>0.84444444444444444</v>
      </c>
      <c r="N13" s="10">
        <v>0.84444444444444444</v>
      </c>
      <c r="O13" s="10">
        <v>42</v>
      </c>
      <c r="P13" s="10">
        <v>42</v>
      </c>
      <c r="Q13" s="10">
        <f t="shared" si="0"/>
        <v>270</v>
      </c>
      <c r="R13" s="10">
        <v>270</v>
      </c>
      <c r="S13" s="10">
        <v>5329</v>
      </c>
      <c r="T13" s="10">
        <v>17235</v>
      </c>
      <c r="U13" s="10">
        <v>18707</v>
      </c>
      <c r="V13" s="10">
        <v>4344</v>
      </c>
      <c r="W13" s="10">
        <v>43.058385753521748</v>
      </c>
      <c r="X13" s="10">
        <v>43.058385753521748</v>
      </c>
      <c r="Y13" s="2">
        <v>3</v>
      </c>
      <c r="Z13" s="2">
        <v>3</v>
      </c>
    </row>
    <row r="14" spans="1:30" s="10" customFormat="1" x14ac:dyDescent="0.2">
      <c r="A14" s="9">
        <v>21</v>
      </c>
      <c r="B14" s="10">
        <v>6033</v>
      </c>
      <c r="C14" s="10">
        <v>1551</v>
      </c>
      <c r="D14" s="10">
        <v>0.68500273672687473</v>
      </c>
      <c r="E14" s="10">
        <v>0.86753865562528309</v>
      </c>
      <c r="F14" s="10">
        <v>0.63773748012718601</v>
      </c>
      <c r="G14" s="10">
        <v>0.76758334555600038</v>
      </c>
      <c r="H14" s="10">
        <v>0.73680689359880114</v>
      </c>
      <c r="I14" s="10">
        <v>0.52662774953679503</v>
      </c>
      <c r="J14" s="10">
        <v>0.82189178566749643</v>
      </c>
      <c r="K14" s="10">
        <v>0.66120218579234968</v>
      </c>
      <c r="L14" s="10">
        <v>0.52662774953679503</v>
      </c>
      <c r="M14" s="10">
        <v>0.62841530054644812</v>
      </c>
      <c r="N14" s="10">
        <v>0.8098591549295775</v>
      </c>
      <c r="O14" s="10">
        <v>68</v>
      </c>
      <c r="P14" s="10">
        <v>27</v>
      </c>
      <c r="Q14" s="10">
        <f t="shared" si="0"/>
        <v>183</v>
      </c>
      <c r="R14" s="10">
        <v>142</v>
      </c>
      <c r="S14" s="10">
        <v>3111</v>
      </c>
      <c r="T14" s="10">
        <v>12155</v>
      </c>
      <c r="U14" s="10">
        <v>12547</v>
      </c>
      <c r="V14" s="10">
        <v>2057</v>
      </c>
      <c r="W14" s="10">
        <v>33.464257659073063</v>
      </c>
      <c r="X14" s="10">
        <v>43.126472898664566</v>
      </c>
      <c r="Y14" s="2">
        <v>3</v>
      </c>
      <c r="Z14" s="2">
        <v>3</v>
      </c>
    </row>
    <row r="15" spans="1:30" x14ac:dyDescent="0.2">
      <c r="J15">
        <f>AVERAGE(J2:J14)</f>
        <v>0.87063651301781886</v>
      </c>
      <c r="K15">
        <f>AVERAGE(K2:K14)</f>
        <v>0.73855011828640527</v>
      </c>
      <c r="L15">
        <f>AVERAGE(L2:L14)</f>
        <v>0.53732439505390284</v>
      </c>
      <c r="M15">
        <f>(R15-P15)/(R15-P15+O15)</f>
        <v>0.72631072631072635</v>
      </c>
      <c r="N15">
        <f>(R15-P15)/R15</f>
        <v>0.84546472564389696</v>
      </c>
      <c r="O15">
        <f>SUM(O2:O14)</f>
        <v>569</v>
      </c>
      <c r="P15">
        <f>SUM(P2:P14)</f>
        <v>276</v>
      </c>
      <c r="R15">
        <f>SUM(R2:R14)</f>
        <v>1786</v>
      </c>
    </row>
    <row r="17" spans="1:22" x14ac:dyDescent="0.2">
      <c r="B17" t="s">
        <v>32</v>
      </c>
      <c r="C17" t="s">
        <v>33</v>
      </c>
      <c r="F17" t="s">
        <v>36</v>
      </c>
      <c r="G17" t="s">
        <v>38</v>
      </c>
      <c r="H17" t="s">
        <v>39</v>
      </c>
      <c r="I17" t="s">
        <v>37</v>
      </c>
      <c r="J17" t="s">
        <v>40</v>
      </c>
      <c r="K17" t="s">
        <v>41</v>
      </c>
      <c r="L17" t="s">
        <v>42</v>
      </c>
      <c r="O17" t="s">
        <v>47</v>
      </c>
    </row>
    <row r="18" spans="1:22" x14ac:dyDescent="0.2">
      <c r="A18" t="s">
        <v>34</v>
      </c>
      <c r="B18">
        <f>SUM(V2:V14)</f>
        <v>25919</v>
      </c>
      <c r="C18">
        <f>C20-C19</f>
        <v>21469</v>
      </c>
      <c r="D18">
        <f>B18+C18</f>
        <v>47388</v>
      </c>
      <c r="F18">
        <f>D20/(D18+D19)</f>
        <v>0.87828594906829294</v>
      </c>
      <c r="G18">
        <f>B18/B20</f>
        <v>0.74767783995846071</v>
      </c>
      <c r="H18">
        <f>C19/C20</f>
        <v>0.89948405341124038</v>
      </c>
      <c r="I18">
        <f>B18/D18</f>
        <v>0.54695281505866467</v>
      </c>
      <c r="J18">
        <f>(K18-L18)/(1-L18)</f>
        <v>0.56093872440668346</v>
      </c>
      <c r="K18">
        <f>D20/(D18+D19)</f>
        <v>0.87828594906829294</v>
      </c>
      <c r="L18">
        <f>(B20*D18+C20*D19)/(B20+C20)^2</f>
        <v>0.72278573015296954</v>
      </c>
      <c r="O18" t="s">
        <v>43</v>
      </c>
      <c r="P18" t="s">
        <v>44</v>
      </c>
      <c r="Q18" t="s">
        <v>45</v>
      </c>
      <c r="R18" t="s">
        <v>46</v>
      </c>
    </row>
    <row r="19" spans="1:22" x14ac:dyDescent="0.2">
      <c r="A19" t="s">
        <v>35</v>
      </c>
      <c r="B19">
        <f>B20-B18</f>
        <v>8747</v>
      </c>
      <c r="C19">
        <f>D20-B18</f>
        <v>192119</v>
      </c>
      <c r="D19">
        <f>B19+C19</f>
        <v>200866</v>
      </c>
      <c r="M19" t="s">
        <v>48</v>
      </c>
      <c r="N19" t="s">
        <v>43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22" x14ac:dyDescent="0.2">
      <c r="B20">
        <f>SUM(S2:S14)</f>
        <v>34666</v>
      </c>
      <c r="C20">
        <f>SUM(T2:T14)</f>
        <v>213588</v>
      </c>
      <c r="D20">
        <f>SUM(U2:U14)</f>
        <v>218038</v>
      </c>
      <c r="N20" t="s">
        <v>44</v>
      </c>
      <c r="O20">
        <v>0</v>
      </c>
      <c r="P20">
        <v>3</v>
      </c>
      <c r="Q20">
        <v>0</v>
      </c>
      <c r="R20">
        <v>0</v>
      </c>
      <c r="S20">
        <v>3</v>
      </c>
    </row>
    <row r="21" spans="1:22" x14ac:dyDescent="0.2">
      <c r="N21" t="s">
        <v>45</v>
      </c>
      <c r="O21">
        <v>0</v>
      </c>
      <c r="P21">
        <v>1</v>
      </c>
      <c r="Q21">
        <v>2</v>
      </c>
      <c r="R21">
        <v>0</v>
      </c>
      <c r="S21">
        <v>3</v>
      </c>
    </row>
    <row r="22" spans="1:22" x14ac:dyDescent="0.2">
      <c r="N22" t="s">
        <v>46</v>
      </c>
      <c r="O22">
        <v>0</v>
      </c>
      <c r="P22">
        <v>0</v>
      </c>
      <c r="Q22">
        <v>2</v>
      </c>
      <c r="R22">
        <v>5</v>
      </c>
      <c r="S22">
        <v>7</v>
      </c>
    </row>
    <row r="23" spans="1:22" x14ac:dyDescent="0.2">
      <c r="O23">
        <v>0</v>
      </c>
      <c r="P23">
        <v>4</v>
      </c>
      <c r="Q23">
        <v>4</v>
      </c>
      <c r="R23">
        <v>5</v>
      </c>
      <c r="S23">
        <v>13</v>
      </c>
    </row>
    <row r="26" spans="1:22" x14ac:dyDescent="0.2">
      <c r="H26" s="11" t="s">
        <v>53</v>
      </c>
      <c r="I26" s="12" t="s">
        <v>49</v>
      </c>
      <c r="J26" s="12"/>
      <c r="K26" s="12" t="s">
        <v>52</v>
      </c>
      <c r="L26" s="12"/>
    </row>
    <row r="27" spans="1:22" x14ac:dyDescent="0.2">
      <c r="H27" s="11"/>
      <c r="I27" t="s">
        <v>50</v>
      </c>
      <c r="J27" t="s">
        <v>51</v>
      </c>
      <c r="K27" t="s">
        <v>50</v>
      </c>
      <c r="L27" t="s">
        <v>51</v>
      </c>
      <c r="O27" t="s">
        <v>58</v>
      </c>
      <c r="P27" t="s">
        <v>59</v>
      </c>
      <c r="Q27" s="5" t="s">
        <v>58</v>
      </c>
      <c r="R27" s="5" t="s">
        <v>59</v>
      </c>
      <c r="S27" s="5" t="s">
        <v>58</v>
      </c>
      <c r="T27" s="5" t="s">
        <v>59</v>
      </c>
      <c r="U27" s="5" t="s">
        <v>58</v>
      </c>
      <c r="V27" s="5" t="s">
        <v>59</v>
      </c>
    </row>
    <row r="28" spans="1:22" x14ac:dyDescent="0.2">
      <c r="H28" t="s">
        <v>54</v>
      </c>
      <c r="Q28"/>
    </row>
    <row r="29" spans="1:22" x14ac:dyDescent="0.2">
      <c r="H29" t="s">
        <v>55</v>
      </c>
      <c r="I29" t="s">
        <v>61</v>
      </c>
      <c r="J29" t="s">
        <v>62</v>
      </c>
      <c r="K29" t="s">
        <v>63</v>
      </c>
      <c r="L29" t="s">
        <v>64</v>
      </c>
      <c r="O29">
        <f>AVERAGE(R5,R7,R9,R12)</f>
        <v>73.5</v>
      </c>
      <c r="P29">
        <f>STDEV(R5,R7,R9,R12)</f>
        <v>17.058722109231979</v>
      </c>
      <c r="Q29">
        <f>AVERAGE(Q5,Q7,Q9,Q12)</f>
        <v>89.5</v>
      </c>
      <c r="R29">
        <f>STDEV(Q5,Q7,Q9,Q12)</f>
        <v>27.54995462791182</v>
      </c>
      <c r="S29">
        <f>AVERAGE(W5,W7,W12,W9)</f>
        <v>12.403961877155519</v>
      </c>
      <c r="T29">
        <f>STDEV(W5,W7,W9,W12)</f>
        <v>1.8129674696418716</v>
      </c>
      <c r="U29">
        <f>AVERAGE(X5,X7,X9,X12)</f>
        <v>14.910685058052275</v>
      </c>
      <c r="V29">
        <f>STDEV(X5,X7,X9,X12)</f>
        <v>2.7365452271763862</v>
      </c>
    </row>
    <row r="30" spans="1:22" x14ac:dyDescent="0.2">
      <c r="H30" t="s">
        <v>56</v>
      </c>
      <c r="I30" t="s">
        <v>65</v>
      </c>
      <c r="J30" t="s">
        <v>66</v>
      </c>
      <c r="K30" t="s">
        <v>67</v>
      </c>
      <c r="L30" t="s">
        <v>68</v>
      </c>
      <c r="O30">
        <f>AVERAGE(R2,R4,R8,R10)</f>
        <v>133.25</v>
      </c>
      <c r="P30">
        <f>STDEV(R2,R4,R8,R10)</f>
        <v>23.32916629457641</v>
      </c>
      <c r="Q30">
        <f>AVERAGE(Q2,Q4,Q8,Q10)</f>
        <v>160</v>
      </c>
      <c r="R30">
        <f>STDEV(Q2,Q4,Q8,Q10)</f>
        <v>38.27096375408734</v>
      </c>
      <c r="S30">
        <f>AVERAGE(S29,W2,W4,W8,W10)</f>
        <v>22.956472844257934</v>
      </c>
      <c r="T30">
        <f>STDEV(W2,W4,W8,W10)</f>
        <v>3.5761011572685568</v>
      </c>
      <c r="U30">
        <f>AVERAGE(U29,X2,X4,X8,X10)</f>
        <v>27.556220775950361</v>
      </c>
      <c r="V30">
        <f>STDEV(X2,X4,X8,X10)</f>
        <v>6.6182630924214765</v>
      </c>
    </row>
    <row r="31" spans="1:22" x14ac:dyDescent="0.2">
      <c r="H31" t="s">
        <v>57</v>
      </c>
      <c r="I31" t="s">
        <v>69</v>
      </c>
      <c r="J31" t="s">
        <v>70</v>
      </c>
      <c r="K31" t="s">
        <v>71</v>
      </c>
      <c r="L31" t="s">
        <v>72</v>
      </c>
      <c r="O31">
        <f>AVERAGE(R3,R6,R11,R13,R14)</f>
        <v>191.8</v>
      </c>
      <c r="P31">
        <f>STDEV(R3,R6,R11,R13,R14)</f>
        <v>70.485459493430255</v>
      </c>
      <c r="Q31">
        <f>AVERAGE(Q3,Q6,Q11,Q14,Q13)</f>
        <v>216.2</v>
      </c>
      <c r="R31">
        <f>STDEV(Q3,Q6,Q11,Q13,Q14)</f>
        <v>70.983800968953446</v>
      </c>
      <c r="S31">
        <f>AVERAGE(W3,W6,W11,W13,W14)</f>
        <v>43.750340445629988</v>
      </c>
      <c r="T31">
        <f>STDEV(W3,W6,W11,W13,W14)</f>
        <v>16.344987646230781</v>
      </c>
      <c r="U31">
        <f>AVERAGE(U29:U30,X3,X6,X11,X13,X14)</f>
        <v>40.746670822251687</v>
      </c>
      <c r="V31">
        <f>STDEV(X3,X6,X11,X13,X14)</f>
        <v>14.038623027199264</v>
      </c>
    </row>
    <row r="35" spans="7:10" x14ac:dyDescent="0.2">
      <c r="H35" t="s">
        <v>73</v>
      </c>
      <c r="I35" t="s">
        <v>74</v>
      </c>
      <c r="J35" t="s">
        <v>75</v>
      </c>
    </row>
    <row r="36" spans="7:10" x14ac:dyDescent="0.2">
      <c r="G36" t="s">
        <v>76</v>
      </c>
      <c r="H36">
        <f>10/13</f>
        <v>0.76923076923076927</v>
      </c>
      <c r="I36">
        <f>(12+12+35)/169</f>
        <v>0.34911242603550297</v>
      </c>
      <c r="J36">
        <f>(H36-I36)/(1-I36)</f>
        <v>0.6454545454545455</v>
      </c>
    </row>
    <row r="37" spans="7:10" x14ac:dyDescent="0.2">
      <c r="G37" t="s">
        <v>77</v>
      </c>
      <c r="H37">
        <v>1</v>
      </c>
      <c r="I37">
        <v>1</v>
      </c>
      <c r="J37">
        <v>1</v>
      </c>
    </row>
    <row r="38" spans="7:10" x14ac:dyDescent="0.2">
      <c r="G38" t="s">
        <v>78</v>
      </c>
      <c r="H38">
        <f>12/13</f>
        <v>0.92307692307692313</v>
      </c>
      <c r="I38">
        <f>(12+90)/169</f>
        <v>0.60355029585798814</v>
      </c>
      <c r="J38">
        <f>(H38-I38)/(1-I38)</f>
        <v>0.80597014925373145</v>
      </c>
    </row>
    <row r="39" spans="7:10" x14ac:dyDescent="0.2">
      <c r="G39" t="s">
        <v>79</v>
      </c>
      <c r="H39">
        <f>11/13</f>
        <v>0.84615384615384615</v>
      </c>
      <c r="I39">
        <f>(48+35)/169</f>
        <v>0.4911242603550296</v>
      </c>
      <c r="J39" s="5">
        <f>(H39-I39)/(1-I39)</f>
        <v>0.69767441860465118</v>
      </c>
    </row>
    <row r="40" spans="7:10" x14ac:dyDescent="0.2">
      <c r="J40">
        <f>(J37+J38+J39)/3</f>
        <v>0.83454818928612751</v>
      </c>
    </row>
  </sheetData>
  <mergeCells count="3">
    <mergeCell ref="H26:H27"/>
    <mergeCell ref="I26:J26"/>
    <mergeCell ref="K26:L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2018-12-12T13:13:47Z</dcterms:modified>
</cp:coreProperties>
</file>