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919C8F32-3B6F-46E1-9366-B0D7FD1BB8DF}" xr6:coauthVersionLast="46" xr6:coauthVersionMax="46" xr10:uidLastSave="{00000000-0000-0000-0000-000000000000}"/>
  <bookViews>
    <workbookView xWindow="38280" yWindow="5175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4" i="1" l="1"/>
  <c r="O54" i="1"/>
  <c r="T53" i="1"/>
  <c r="Q53" i="1"/>
  <c r="W53" i="1" s="1"/>
  <c r="O53" i="1"/>
  <c r="U53" i="1" s="1"/>
  <c r="F53" i="1"/>
  <c r="F52" i="1"/>
  <c r="V49" i="1"/>
  <c r="P49" i="1"/>
  <c r="T49" i="1" s="1"/>
  <c r="O49" i="1"/>
  <c r="S49" i="1" s="1"/>
  <c r="F49" i="1"/>
  <c r="F50" i="1" s="1"/>
  <c r="V48" i="1"/>
  <c r="U48" i="1"/>
  <c r="Q48" i="1"/>
  <c r="P48" i="1"/>
  <c r="T48" i="1" s="1"/>
  <c r="F48" i="1"/>
  <c r="O48" i="1" s="1"/>
  <c r="S48" i="1" s="1"/>
  <c r="D48" i="1"/>
  <c r="O44" i="1" s="1"/>
  <c r="S44" i="1" s="1"/>
  <c r="C47" i="1"/>
  <c r="F46" i="1"/>
  <c r="Q54" i="1" s="1"/>
  <c r="C46" i="1"/>
  <c r="B45" i="1"/>
  <c r="P44" i="1"/>
  <c r="T44" i="1" s="1"/>
  <c r="D44" i="1"/>
  <c r="F44" i="1" s="1"/>
  <c r="P43" i="1"/>
  <c r="T43" i="1" s="1"/>
  <c r="O43" i="1"/>
  <c r="S43" i="1" s="1"/>
  <c r="B42" i="1"/>
  <c r="E42" i="1" s="1"/>
  <c r="Q41" i="1"/>
  <c r="Q44" i="1" s="1"/>
  <c r="U44" i="1" s="1"/>
  <c r="E37" i="1"/>
  <c r="B37" i="1"/>
  <c r="E36" i="1"/>
  <c r="B36" i="1"/>
  <c r="E35" i="1"/>
  <c r="B35" i="1"/>
  <c r="E32" i="1"/>
  <c r="B32" i="1"/>
  <c r="E31" i="1"/>
  <c r="B31" i="1"/>
  <c r="E30" i="1"/>
  <c r="B30" i="1"/>
  <c r="B27" i="1"/>
  <c r="B26" i="1"/>
  <c r="B25" i="1"/>
  <c r="T5" i="1"/>
  <c r="S5" i="1"/>
  <c r="T4" i="1"/>
  <c r="S4" i="1"/>
  <c r="P53" i="1" l="1"/>
  <c r="V53" i="1" s="1"/>
  <c r="Q49" i="1"/>
  <c r="U49" i="1" s="1"/>
  <c r="Q40" i="1"/>
  <c r="Q43" i="1" s="1"/>
  <c r="U43" i="1" s="1"/>
</calcChain>
</file>

<file path=xl/sharedStrings.xml><?xml version="1.0" encoding="utf-8"?>
<sst xmlns="http://schemas.openxmlformats.org/spreadsheetml/2006/main" count="133" uniqueCount="90">
  <si>
    <t>Tier 1</t>
  </si>
  <si>
    <t>Name</t>
  </si>
  <si>
    <t>Spider</t>
  </si>
  <si>
    <t>Rat</t>
  </si>
  <si>
    <t>Slime</t>
  </si>
  <si>
    <t>Bosses</t>
  </si>
  <si>
    <t>HP</t>
  </si>
  <si>
    <t>Slime Rat</t>
  </si>
  <si>
    <t>Red Dragon</t>
  </si>
  <si>
    <t>The Corrupted</t>
  </si>
  <si>
    <t>T1 - T2:</t>
  </si>
  <si>
    <t>T2-T3:</t>
  </si>
  <si>
    <t>ATK</t>
  </si>
  <si>
    <t>CRIT%</t>
  </si>
  <si>
    <t>Tier 2</t>
  </si>
  <si>
    <t>Laveel</t>
  </si>
  <si>
    <t>Snake Warrior</t>
  </si>
  <si>
    <t>Cephalo</t>
  </si>
  <si>
    <t>Tier 3</t>
  </si>
  <si>
    <t>Shadow</t>
  </si>
  <si>
    <t>Void Mage</t>
  </si>
  <si>
    <t>Reaper</t>
  </si>
  <si>
    <t>Tier 1:</t>
  </si>
  <si>
    <t>Avg HP:</t>
  </si>
  <si>
    <t>Avg ATK:</t>
  </si>
  <si>
    <t>Avg Crit:</t>
  </si>
  <si>
    <t>Tier 2:</t>
  </si>
  <si>
    <t>% Increase:</t>
  </si>
  <si>
    <t>Aspects:</t>
  </si>
  <si>
    <t>Tier 3:</t>
  </si>
  <si>
    <t>Mage</t>
  </si>
  <si>
    <t>Increases max MP by 10. +10 mp on kill</t>
  </si>
  <si>
    <t>Knight</t>
  </si>
  <si>
    <t>Increases max HP by 20. +15 hp on kill</t>
  </si>
  <si>
    <t>Rogue</t>
  </si>
  <si>
    <t>Access to Poison Action. Crit Chance triples. All damaging abilites can crit</t>
  </si>
  <si>
    <t>Sentinel</t>
  </si>
  <si>
    <t>Access to Block Action. All Heals do 50% more. All spells costs 50% less.</t>
  </si>
  <si>
    <t>Enemies Killed:</t>
  </si>
  <si>
    <t>T1:</t>
  </si>
  <si>
    <t>T2:</t>
  </si>
  <si>
    <t>T3:</t>
  </si>
  <si>
    <t>Player Level Calc:</t>
  </si>
  <si>
    <t>DMG PER MP</t>
  </si>
  <si>
    <t>XP</t>
  </si>
  <si>
    <t>Calc LVL:</t>
  </si>
  <si>
    <t>Fireball:</t>
  </si>
  <si>
    <t>Lowest</t>
  </si>
  <si>
    <t>Highest</t>
  </si>
  <si>
    <t>AVG DMG:</t>
  </si>
  <si>
    <t>Cost:</t>
  </si>
  <si>
    <t>MIN</t>
  </si>
  <si>
    <t>MAX</t>
  </si>
  <si>
    <t>AVG</t>
  </si>
  <si>
    <t>LVL:</t>
  </si>
  <si>
    <t>Rogue:</t>
  </si>
  <si>
    <t>HP:</t>
  </si>
  <si>
    <t>before tier 3:</t>
  </si>
  <si>
    <t>after t3:</t>
  </si>
  <si>
    <t>Sentinel:</t>
  </si>
  <si>
    <t>MAX MP:</t>
  </si>
  <si>
    <t>Slash:</t>
  </si>
  <si>
    <t>AP:</t>
  </si>
  <si>
    <t>Blast:</t>
  </si>
  <si>
    <t>Heal:</t>
  </si>
  <si>
    <t>HP Gain:</t>
  </si>
  <si>
    <t>Templar Gain:</t>
  </si>
  <si>
    <t xml:space="preserve"> </t>
  </si>
  <si>
    <t>Poison:</t>
  </si>
  <si>
    <t>W/ Poison</t>
  </si>
  <si>
    <t>Slash</t>
  </si>
  <si>
    <t>Lowest:</t>
  </si>
  <si>
    <t>Highest:</t>
  </si>
  <si>
    <t>Avg:</t>
  </si>
  <si>
    <t>Templar Heal:</t>
  </si>
  <si>
    <t>Actions</t>
  </si>
  <si>
    <t>Cost(MP)</t>
  </si>
  <si>
    <t xml:space="preserve"> Unique Effect</t>
  </si>
  <si>
    <t>gives mp</t>
  </si>
  <si>
    <t>Blast</t>
  </si>
  <si>
    <t>gives hp</t>
  </si>
  <si>
    <t>Heal</t>
  </si>
  <si>
    <t>Siphon</t>
  </si>
  <si>
    <t>instantly kills enemy under 20% hp. Restores half max hp</t>
  </si>
  <si>
    <t>Fireball</t>
  </si>
  <si>
    <t>has a chance to double cast</t>
  </si>
  <si>
    <t>Block</t>
  </si>
  <si>
    <t>negates 50% damage from next attack</t>
  </si>
  <si>
    <t>Poison</t>
  </si>
  <si>
    <t>adds +3 damage to Slash for rest of turn. Can crit.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</si>
</sst>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color theme="1"/>
      <name val="Arial"/>
    </font>
    <font>
      <sz val="10"/>
      <color rgb="FF274E13"/>
      <name val="Arial"/>
    </font>
    <font>
      <sz val="10"/>
      <color rgb="FF5B0F00"/>
      <name val="Arial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/>
    <xf numFmtId="0" fontId="2" fillId="2" borderId="0" xfId="0" applyFont="1" applyFill="1" applyAlignment="1"/>
    <xf numFmtId="0" fontId="2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/>
    <xf numFmtId="0" fontId="3" fillId="0" borderId="0" xfId="0" applyFont="1"/>
    <xf numFmtId="9" fontId="1" fillId="0" borderId="0" xfId="0" applyNumberFormat="1" applyFont="1"/>
    <xf numFmtId="0" fontId="4" fillId="4" borderId="0" xfId="0" applyFont="1" applyFill="1" applyAlignment="1"/>
    <xf numFmtId="0" fontId="1" fillId="5" borderId="0" xfId="0" applyFont="1" applyFill="1" applyAlignment="1"/>
    <xf numFmtId="0" fontId="1" fillId="5" borderId="0" xfId="0" applyFont="1" applyFill="1"/>
    <xf numFmtId="0" fontId="2" fillId="5" borderId="0" xfId="0" applyFont="1" applyFill="1" applyAlignment="1"/>
    <xf numFmtId="0" fontId="3" fillId="5" borderId="0" xfId="0" applyFont="1" applyFill="1" applyAlignment="1"/>
    <xf numFmtId="0" fontId="1" fillId="6" borderId="0" xfId="0" applyFont="1" applyFill="1" applyAlignment="1"/>
    <xf numFmtId="0" fontId="1" fillId="6" borderId="0" xfId="0" applyFont="1" applyFill="1"/>
    <xf numFmtId="0" fontId="1" fillId="6" borderId="0" xfId="0" applyFont="1" applyFill="1" applyAlignment="1"/>
    <xf numFmtId="0" fontId="1" fillId="0" borderId="0" xfId="0" applyFont="1" applyAlignment="1"/>
    <xf numFmtId="0" fontId="2" fillId="6" borderId="0" xfId="0" applyFont="1" applyFill="1" applyAlignment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7" borderId="0" xfId="0" applyFont="1" applyFill="1" applyAlignment="1"/>
    <xf numFmtId="0" fontId="1" fillId="7" borderId="0" xfId="0" applyFont="1" applyFill="1"/>
    <xf numFmtId="9" fontId="4" fillId="4" borderId="0" xfId="0" applyNumberFormat="1" applyFont="1" applyFill="1"/>
    <xf numFmtId="0" fontId="1" fillId="0" borderId="0" xfId="0" applyFont="1"/>
    <xf numFmtId="0" fontId="1" fillId="0" borderId="0" xfId="0" applyFont="1" applyAlignment="1"/>
    <xf numFmtId="0" fontId="1" fillId="8" borderId="0" xfId="0" applyFont="1" applyFill="1" applyAlignment="1"/>
    <xf numFmtId="0" fontId="1" fillId="8" borderId="0" xfId="0" applyFont="1" applyFill="1" applyAlignment="1"/>
    <xf numFmtId="0" fontId="1" fillId="0" borderId="0" xfId="0" applyFont="1" applyAlignment="1">
      <alignment horizontal="right"/>
    </xf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4" fillId="7" borderId="0" xfId="0" applyFont="1" applyFill="1"/>
    <xf numFmtId="0" fontId="1" fillId="7" borderId="0" xfId="0" applyFont="1" applyFill="1" applyAlignment="1"/>
    <xf numFmtId="0" fontId="1" fillId="7" borderId="0" xfId="0" applyFont="1" applyFill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Tier 2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Laveel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Sheet1!$A$10:$A$13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80</c:v>
                </c:pt>
                <c:pt idx="1">
                  <c:v>12</c:v>
                </c:pt>
                <c:pt idx="2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432-4769-8FC4-403B13686DCE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Snake Warrior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Sheet1!$A$10:$A$13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432-4769-8FC4-403B13686DCE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Cephalo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Sheet1!$A$10:$A$13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120</c:v>
                </c:pt>
                <c:pt idx="1">
                  <c:v>8</c:v>
                </c:pt>
                <c:pt idx="2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432-4769-8FC4-403B13686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627086"/>
        <c:axId val="1067266721"/>
      </c:barChart>
      <c:catAx>
        <c:axId val="1242627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7266721"/>
        <c:crosses val="autoZero"/>
        <c:auto val="1"/>
        <c:lblAlgn val="ctr"/>
        <c:lblOffset val="100"/>
        <c:noMultiLvlLbl val="1"/>
      </c:catAx>
      <c:valAx>
        <c:axId val="1067266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26270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Cephalo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Sheet1!$D$9</c:f>
              <c:strCache>
                <c:ptCount val="1"/>
                <c:pt idx="0">
                  <c:v>Cephalo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6026-4A41-AD27-974B932C294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6026-4A41-AD27-974B932C294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6026-4A41-AD27-974B932C2948}"/>
              </c:ext>
            </c:extLst>
          </c:dPt>
          <c:cat>
            <c:strRef>
              <c:f>Sheet1!$A$10:$A$12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Sheet1!$D$10:$D$12</c:f>
              <c:numCache>
                <c:formatCode>General</c:formatCode>
                <c:ptCount val="3"/>
                <c:pt idx="0">
                  <c:v>120</c:v>
                </c:pt>
                <c:pt idx="1">
                  <c:v>8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26-4A41-AD27-974B932C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Shadow</a:t>
            </a:r>
          </a:p>
        </c:rich>
      </c:tx>
      <c:layout>
        <c:manualLayout>
          <c:xMode val="edge"/>
          <c:yMode val="edge"/>
          <c:x val="3.5282258064516132E-2"/>
          <c:y val="0.05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Sheet1!$B$16</c:f>
              <c:strCache>
                <c:ptCount val="1"/>
                <c:pt idx="0">
                  <c:v>Shadow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A4F-4526-BA53-73B3B463ED9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A4F-4526-BA53-73B3B463ED9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4A4F-4526-BA53-73B3B463ED92}"/>
              </c:ext>
            </c:extLst>
          </c:dPt>
          <c:cat>
            <c:strRef>
              <c:f>Sheet1!$A$17:$A$19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Sheet1!$B$17:$B$19</c:f>
              <c:numCache>
                <c:formatCode>General</c:formatCode>
                <c:ptCount val="3"/>
                <c:pt idx="0">
                  <c:v>150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4F-4526-BA53-73B3B463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Void Mage</a:t>
            </a:r>
          </a:p>
        </c:rich>
      </c:tx>
      <c:layout>
        <c:manualLayout>
          <c:xMode val="edge"/>
          <c:yMode val="edge"/>
          <c:x val="3.5282258064516132E-2"/>
          <c:y val="0.05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Sheet1!$C$16</c:f>
              <c:strCache>
                <c:ptCount val="1"/>
                <c:pt idx="0">
                  <c:v>Void Mage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712E-417C-B361-EF72EE92AC0B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712E-417C-B361-EF72EE92AC0B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712E-417C-B361-EF72EE92AC0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712E-417C-B361-EF72EE92AC0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7-712E-417C-B361-EF72EE92AC0B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8-712E-417C-B361-EF72EE92AC0B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9-712E-417C-B361-EF72EE92AC0B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A-712E-417C-B361-EF72EE92AC0B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B-712E-417C-B361-EF72EE92AC0B}"/>
              </c:ext>
            </c:extLst>
          </c:dPt>
          <c:cat>
            <c:strRef>
              <c:f>Sheet1!$A$17:$A$19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Sheet1!$C$17:$C$25</c:f>
              <c:numCache>
                <c:formatCode>General</c:formatCode>
                <c:ptCount val="9"/>
                <c:pt idx="0">
                  <c:v>200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2E-417C-B361-EF72EE92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Reaper</a:t>
            </a:r>
          </a:p>
        </c:rich>
      </c:tx>
      <c:layout>
        <c:manualLayout>
          <c:xMode val="edge"/>
          <c:yMode val="edge"/>
          <c:x val="3.5282258064516132E-2"/>
          <c:y val="0.05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Sheet1!$D$16</c:f>
              <c:strCache>
                <c:ptCount val="1"/>
                <c:pt idx="0">
                  <c:v>Reaper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278-438E-A1D6-BFBBDB2FCB6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D278-438E-A1D6-BFBBDB2FCB69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D278-438E-A1D6-BFBBDB2FCB69}"/>
              </c:ext>
            </c:extLst>
          </c:dPt>
          <c:cat>
            <c:strRef>
              <c:f>Sheet1!$A$17:$A$19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Sheet1!$D$17:$D$19</c:f>
              <c:numCache>
                <c:formatCode>General</c:formatCode>
                <c:ptCount val="3"/>
                <c:pt idx="0">
                  <c:v>250</c:v>
                </c:pt>
                <c:pt idx="1">
                  <c:v>25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78-438E-A1D6-BFBBDB2F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Tier 3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Sheet1!$B$16</c:f>
              <c:strCache>
                <c:ptCount val="1"/>
                <c:pt idx="0">
                  <c:v>Shadow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Sheet1!$A$17:$A$19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Sheet1!$B$17:$B$19</c:f>
              <c:numCache>
                <c:formatCode>General</c:formatCode>
                <c:ptCount val="3"/>
                <c:pt idx="0">
                  <c:v>150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9CF-49C9-A12F-B096FE26C080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Void Mage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Sheet1!$A$17:$A$19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Sheet1!$C$17:$C$19</c:f>
              <c:numCache>
                <c:formatCode>General</c:formatCode>
                <c:ptCount val="3"/>
                <c:pt idx="0">
                  <c:v>200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9CF-49C9-A12F-B096FE26C080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Reaper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Sheet1!$A$17:$A$19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Sheet1!$D$17:$D$19</c:f>
              <c:numCache>
                <c:formatCode>General</c:formatCode>
                <c:ptCount val="3"/>
                <c:pt idx="0">
                  <c:v>250</c:v>
                </c:pt>
                <c:pt idx="1">
                  <c:v>25</c:v>
                </c:pt>
                <c:pt idx="2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9CF-49C9-A12F-B096FE26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87210"/>
        <c:axId val="1135926246"/>
      </c:barChart>
      <c:catAx>
        <c:axId val="204887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5926246"/>
        <c:crosses val="autoZero"/>
        <c:auto val="1"/>
        <c:lblAlgn val="ctr"/>
        <c:lblOffset val="100"/>
        <c:noMultiLvlLbl val="1"/>
      </c:catAx>
      <c:valAx>
        <c:axId val="1135926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8872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Tier 1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Spider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Sheet1!$A$3:$A$5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20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43-4FE3-A7B5-861F34F008F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Rat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Sheet1!$A$3:$A$5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30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743-4FE3-A7B5-861F34F008F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Slime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Sheet1!$A$3:$A$5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40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743-4FE3-A7B5-861F34F00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858510"/>
        <c:axId val="18776565"/>
      </c:barChart>
      <c:catAx>
        <c:axId val="302858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76565"/>
        <c:crosses val="autoZero"/>
        <c:auto val="1"/>
        <c:lblAlgn val="ctr"/>
        <c:lblOffset val="100"/>
        <c:noMultiLvlLbl val="1"/>
      </c:catAx>
      <c:valAx>
        <c:axId val="18776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28585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Bosses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Sheet1!$O$2:$O$3</c:f>
              <c:strCache>
                <c:ptCount val="2"/>
                <c:pt idx="1">
                  <c:v>Slime Rat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Sheet1!$N$4:$N$6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Sheet1!$O$4:$O$6</c:f>
              <c:numCache>
                <c:formatCode>General</c:formatCode>
                <c:ptCount val="3"/>
                <c:pt idx="0">
                  <c:v>100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E8-4762-AE40-0251906F7464}"/>
            </c:ext>
          </c:extLst>
        </c:ser>
        <c:ser>
          <c:idx val="1"/>
          <c:order val="1"/>
          <c:tx>
            <c:strRef>
              <c:f>Sheet1!$P$2:$P$3</c:f>
              <c:strCache>
                <c:ptCount val="2"/>
                <c:pt idx="1">
                  <c:v>Red Dragon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Sheet1!$N$4:$N$6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Sheet1!$P$4:$P$6</c:f>
              <c:numCache>
                <c:formatCode>General</c:formatCode>
                <c:ptCount val="3"/>
                <c:pt idx="0">
                  <c:v>250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8E8-4762-AE40-0251906F7464}"/>
            </c:ext>
          </c:extLst>
        </c:ser>
        <c:ser>
          <c:idx val="2"/>
          <c:order val="2"/>
          <c:tx>
            <c:strRef>
              <c:f>Sheet1!$Q$2:$Q$3</c:f>
              <c:strCache>
                <c:ptCount val="2"/>
                <c:pt idx="1">
                  <c:v>The Corrupted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Sheet1!$N$4:$N$6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Sheet1!$Q$4:$Q$6</c:f>
              <c:numCache>
                <c:formatCode>General</c:formatCode>
                <c:ptCount val="3"/>
                <c:pt idx="0">
                  <c:v>1000</c:v>
                </c:pt>
                <c:pt idx="1">
                  <c:v>10</c:v>
                </c:pt>
                <c:pt idx="2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8E8-4762-AE40-0251906F7464}"/>
            </c:ext>
          </c:extLst>
        </c:ser>
        <c:ser>
          <c:idx val="3"/>
          <c:order val="3"/>
          <c:tx>
            <c:v>The Corrupted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8E8-4762-AE40-0251906F7464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48E8-4762-AE40-0251906F7464}"/>
              </c:ext>
            </c:extLst>
          </c:dPt>
          <c:cat>
            <c:strRef>
              <c:f>Sheet1!$N$4:$N$6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Sheet1!$R$4:$R$6</c:f>
              <c:numCache>
                <c:formatCode>General</c:formatCode>
                <c:ptCount val="3"/>
                <c:pt idx="1">
                  <c:v>10</c:v>
                </c:pt>
                <c:pt idx="2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48E8-4762-AE40-0251906F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7436687"/>
        <c:axId val="839508213"/>
      </c:barChart>
      <c:catAx>
        <c:axId val="162743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9508213"/>
        <c:crosses val="autoZero"/>
        <c:auto val="1"/>
        <c:lblAlgn val="ctr"/>
        <c:lblOffset val="100"/>
        <c:noMultiLvlLbl val="1"/>
      </c:catAx>
      <c:valAx>
        <c:axId val="839508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7436687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 lvl="0">
              <a:defRPr>
                <a:solidFill>
                  <a:srgbClr val="FF99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71756115485564298"/>
          <c:y val="0.41419049033965094"/>
          <c:w val="0.2691055118110236"/>
          <c:h val="0.2452934892572390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Spider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Spider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5833-4323-B1D1-B450FCC7599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5833-4323-B1D1-B450FCC75993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5833-4323-B1D1-B450FCC75993}"/>
              </c:ext>
            </c:extLst>
          </c:dPt>
          <c:cat>
            <c:strRef>
              <c:f>Sheet1!$A$3:$A$5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20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33-4323-B1D1-B450FCC75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Rat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Rat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EABF-4BAF-B64C-4997060AF7B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EABF-4BAF-B64C-4997060AF7B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EABF-4BAF-B64C-4997060AF7B8}"/>
              </c:ext>
            </c:extLst>
          </c:dPt>
          <c:cat>
            <c:strRef>
              <c:f>Sheet1!$A$3:$A$5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30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BF-4BAF-B64C-4997060A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Slime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Slime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CB7-4A4B-8334-04DE7F4FBD41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CB7-4A4B-8334-04DE7F4FBD41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3CB7-4A4B-8334-04DE7F4FBD41}"/>
              </c:ext>
            </c:extLst>
          </c:dPt>
          <c:cat>
            <c:strRef>
              <c:f>Sheet1!$A$3:$A$5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40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B7-4A4B-8334-04DE7F4F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Laveel</a:t>
            </a:r>
          </a:p>
        </c:rich>
      </c:tx>
      <c:layout>
        <c:manualLayout>
          <c:xMode val="edge"/>
          <c:yMode val="edge"/>
          <c:x val="3.5282258064516132E-2"/>
          <c:y val="0.05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Laveel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6E3-40D9-AAC2-DE983884F786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6E3-40D9-AAC2-DE983884F786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96E3-40D9-AAC2-DE983884F786}"/>
              </c:ext>
            </c:extLst>
          </c:dPt>
          <c:cat>
            <c:strRef>
              <c:f>Sheet1!$A$10:$A$12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80</c:v>
                </c:pt>
                <c:pt idx="1">
                  <c:v>12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E3-40D9-AAC2-DE983884F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Snake Warrior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Snake Warrior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C27-4C80-8525-F110CC61D0B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AC27-4C80-8525-F110CC61D0B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AC27-4C80-8525-F110CC61D0B8}"/>
              </c:ext>
            </c:extLst>
          </c:dPt>
          <c:cat>
            <c:strRef>
              <c:f>Sheet1!$A$10:$A$12</c:f>
              <c:strCache>
                <c:ptCount val="3"/>
                <c:pt idx="0">
                  <c:v>HP</c:v>
                </c:pt>
                <c:pt idx="1">
                  <c:v>ATK</c:v>
                </c:pt>
                <c:pt idx="2">
                  <c:v>CRIT%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100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27-4C80-8525-F110CC61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723900</xdr:colOff>
      <xdr:row>17</xdr:row>
      <xdr:rowOff>133350</xdr:rowOff>
    </xdr:from>
    <xdr:ext cx="5572125" cy="34575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723900</xdr:colOff>
      <xdr:row>35</xdr:row>
      <xdr:rowOff>9525</xdr:rowOff>
    </xdr:from>
    <xdr:ext cx="5572125" cy="34575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723900</xdr:colOff>
      <xdr:row>0</xdr:row>
      <xdr:rowOff>38100</xdr:rowOff>
    </xdr:from>
    <xdr:ext cx="5572125" cy="34575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20</xdr:col>
      <xdr:colOff>28575</xdr:colOff>
      <xdr:row>0</xdr:row>
      <xdr:rowOff>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533400</xdr:colOff>
      <xdr:row>7</xdr:row>
      <xdr:rowOff>171450</xdr:rowOff>
    </xdr:from>
    <xdr:ext cx="2362200" cy="14763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28575</xdr:colOff>
      <xdr:row>7</xdr:row>
      <xdr:rowOff>171450</xdr:rowOff>
    </xdr:from>
    <xdr:ext cx="2362200" cy="14763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17</xdr:col>
      <xdr:colOff>466725</xdr:colOff>
      <xdr:row>7</xdr:row>
      <xdr:rowOff>171450</xdr:rowOff>
    </xdr:from>
    <xdr:ext cx="2362200" cy="14763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12</xdr:col>
      <xdr:colOff>533400</xdr:colOff>
      <xdr:row>15</xdr:row>
      <xdr:rowOff>66675</xdr:rowOff>
    </xdr:from>
    <xdr:ext cx="2362200" cy="14763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15</xdr:col>
      <xdr:colOff>28575</xdr:colOff>
      <xdr:row>15</xdr:row>
      <xdr:rowOff>66675</xdr:rowOff>
    </xdr:from>
    <xdr:ext cx="2362200" cy="14763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17</xdr:col>
      <xdr:colOff>466725</xdr:colOff>
      <xdr:row>15</xdr:row>
      <xdr:rowOff>66675</xdr:rowOff>
    </xdr:from>
    <xdr:ext cx="2362200" cy="14763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12</xdr:col>
      <xdr:colOff>533400</xdr:colOff>
      <xdr:row>22</xdr:row>
      <xdr:rowOff>152400</xdr:rowOff>
    </xdr:from>
    <xdr:ext cx="2362200" cy="14763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15</xdr:col>
      <xdr:colOff>28575</xdr:colOff>
      <xdr:row>22</xdr:row>
      <xdr:rowOff>152400</xdr:rowOff>
    </xdr:from>
    <xdr:ext cx="2362200" cy="14763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17</xdr:col>
      <xdr:colOff>466725</xdr:colOff>
      <xdr:row>22</xdr:row>
      <xdr:rowOff>152400</xdr:rowOff>
    </xdr:from>
    <xdr:ext cx="2362200" cy="1476375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0</xdr:col>
      <xdr:colOff>0</xdr:colOff>
      <xdr:row>66</xdr:row>
      <xdr:rowOff>-66675</xdr:rowOff>
    </xdr:from>
    <xdr:ext cx="11363325" cy="9753600"/>
    <xdr:pic>
      <xdr:nvPicPr>
        <xdr:cNvPr id="15" name="image1.png" title="Imag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61"/>
  <sheetViews>
    <sheetView tabSelected="1" workbookViewId="0">
      <selection activeCell="W22" sqref="W22"/>
    </sheetView>
  </sheetViews>
  <sheetFormatPr defaultColWidth="14.44140625" defaultRowHeight="15.75" customHeight="1"/>
  <sheetData>
    <row r="1" spans="1:20">
      <c r="A1" s="1" t="s">
        <v>0</v>
      </c>
      <c r="B1" s="2"/>
      <c r="C1" s="2"/>
      <c r="D1" s="2"/>
      <c r="N1" t="s">
        <v>5</v>
      </c>
    </row>
    <row r="2" spans="1:20">
      <c r="A2" s="1" t="s">
        <v>1</v>
      </c>
      <c r="B2" s="1" t="s">
        <v>2</v>
      </c>
      <c r="C2" s="1" t="s">
        <v>3</v>
      </c>
      <c r="D2" s="1" t="s">
        <v>4</v>
      </c>
      <c r="N2" s="3"/>
      <c r="O2" s="4"/>
      <c r="P2" s="4"/>
      <c r="Q2" s="4"/>
      <c r="R2" s="4"/>
    </row>
    <row r="3" spans="1:20">
      <c r="A3" s="5" t="s">
        <v>6</v>
      </c>
      <c r="B3" s="5">
        <v>20</v>
      </c>
      <c r="C3" s="5">
        <v>30</v>
      </c>
      <c r="D3" s="5">
        <v>40</v>
      </c>
      <c r="E3" s="6"/>
      <c r="N3" s="3" t="s">
        <v>1</v>
      </c>
      <c r="O3" s="3" t="s">
        <v>7</v>
      </c>
      <c r="P3" s="3" t="s">
        <v>8</v>
      </c>
      <c r="Q3" s="3" t="s">
        <v>9</v>
      </c>
      <c r="R3" s="4"/>
      <c r="S3" s="7" t="s">
        <v>10</v>
      </c>
      <c r="T3" s="7" t="s">
        <v>11</v>
      </c>
    </row>
    <row r="4" spans="1:20">
      <c r="A4" s="8" t="s">
        <v>12</v>
      </c>
      <c r="B4" s="8">
        <v>6</v>
      </c>
      <c r="C4" s="8">
        <v>4</v>
      </c>
      <c r="D4" s="8">
        <v>2</v>
      </c>
      <c r="E4" s="9"/>
      <c r="N4" s="3" t="s">
        <v>6</v>
      </c>
      <c r="O4" s="3">
        <v>100</v>
      </c>
      <c r="P4" s="3">
        <v>250</v>
      </c>
      <c r="Q4" s="3">
        <v>1000</v>
      </c>
      <c r="R4" s="4"/>
      <c r="S4" s="10">
        <f ca="1">IFERROR(__xludf.DUMMYFUNCTION("to_percent((P4-O4)/P4)"),0.6)</f>
        <v>0.6</v>
      </c>
      <c r="T4" s="10">
        <f ca="1">IFERROR(__xludf.DUMMYFUNCTION("to_percent((Q4-P4)/Q4)"),0.75)</f>
        <v>0.75</v>
      </c>
    </row>
    <row r="5" spans="1:20">
      <c r="A5" s="1" t="s">
        <v>13</v>
      </c>
      <c r="B5" s="1">
        <v>7</v>
      </c>
      <c r="C5" s="1">
        <v>5</v>
      </c>
      <c r="D5" s="1">
        <v>5</v>
      </c>
      <c r="N5" s="3" t="s">
        <v>12</v>
      </c>
      <c r="O5" s="3">
        <v>10</v>
      </c>
      <c r="P5" s="3">
        <v>12</v>
      </c>
      <c r="Q5" s="3">
        <v>10</v>
      </c>
      <c r="R5" s="3">
        <v>10</v>
      </c>
      <c r="S5" s="10">
        <f ca="1">IFERROR(__xludf.DUMMYFUNCTION("to_percent((P5-O5)/P5)"),0.166666666666666)</f>
        <v>0.16666666666666599</v>
      </c>
      <c r="T5" s="10">
        <f ca="1">IFERROR(__xludf.DUMMYFUNCTION("to_percent(((Q5+R5)-P5)/Q5)"),0.8)</f>
        <v>0.8</v>
      </c>
    </row>
    <row r="6" spans="1:20">
      <c r="E6" s="11"/>
      <c r="N6" s="3" t="s">
        <v>13</v>
      </c>
      <c r="O6" s="3">
        <v>5</v>
      </c>
      <c r="P6" s="3">
        <v>15</v>
      </c>
      <c r="Q6" s="3">
        <v>25</v>
      </c>
      <c r="R6" s="3">
        <v>25</v>
      </c>
    </row>
    <row r="7" spans="1:20">
      <c r="E7" s="7"/>
    </row>
    <row r="8" spans="1:20">
      <c r="A8" s="12" t="s">
        <v>14</v>
      </c>
      <c r="B8" s="13"/>
      <c r="C8" s="13"/>
      <c r="D8" s="13"/>
    </row>
    <row r="9" spans="1:20">
      <c r="A9" s="12" t="s">
        <v>1</v>
      </c>
      <c r="B9" s="12" t="s">
        <v>15</v>
      </c>
      <c r="C9" s="12" t="s">
        <v>16</v>
      </c>
      <c r="D9" s="12" t="s">
        <v>17</v>
      </c>
      <c r="E9" s="11"/>
    </row>
    <row r="10" spans="1:20">
      <c r="A10" s="14" t="s">
        <v>6</v>
      </c>
      <c r="B10" s="14">
        <v>80</v>
      </c>
      <c r="C10" s="14">
        <v>100</v>
      </c>
      <c r="D10" s="14">
        <v>120</v>
      </c>
    </row>
    <row r="11" spans="1:20">
      <c r="A11" s="15" t="s">
        <v>12</v>
      </c>
      <c r="B11" s="15">
        <v>12</v>
      </c>
      <c r="C11" s="15">
        <v>10</v>
      </c>
      <c r="D11" s="15">
        <v>8</v>
      </c>
      <c r="E11" s="9"/>
    </row>
    <row r="12" spans="1:20">
      <c r="A12" s="12" t="s">
        <v>13</v>
      </c>
      <c r="B12" s="12">
        <v>10</v>
      </c>
      <c r="C12" s="12">
        <v>15</v>
      </c>
      <c r="D12" s="12">
        <v>25</v>
      </c>
    </row>
    <row r="13" spans="1:20">
      <c r="A13" s="7"/>
      <c r="E13" s="11"/>
    </row>
    <row r="14" spans="1:20">
      <c r="E14" s="11"/>
    </row>
    <row r="15" spans="1:20">
      <c r="A15" s="16" t="s">
        <v>18</v>
      </c>
      <c r="B15" s="17"/>
      <c r="C15" s="17"/>
      <c r="D15" s="17"/>
    </row>
    <row r="16" spans="1:20">
      <c r="A16" s="16" t="s">
        <v>1</v>
      </c>
      <c r="B16" s="18" t="s">
        <v>19</v>
      </c>
      <c r="C16" s="18" t="s">
        <v>20</v>
      </c>
      <c r="D16" s="18" t="s">
        <v>21</v>
      </c>
      <c r="E16" s="19"/>
    </row>
    <row r="17" spans="1:5">
      <c r="A17" s="20" t="s">
        <v>6</v>
      </c>
      <c r="B17" s="21">
        <v>150</v>
      </c>
      <c r="C17" s="21">
        <v>200</v>
      </c>
      <c r="D17" s="22">
        <v>250</v>
      </c>
      <c r="E17" s="19"/>
    </row>
    <row r="18" spans="1:5">
      <c r="A18" s="23" t="s">
        <v>12</v>
      </c>
      <c r="B18" s="24">
        <v>25</v>
      </c>
      <c r="C18" s="25">
        <v>20</v>
      </c>
      <c r="D18" s="24">
        <v>25</v>
      </c>
      <c r="E18" s="26"/>
    </row>
    <row r="19" spans="1:5">
      <c r="A19" s="16" t="s">
        <v>13</v>
      </c>
      <c r="B19" s="27">
        <v>25</v>
      </c>
      <c r="C19" s="28">
        <v>50</v>
      </c>
      <c r="D19" s="27">
        <v>10</v>
      </c>
      <c r="E19" s="19"/>
    </row>
    <row r="20" spans="1:5">
      <c r="B20" s="19"/>
      <c r="C20" s="19"/>
      <c r="E20" s="11"/>
    </row>
    <row r="21" spans="1:5">
      <c r="B21" s="29"/>
      <c r="C21" s="19"/>
      <c r="E21" s="11"/>
    </row>
    <row r="22" spans="1:5">
      <c r="B22" s="30"/>
      <c r="C22" s="26"/>
    </row>
    <row r="23" spans="1:5">
      <c r="B23" s="31"/>
      <c r="C23" s="19"/>
    </row>
    <row r="24" spans="1:5">
      <c r="A24" s="32" t="s">
        <v>22</v>
      </c>
      <c r="B24" s="33"/>
      <c r="C24" s="11"/>
    </row>
    <row r="25" spans="1:5">
      <c r="A25" s="32" t="s">
        <v>23</v>
      </c>
      <c r="B25" s="33">
        <f t="shared" ref="B25:B27" si="0">SUM(B3:D3)/3</f>
        <v>30</v>
      </c>
      <c r="C25" s="11"/>
    </row>
    <row r="26" spans="1:5">
      <c r="A26" s="32" t="s">
        <v>24</v>
      </c>
      <c r="B26" s="33">
        <f t="shared" si="0"/>
        <v>4</v>
      </c>
    </row>
    <row r="27" spans="1:5">
      <c r="A27" s="32" t="s">
        <v>25</v>
      </c>
      <c r="B27" s="33">
        <f t="shared" si="0"/>
        <v>5.666666666666667</v>
      </c>
    </row>
    <row r="29" spans="1:5">
      <c r="A29" s="12" t="s">
        <v>26</v>
      </c>
      <c r="B29" s="13"/>
    </row>
    <row r="30" spans="1:5">
      <c r="A30" s="12" t="s">
        <v>23</v>
      </c>
      <c r="B30" s="13">
        <f t="shared" ref="B30:B32" si="1">SUM(B10:D10)/3</f>
        <v>100</v>
      </c>
      <c r="D30" s="7" t="s">
        <v>27</v>
      </c>
      <c r="E30" s="10">
        <f ca="1">IFERROR(__xludf.DUMMYFUNCTION("to_percent((B30-B25)/B30)"),0.7)</f>
        <v>0.7</v>
      </c>
    </row>
    <row r="31" spans="1:5">
      <c r="A31" s="12" t="s">
        <v>24</v>
      </c>
      <c r="B31" s="13">
        <f t="shared" si="1"/>
        <v>10</v>
      </c>
      <c r="E31" s="10">
        <f ca="1">IFERROR(__xludf.DUMMYFUNCTION("to_percent((B31-B26)/B31)"),0.6)</f>
        <v>0.6</v>
      </c>
    </row>
    <row r="32" spans="1:5">
      <c r="A32" s="12" t="s">
        <v>25</v>
      </c>
      <c r="B32" s="13">
        <f t="shared" si="1"/>
        <v>16.666666666666668</v>
      </c>
      <c r="E32" s="10">
        <f ca="1">IFERROR(__xludf.DUMMYFUNCTION("to_percent((B32-B27)/B32)"),0.659999999999999)</f>
        <v>0.65999999999999903</v>
      </c>
    </row>
    <row r="33" spans="1:22">
      <c r="N33" s="7" t="s">
        <v>28</v>
      </c>
    </row>
    <row r="34" spans="1:22">
      <c r="A34" s="16" t="s">
        <v>29</v>
      </c>
      <c r="B34" s="17"/>
      <c r="N34" s="7" t="s">
        <v>30</v>
      </c>
      <c r="O34" s="7" t="s">
        <v>31</v>
      </c>
    </row>
    <row r="35" spans="1:22">
      <c r="A35" s="16" t="s">
        <v>23</v>
      </c>
      <c r="B35" s="17">
        <f t="shared" ref="B35:B37" si="2">SUM(B17:D17)/3</f>
        <v>200</v>
      </c>
      <c r="D35" s="7" t="s">
        <v>27</v>
      </c>
      <c r="E35" s="34">
        <f ca="1">IFERROR(__xludf.DUMMYFUNCTION("to_percent((B35-B30)/B35)"),0.5)</f>
        <v>0.5</v>
      </c>
      <c r="N35" s="7" t="s">
        <v>32</v>
      </c>
      <c r="O35" s="7" t="s">
        <v>33</v>
      </c>
    </row>
    <row r="36" spans="1:22">
      <c r="A36" s="16" t="s">
        <v>24</v>
      </c>
      <c r="B36" s="17">
        <f t="shared" si="2"/>
        <v>23.333333333333332</v>
      </c>
      <c r="E36" s="10">
        <f ca="1">IFERROR(__xludf.DUMMYFUNCTION("to_percent((B36-B31)/B36)"),0.571428571428571)</f>
        <v>0.57142857142857095</v>
      </c>
      <c r="N36" s="7" t="s">
        <v>34</v>
      </c>
      <c r="O36" s="7" t="s">
        <v>35</v>
      </c>
    </row>
    <row r="37" spans="1:22">
      <c r="A37" s="16" t="s">
        <v>25</v>
      </c>
      <c r="B37" s="17">
        <f t="shared" si="2"/>
        <v>28.333333333333332</v>
      </c>
      <c r="E37" s="10">
        <f ca="1">IFERROR(__xludf.DUMMYFUNCTION("to_percent((B37-B32)/B37)"),0.411764705882352)</f>
        <v>0.41176470588235198</v>
      </c>
      <c r="N37" s="7" t="s">
        <v>36</v>
      </c>
      <c r="O37" s="7" t="s">
        <v>37</v>
      </c>
    </row>
    <row r="38" spans="1:22">
      <c r="C38" s="7" t="s">
        <v>38</v>
      </c>
    </row>
    <row r="39" spans="1:22">
      <c r="A39" s="7" t="s">
        <v>39</v>
      </c>
      <c r="B39" s="7">
        <v>10</v>
      </c>
      <c r="C39" s="7" t="s">
        <v>40</v>
      </c>
      <c r="D39" s="7">
        <v>10</v>
      </c>
      <c r="E39" s="7" t="s">
        <v>41</v>
      </c>
      <c r="F39" s="7"/>
    </row>
    <row r="40" spans="1:22">
      <c r="Q40" s="35">
        <f>((((D48)*1) + ((D48)*0.3)))</f>
        <v>20.8</v>
      </c>
    </row>
    <row r="41" spans="1:22">
      <c r="A41" s="32" t="s">
        <v>42</v>
      </c>
      <c r="B41" s="33"/>
      <c r="C41" s="33"/>
      <c r="D41" s="32"/>
      <c r="E41" s="33"/>
      <c r="F41" s="33"/>
      <c r="Q41" s="35">
        <f>((((D48)*1) + ((D48)*0.15)))</f>
        <v>18.399999999999999</v>
      </c>
      <c r="R41" s="36"/>
      <c r="S41" s="37"/>
      <c r="T41" s="38" t="s">
        <v>43</v>
      </c>
      <c r="U41" s="37"/>
    </row>
    <row r="42" spans="1:22">
      <c r="A42" s="32" t="s">
        <v>44</v>
      </c>
      <c r="B42" s="32">
        <f>((10*(B39))) +((25*(D39))) + ((50*(F39)))</f>
        <v>350</v>
      </c>
      <c r="C42" s="33"/>
      <c r="D42" s="32" t="s">
        <v>45</v>
      </c>
      <c r="E42" s="33">
        <f>INT((1.04*SQRT(B42)))</f>
        <v>19</v>
      </c>
      <c r="F42" s="33"/>
      <c r="N42" s="19" t="s">
        <v>46</v>
      </c>
      <c r="O42" s="7" t="s">
        <v>47</v>
      </c>
      <c r="P42" s="7" t="s">
        <v>48</v>
      </c>
      <c r="Q42" s="7" t="s">
        <v>49</v>
      </c>
      <c r="R42" s="36" t="s">
        <v>50</v>
      </c>
      <c r="S42" s="38" t="s">
        <v>51</v>
      </c>
      <c r="T42" s="38" t="s">
        <v>52</v>
      </c>
      <c r="U42" s="38" t="s">
        <v>53</v>
      </c>
    </row>
    <row r="43" spans="1:22">
      <c r="A43" s="32" t="s">
        <v>54</v>
      </c>
      <c r="B43" s="32">
        <v>30</v>
      </c>
      <c r="C43" s="33"/>
      <c r="D43" s="33"/>
      <c r="E43" s="33"/>
      <c r="F43" s="33"/>
      <c r="N43" s="19" t="s">
        <v>55</v>
      </c>
      <c r="O43" s="35">
        <f>(D48)</f>
        <v>16</v>
      </c>
      <c r="P43" s="7">
        <f>(D48*4)</f>
        <v>64</v>
      </c>
      <c r="Q43" s="7">
        <f>((Q40)*1)+((Q40)*0.45)</f>
        <v>30.160000000000004</v>
      </c>
      <c r="R43" s="39">
        <v>10</v>
      </c>
      <c r="S43" s="40">
        <f t="shared" ref="S43:S44" si="3">O43/R43</f>
        <v>1.6</v>
      </c>
      <c r="T43" s="41">
        <f t="shared" ref="T43:T44" si="4">P43/R43</f>
        <v>6.4</v>
      </c>
      <c r="U43" s="37">
        <f t="shared" ref="U43:U44" si="5">Q43/R43</f>
        <v>3.0160000000000005</v>
      </c>
    </row>
    <row r="44" spans="1:22">
      <c r="A44" s="32" t="s">
        <v>56</v>
      </c>
      <c r="B44" s="32"/>
      <c r="C44" s="32" t="s">
        <v>57</v>
      </c>
      <c r="D44" s="33">
        <f>MROUND(INT((((B43)/2)*5)+20),5)</f>
        <v>95</v>
      </c>
      <c r="E44" s="32" t="s">
        <v>58</v>
      </c>
      <c r="F44" s="33">
        <f>INT(ROUND(((D44) + (D44/2)),0))</f>
        <v>143</v>
      </c>
      <c r="N44" s="19" t="s">
        <v>59</v>
      </c>
      <c r="O44" s="35">
        <f>(D48)</f>
        <v>16</v>
      </c>
      <c r="P44" s="7">
        <f>(D48*2)</f>
        <v>32</v>
      </c>
      <c r="Q44" s="7">
        <f>((Q41)*1)+((Q41)*0.15)</f>
        <v>21.159999999999997</v>
      </c>
      <c r="R44" s="39">
        <v>5</v>
      </c>
      <c r="S44" s="40">
        <f t="shared" si="3"/>
        <v>3.2</v>
      </c>
      <c r="T44" s="41">
        <f t="shared" si="4"/>
        <v>6.4</v>
      </c>
      <c r="U44" s="37">
        <f t="shared" si="5"/>
        <v>4.2319999999999993</v>
      </c>
    </row>
    <row r="45" spans="1:22">
      <c r="A45" s="33"/>
      <c r="B45" s="33">
        <f>(((B43)/2)*5)+25</f>
        <v>100</v>
      </c>
      <c r="C45" s="33"/>
      <c r="D45" s="33"/>
      <c r="E45" s="33"/>
      <c r="F45" s="33"/>
      <c r="N45" s="19"/>
    </row>
    <row r="46" spans="1:22">
      <c r="A46" s="32"/>
      <c r="B46" s="32" t="s">
        <v>60</v>
      </c>
      <c r="C46" s="33">
        <f>INT((((B43)/4)*2)+10)</f>
        <v>25</v>
      </c>
      <c r="D46" s="33"/>
      <c r="E46" s="32" t="s">
        <v>61</v>
      </c>
      <c r="F46" s="33">
        <f>INT(((((B43)/5))+4))</f>
        <v>10</v>
      </c>
      <c r="N46" s="19"/>
      <c r="R46" s="36"/>
      <c r="S46" s="37"/>
      <c r="T46" s="38" t="s">
        <v>43</v>
      </c>
      <c r="U46" s="37"/>
    </row>
    <row r="47" spans="1:22">
      <c r="A47" s="33"/>
      <c r="B47" s="32" t="s">
        <v>62</v>
      </c>
      <c r="C47" s="32">
        <f>INT((B43/10)) + 3</f>
        <v>6</v>
      </c>
      <c r="D47" s="33"/>
      <c r="E47" s="33"/>
      <c r="F47" s="33"/>
      <c r="N47" s="19" t="s">
        <v>63</v>
      </c>
      <c r="O47" s="11" t="s">
        <v>47</v>
      </c>
      <c r="P47" s="7" t="s">
        <v>48</v>
      </c>
      <c r="Q47" s="7" t="s">
        <v>49</v>
      </c>
      <c r="R47" s="36" t="s">
        <v>50</v>
      </c>
      <c r="S47" s="38" t="s">
        <v>51</v>
      </c>
      <c r="T47" s="38" t="s">
        <v>52</v>
      </c>
      <c r="U47" s="38" t="s">
        <v>53</v>
      </c>
      <c r="V47" s="7" t="s">
        <v>64</v>
      </c>
    </row>
    <row r="48" spans="1:22">
      <c r="A48" s="33"/>
      <c r="B48" s="33"/>
      <c r="C48" s="32" t="s">
        <v>46</v>
      </c>
      <c r="D48" s="42">
        <f>ROUND((((B43)/5))+10,0)</f>
        <v>16</v>
      </c>
      <c r="E48" s="43" t="s">
        <v>63</v>
      </c>
      <c r="F48" s="44">
        <f>INT((((((B43)/5))+6)))</f>
        <v>12</v>
      </c>
      <c r="N48" s="19" t="s">
        <v>55</v>
      </c>
      <c r="O48" s="35">
        <f>F48</f>
        <v>12</v>
      </c>
      <c r="P48" s="7">
        <f>F48*2</f>
        <v>24</v>
      </c>
      <c r="Q48" s="7">
        <f>(F48*1)+(F48*0.45)</f>
        <v>17.399999999999999</v>
      </c>
      <c r="R48" s="31">
        <v>2</v>
      </c>
      <c r="S48" s="40">
        <f t="shared" ref="S48:S49" si="6">O48/R48</f>
        <v>6</v>
      </c>
      <c r="T48" s="41">
        <f t="shared" ref="T48:T49" si="7">P48/R48</f>
        <v>12</v>
      </c>
      <c r="U48" s="37">
        <f t="shared" ref="U48:U49" si="8">Q48/R48</f>
        <v>8.6999999999999993</v>
      </c>
      <c r="V48" s="35">
        <f>ROUND((((B43)/8))+1,0)</f>
        <v>5</v>
      </c>
    </row>
    <row r="49" spans="1:23">
      <c r="A49" s="33"/>
      <c r="B49" s="33"/>
      <c r="C49" s="33"/>
      <c r="D49" s="33"/>
      <c r="E49" s="43" t="s">
        <v>65</v>
      </c>
      <c r="F49" s="44">
        <f>INT((((B43)/8))+1)</f>
        <v>4</v>
      </c>
      <c r="N49" s="19" t="s">
        <v>59</v>
      </c>
      <c r="O49" s="35">
        <f>F48</f>
        <v>12</v>
      </c>
      <c r="P49" s="7">
        <f>F48</f>
        <v>12</v>
      </c>
      <c r="Q49" s="7">
        <f>F48</f>
        <v>12</v>
      </c>
      <c r="R49" s="31">
        <v>1</v>
      </c>
      <c r="S49" s="40">
        <f t="shared" si="6"/>
        <v>12</v>
      </c>
      <c r="T49" s="41">
        <f t="shared" si="7"/>
        <v>12</v>
      </c>
      <c r="U49" s="37">
        <f t="shared" si="8"/>
        <v>12</v>
      </c>
      <c r="V49" s="35">
        <f>ROUND((F49)*1.5,0)</f>
        <v>6</v>
      </c>
    </row>
    <row r="50" spans="1:23">
      <c r="A50" s="33"/>
      <c r="B50" s="33"/>
      <c r="C50" s="33"/>
      <c r="D50" s="33"/>
      <c r="E50" s="32" t="s">
        <v>66</v>
      </c>
      <c r="F50" s="33">
        <f>INT((F49)*1.5)</f>
        <v>6</v>
      </c>
      <c r="G50" s="7" t="s">
        <v>67</v>
      </c>
    </row>
    <row r="51" spans="1:23">
      <c r="A51" s="33"/>
      <c r="B51" s="33"/>
      <c r="C51" s="33"/>
      <c r="D51" s="33"/>
      <c r="E51" s="43"/>
      <c r="F51" s="44"/>
      <c r="N51" s="19"/>
      <c r="R51" s="45" t="s">
        <v>68</v>
      </c>
      <c r="S51" s="19"/>
      <c r="T51" s="45"/>
      <c r="U51" s="45" t="s">
        <v>69</v>
      </c>
    </row>
    <row r="52" spans="1:23">
      <c r="A52" s="33"/>
      <c r="B52" s="33"/>
      <c r="C52" s="33"/>
      <c r="D52" s="33"/>
      <c r="E52" s="43" t="s">
        <v>64</v>
      </c>
      <c r="F52" s="44">
        <f>INT((((B43)/4))+5)</f>
        <v>12</v>
      </c>
      <c r="N52" s="45" t="s">
        <v>70</v>
      </c>
      <c r="O52" s="11" t="s">
        <v>47</v>
      </c>
      <c r="P52" s="7" t="s">
        <v>48</v>
      </c>
      <c r="Q52" s="7" t="s">
        <v>49</v>
      </c>
      <c r="R52" s="45" t="s">
        <v>71</v>
      </c>
      <c r="S52" s="45" t="s">
        <v>72</v>
      </c>
      <c r="T52" s="45" t="s">
        <v>73</v>
      </c>
      <c r="U52" s="45" t="s">
        <v>71</v>
      </c>
      <c r="V52" s="45" t="s">
        <v>72</v>
      </c>
      <c r="W52" s="45" t="s">
        <v>73</v>
      </c>
    </row>
    <row r="53" spans="1:23">
      <c r="A53" s="33"/>
      <c r="B53" s="33"/>
      <c r="C53" s="33"/>
      <c r="D53" s="33"/>
      <c r="E53" s="32" t="s">
        <v>74</v>
      </c>
      <c r="F53" s="33">
        <f>INT((F52)*1.5)</f>
        <v>18</v>
      </c>
      <c r="N53" s="19" t="s">
        <v>55</v>
      </c>
      <c r="O53" s="35">
        <f>F46</f>
        <v>10</v>
      </c>
      <c r="P53" s="7">
        <f>F46*2</f>
        <v>20</v>
      </c>
      <c r="Q53" s="7">
        <f>(F46*1)+(F46*0.45)</f>
        <v>14.5</v>
      </c>
      <c r="R53" s="31">
        <v>3</v>
      </c>
      <c r="S53" s="31">
        <v>6</v>
      </c>
      <c r="T53" s="31">
        <f>(1*3)+(3*0.45)</f>
        <v>4.3499999999999996</v>
      </c>
      <c r="U53" s="19">
        <f t="shared" ref="U53:W53" si="9">O53 + R53</f>
        <v>13</v>
      </c>
      <c r="V53" s="35">
        <f t="shared" si="9"/>
        <v>26</v>
      </c>
      <c r="W53" s="35">
        <f t="shared" si="9"/>
        <v>18.850000000000001</v>
      </c>
    </row>
    <row r="54" spans="1:23">
      <c r="A54" s="7" t="s">
        <v>75</v>
      </c>
      <c r="B54" s="7" t="s">
        <v>76</v>
      </c>
      <c r="C54" s="7" t="s">
        <v>77</v>
      </c>
      <c r="N54" s="19" t="s">
        <v>59</v>
      </c>
      <c r="O54" s="35">
        <f>F46</f>
        <v>10</v>
      </c>
      <c r="P54" s="7">
        <f>F53</f>
        <v>18</v>
      </c>
      <c r="Q54" s="7">
        <f>(F46*1)+(F46*0.15)</f>
        <v>11.5</v>
      </c>
      <c r="R54" s="31"/>
      <c r="S54" s="39"/>
      <c r="T54" s="46"/>
      <c r="U54" s="19"/>
    </row>
    <row r="55" spans="1:23">
      <c r="A55" s="7" t="s">
        <v>70</v>
      </c>
      <c r="B55" s="7">
        <v>0</v>
      </c>
      <c r="C55" s="7" t="s">
        <v>78</v>
      </c>
      <c r="E55" s="7" t="s">
        <v>67</v>
      </c>
    </row>
    <row r="56" spans="1:23">
      <c r="A56" s="7" t="s">
        <v>79</v>
      </c>
      <c r="B56" s="7">
        <v>2</v>
      </c>
      <c r="C56" s="7" t="s">
        <v>80</v>
      </c>
    </row>
    <row r="57" spans="1:23">
      <c r="A57" s="7" t="s">
        <v>81</v>
      </c>
      <c r="B57" s="7">
        <v>8</v>
      </c>
      <c r="C57" s="7" t="s">
        <v>80</v>
      </c>
    </row>
    <row r="58" spans="1:23">
      <c r="A58" s="7" t="s">
        <v>82</v>
      </c>
      <c r="B58" s="7">
        <v>8</v>
      </c>
      <c r="C58" s="7" t="s">
        <v>83</v>
      </c>
    </row>
    <row r="59" spans="1:23">
      <c r="A59" s="7" t="s">
        <v>84</v>
      </c>
      <c r="B59" s="7">
        <v>10</v>
      </c>
      <c r="C59" s="7" t="s">
        <v>85</v>
      </c>
    </row>
    <row r="60" spans="1:23">
      <c r="A60" s="7" t="s">
        <v>86</v>
      </c>
      <c r="C60" s="7" t="s">
        <v>87</v>
      </c>
    </row>
    <row r="61" spans="1:23">
      <c r="A61" s="7" t="s">
        <v>88</v>
      </c>
      <c r="C61" s="7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Brady Barker</cp:lastModifiedBy>
  <dcterms:created xsi:type="dcterms:W3CDTF">2021-04-22T00:42:38Z</dcterms:created>
  <dcterms:modified xsi:type="dcterms:W3CDTF">2021-04-22T00:42:38Z</dcterms:modified>
</cp:coreProperties>
</file>