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vmlDrawing1.vml" ContentType="application/vnd.openxmlformats-officedocument.vmlDrawing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D51" authorId="0">
      <text>
        <r>
          <rPr>
            <sz val="11"/>
            <rFont val="Helvetica Neue"/>
            <family val="0"/>
            <charset val="1"/>
          </rPr>
          <t xml:space="preserve">Mark Ash:
USDA estimate
</t>
        </r>
      </text>
    </comment>
    <comment ref="D52" authorId="0">
      <text>
        <r>
          <rPr>
            <sz val="11"/>
            <rFont val="Helvetica Neue"/>
            <family val="0"/>
            <charset val="1"/>
          </rPr>
          <t xml:space="preserve">Mark Ash:
USDA estimate
</t>
        </r>
      </text>
    </comment>
    <comment ref="G51" authorId="0">
      <text>
        <r>
          <rPr>
            <sz val="11"/>
            <rFont val="Helvetica Neue"/>
            <family val="0"/>
            <charset val="1"/>
          </rPr>
          <t xml:space="preserve">Windows User:
USDA estimate
</t>
        </r>
      </text>
    </comment>
    <comment ref="G52" authorId="0">
      <text>
        <r>
          <rPr>
            <sz val="11"/>
            <rFont val="Helvetica Neue"/>
            <family val="0"/>
            <charset val="1"/>
          </rPr>
          <t xml:space="preserve">Windows User:
USDA estimate
</t>
        </r>
      </text>
    </comment>
    <comment ref="H51" authorId="0">
      <text>
        <r>
          <rPr>
            <sz val="11"/>
            <rFont val="Helvetica Neue"/>
            <family val="0"/>
            <charset val="1"/>
          </rPr>
          <t xml:space="preserve">Mark Ash:
USDA estimate
</t>
        </r>
      </text>
    </comment>
    <comment ref="H52" authorId="0">
      <text>
        <r>
          <rPr>
            <sz val="11"/>
            <rFont val="Helvetica Neue"/>
            <family val="0"/>
            <charset val="1"/>
          </rPr>
          <t xml:space="preserve">Mark Ash:
USDA estimate
</t>
        </r>
      </text>
    </comment>
    <comment ref="K51" authorId="0">
      <text>
        <r>
          <rPr>
            <sz val="11"/>
            <rFont val="Helvetica Neue"/>
            <family val="0"/>
            <charset val="1"/>
          </rPr>
          <t xml:space="preserve">Windows User:
USDA estimate
</t>
        </r>
      </text>
    </comment>
    <comment ref="K52" authorId="0">
      <text>
        <r>
          <rPr>
            <sz val="11"/>
            <rFont val="Helvetica Neue"/>
            <family val="0"/>
            <charset val="1"/>
          </rPr>
          <t xml:space="preserve">Windows User:
USDA estimate
</t>
        </r>
      </text>
    </comment>
  </commentList>
</comments>
</file>

<file path=xl/sharedStrings.xml><?xml version="1.0" encoding="utf-8"?>
<sst xmlns="http://schemas.openxmlformats.org/spreadsheetml/2006/main" count="193" uniqueCount="35">
  <si>
    <t xml:space="preserve">year</t>
  </si>
  <si>
    <t xml:space="preserve">month</t>
  </si>
  <si>
    <t xml:space="preserve">supply_beg_stocks_thousand_lb</t>
  </si>
  <si>
    <t xml:space="preserve">supply_production_thousand_lb</t>
  </si>
  <si>
    <t xml:space="preserve">supply_imports_thousand_lb</t>
  </si>
  <si>
    <t xml:space="preserve">supply_total_thousand_lb</t>
  </si>
  <si>
    <t xml:space="preserve">disa_domestic_thousand_lb</t>
  </si>
  <si>
    <t xml:space="preserve">disa_methyl_thousand_lb</t>
  </si>
  <si>
    <t xml:space="preserve">disa_exports_thousand_lb</t>
  </si>
  <si>
    <t xml:space="preserve">disa_total_thousand_lb</t>
  </si>
  <si>
    <t xml:space="preserve">ending_stocks_thousand_lb</t>
  </si>
  <si>
    <t xml:space="preserve">2007</t>
  </si>
  <si>
    <t xml:space="preserve">  October</t>
  </si>
  <si>
    <t xml:space="preserve">  November</t>
  </si>
  <si>
    <t xml:space="preserve">  December</t>
  </si>
  <si>
    <t xml:space="preserve">2008</t>
  </si>
  <si>
    <t xml:space="preserve">  January</t>
  </si>
  <si>
    <t xml:space="preserve">  February</t>
  </si>
  <si>
    <t xml:space="preserve">  March</t>
  </si>
  <si>
    <t xml:space="preserve">  April</t>
  </si>
  <si>
    <t xml:space="preserve">  May</t>
  </si>
  <si>
    <t xml:space="preserve">  June</t>
  </si>
  <si>
    <t xml:space="preserve">  July</t>
  </si>
  <si>
    <t xml:space="preserve">  August</t>
  </si>
  <si>
    <t xml:space="preserve">  September</t>
  </si>
  <si>
    <t xml:space="preserve">    Total</t>
  </si>
  <si>
    <t xml:space="preserve">2009</t>
  </si>
  <si>
    <t xml:space="preserve">2010</t>
  </si>
  <si>
    <t xml:space="preserve">2011</t>
  </si>
  <si>
    <t xml:space="preserve">2015</t>
  </si>
  <si>
    <t xml:space="preserve">2016</t>
  </si>
  <si>
    <t xml:space="preserve">  May </t>
  </si>
  <si>
    <t xml:space="preserve"> Total </t>
  </si>
  <si>
    <t xml:space="preserve">2017</t>
  </si>
  <si>
    <t xml:space="preserve">2018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</si>
</sst>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#,##0&quot;  &quot;"/>
    <numFmt numFmtId="167" formatCode="#,##0\ ;\(#,##0\)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name val="Arial"/>
      <family val="0"/>
      <charset val="1"/>
    </font>
    <font>
      <sz val="11"/>
      <name val="Helvetica Neue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9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36" activeCellId="0" sqref="C36"/>
    </sheetView>
  </sheetViews>
  <sheetFormatPr defaultRowHeight="12.8" zeroHeight="false" outlineLevelRow="0" outlineLevelCol="0"/>
  <cols>
    <col collapsed="false" customWidth="true" hidden="false" outlineLevel="0" max="1" min="1" style="0" width="4.9"/>
    <col collapsed="false" customWidth="true" hidden="false" outlineLevel="0" max="2" min="2" style="0" width="9.77"/>
    <col collapsed="false" customWidth="true" hidden="false" outlineLevel="0" max="3" min="3" style="0" width="23.8"/>
    <col collapsed="false" customWidth="true" hidden="false" outlineLevel="0" max="4" min="4" style="0" width="22.96"/>
    <col collapsed="false" customWidth="true" hidden="false" outlineLevel="0" max="5" min="5" style="0" width="20.88"/>
    <col collapsed="false" customWidth="true" hidden="false" outlineLevel="0" max="6" min="6" style="0" width="18.66"/>
    <col collapsed="false" customWidth="true" hidden="false" outlineLevel="0" max="7" min="7" style="0" width="20.33"/>
    <col collapsed="false" customWidth="true" hidden="false" outlineLevel="0" max="8" min="8" style="0" width="18.66"/>
    <col collapsed="false" customWidth="true" hidden="false" outlineLevel="0" max="9" min="9" style="0" width="19.35"/>
    <col collapsed="false" customWidth="true" hidden="false" outlineLevel="0" max="10" min="10" style="0" width="16.99"/>
    <col collapsed="false" customWidth="true" hidden="false" outlineLevel="0" max="11" min="11" style="0" width="20.46"/>
    <col collapsed="false" customWidth="false" hidden="false" outlineLevel="0" max="1025" min="12" style="0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2" t="s">
        <v>6</v>
      </c>
      <c r="H1" s="3" t="s">
        <v>7</v>
      </c>
      <c r="I1" s="3" t="s">
        <v>8</v>
      </c>
      <c r="J1" s="3" t="s">
        <v>9</v>
      </c>
      <c r="K1" s="2" t="s">
        <v>10</v>
      </c>
    </row>
    <row r="2" customFormat="false" ht="12.8" hidden="false" customHeight="false" outlineLevel="0" collapsed="false">
      <c r="A2" s="1" t="s">
        <v>11</v>
      </c>
      <c r="B2" s="1" t="s">
        <v>12</v>
      </c>
      <c r="C2" s="4" t="n">
        <f aca="false">2725150+360075</f>
        <v>3085225</v>
      </c>
      <c r="D2" s="4" t="n">
        <v>1868608.08</v>
      </c>
      <c r="E2" s="5" t="n">
        <f aca="false">(779.179+0+1059.491+19.983)*2.204622</f>
        <v>4097.627294166</v>
      </c>
      <c r="F2" s="4" t="n">
        <f aca="false">SUM(C2:E2)</f>
        <v>4957930.70729417</v>
      </c>
      <c r="G2" s="4" t="n">
        <f aca="false">J2-I2</f>
        <v>1600124.8627897</v>
      </c>
      <c r="H2" s="4" t="n">
        <v>246789</v>
      </c>
      <c r="I2" s="4" t="n">
        <f aca="false">(39723.893+235.167+15374.729+4951.305)*2.204622</f>
        <v>132905.844504468</v>
      </c>
      <c r="J2" s="4" t="n">
        <f aca="false">(F2-K2)</f>
        <v>1733030.70729417</v>
      </c>
      <c r="K2" s="4" t="n">
        <f aca="false">2877600+347300</f>
        <v>3224900</v>
      </c>
    </row>
    <row r="3" customFormat="false" ht="12.8" hidden="false" customHeight="false" outlineLevel="0" collapsed="false">
      <c r="A3" s="1" t="s">
        <v>11</v>
      </c>
      <c r="B3" s="1" t="s">
        <v>13</v>
      </c>
      <c r="C3" s="4" t="n">
        <f aca="false">K2</f>
        <v>3224900</v>
      </c>
      <c r="D3" s="4" t="n">
        <v>1805433.7</v>
      </c>
      <c r="E3" s="5" t="n">
        <f aca="false">(924.204+0+426.674+41.43)*2.204622</f>
        <v>3069.512847576</v>
      </c>
      <c r="F3" s="4" t="n">
        <f aca="false">SUM(C3:E3)</f>
        <v>5033403.21284758</v>
      </c>
      <c r="G3" s="4" t="n">
        <f aca="false">J3-I3</f>
        <v>1600176.14800997</v>
      </c>
      <c r="H3" s="4" t="n">
        <v>219123</v>
      </c>
      <c r="I3" s="4" t="n">
        <f aca="false">(69743.935+2067.867+12865.534+5146.255)*2.204622</f>
        <v>198027.064837602</v>
      </c>
      <c r="J3" s="4" t="n">
        <f aca="false">(F3-K3)</f>
        <v>1798203.21284758</v>
      </c>
      <c r="K3" s="4" t="n">
        <f aca="false">2917800+317400</f>
        <v>3235200</v>
      </c>
    </row>
    <row r="4" customFormat="false" ht="12.8" hidden="false" customHeight="false" outlineLevel="0" collapsed="false">
      <c r="A4" s="1" t="s">
        <v>11</v>
      </c>
      <c r="B4" s="1" t="s">
        <v>14</v>
      </c>
      <c r="C4" s="4" t="n">
        <f aca="false">K3</f>
        <v>3235200</v>
      </c>
      <c r="D4" s="4" t="n">
        <v>1879439.8</v>
      </c>
      <c r="E4" s="5" t="n">
        <f aca="false">(693.076+0+796.479+1.129)*2.204622</f>
        <v>3286.394741448</v>
      </c>
      <c r="F4" s="4" t="n">
        <f aca="false">SUM(C4:E4)</f>
        <v>5117926.19474145</v>
      </c>
      <c r="G4" s="4" t="n">
        <f aca="false">J4-I4</f>
        <v>1449593.16607588</v>
      </c>
      <c r="H4" s="4" t="n">
        <v>219310</v>
      </c>
      <c r="I4" s="4" t="n">
        <f aca="false">(140589.659+1102.594+27351.804+8461.669)*2.204622</f>
        <v>391333.028665572</v>
      </c>
      <c r="J4" s="4" t="n">
        <f aca="false">(F4-K4)</f>
        <v>1840926.19474145</v>
      </c>
      <c r="K4" s="4" t="n">
        <f aca="false">2916100+360900</f>
        <v>3277000</v>
      </c>
    </row>
    <row r="5" customFormat="false" ht="12.8" hidden="false" customHeight="false" outlineLevel="0" collapsed="false">
      <c r="A5" s="1" t="s">
        <v>15</v>
      </c>
      <c r="B5" s="1" t="s">
        <v>16</v>
      </c>
      <c r="C5" s="4" t="n">
        <f aca="false">K4</f>
        <v>3277000</v>
      </c>
      <c r="D5" s="4" t="n">
        <v>1845226.93</v>
      </c>
      <c r="E5" s="5" t="n">
        <f aca="false">(678.914+0+2050.537+0)*2.204622</f>
        <v>6017.407722522</v>
      </c>
      <c r="F5" s="4" t="n">
        <f aca="false">SUM(C5:E5)</f>
        <v>5128244.33772252</v>
      </c>
      <c r="G5" s="4" t="n">
        <f aca="false">J5-I5</f>
        <v>1562526.86471125</v>
      </c>
      <c r="H5" s="4" t="n">
        <v>289000</v>
      </c>
      <c r="I5" s="4" t="n">
        <f aca="false">(56435.197+137.352+12325.444+2626.501)*2.204622</f>
        <v>157684.473011268</v>
      </c>
      <c r="J5" s="4" t="n">
        <f aca="false">(F5-K5)</f>
        <v>1720211.33772252</v>
      </c>
      <c r="K5" s="4" t="n">
        <f aca="false">3030542+377491</f>
        <v>3408033</v>
      </c>
    </row>
    <row r="6" customFormat="false" ht="12.8" hidden="false" customHeight="false" outlineLevel="0" collapsed="false">
      <c r="A6" s="1" t="s">
        <v>15</v>
      </c>
      <c r="B6" s="1" t="s">
        <v>17</v>
      </c>
      <c r="C6" s="4" t="n">
        <f aca="false">K5</f>
        <v>3408033</v>
      </c>
      <c r="D6" s="4" t="n">
        <v>1687694.5</v>
      </c>
      <c r="E6" s="5" t="n">
        <f aca="false">(1376.998+0+1736.654+18.845)*2.204622</f>
        <v>6905.971801134</v>
      </c>
      <c r="F6" s="4" t="n">
        <f aca="false">SUM(C6:E6)</f>
        <v>5102633.47180113</v>
      </c>
      <c r="G6" s="4" t="n">
        <f aca="false">J6-I6</f>
        <v>1314387.689069</v>
      </c>
      <c r="H6" s="4" t="n">
        <v>247460</v>
      </c>
      <c r="I6" s="4" t="n">
        <f aca="false">(193315.826+72.804+35357.907+2549.251)*2.204622</f>
        <v>509919.782732136</v>
      </c>
      <c r="J6" s="4" t="n">
        <f aca="false">(F6-K6)</f>
        <v>1824307.47180113</v>
      </c>
      <c r="K6" s="4" t="n">
        <f aca="false">2899937+378389</f>
        <v>3278326</v>
      </c>
    </row>
    <row r="7" customFormat="false" ht="12.8" hidden="false" customHeight="false" outlineLevel="0" collapsed="false">
      <c r="A7" s="1" t="s">
        <v>15</v>
      </c>
      <c r="B7" s="1" t="s">
        <v>18</v>
      </c>
      <c r="C7" s="4" t="n">
        <f aca="false">K6</f>
        <v>3278326</v>
      </c>
      <c r="D7" s="4" t="n">
        <v>1827761.46</v>
      </c>
      <c r="E7" s="5" t="n">
        <f aca="false">(2039.507+0+391.555+0)*2.204622</f>
        <v>5359.572768564</v>
      </c>
      <c r="F7" s="4" t="n">
        <f aca="false">SUM(C7:E7)</f>
        <v>5111447.03276856</v>
      </c>
      <c r="G7" s="4" t="n">
        <f aca="false">J7-I7</f>
        <v>1642450.61412076</v>
      </c>
      <c r="H7" s="4" t="n">
        <v>259520</v>
      </c>
      <c r="I7" s="4" t="n">
        <f aca="false">(149346.116+268.079+22468.655+2780.423)*2.204622</f>
        <v>385507.418647806</v>
      </c>
      <c r="J7" s="4" t="n">
        <f aca="false">(F7-K7)</f>
        <v>2027958.03276856</v>
      </c>
      <c r="K7" s="4" t="n">
        <f aca="false">2720543+362946</f>
        <v>3083489</v>
      </c>
    </row>
    <row r="8" customFormat="false" ht="12.8" hidden="false" customHeight="false" outlineLevel="0" collapsed="false">
      <c r="A8" s="1" t="s">
        <v>15</v>
      </c>
      <c r="B8" s="1" t="s">
        <v>19</v>
      </c>
      <c r="C8" s="4" t="n">
        <f aca="false">K7</f>
        <v>3083489</v>
      </c>
      <c r="D8" s="4" t="n">
        <v>1707011.36</v>
      </c>
      <c r="E8" s="5" t="n">
        <f aca="false">(2235.449+0+1631.076+25.012)*2.204622</f>
        <v>8579.368084014</v>
      </c>
      <c r="F8" s="4" t="n">
        <f aca="false">SUM(C8:E8)</f>
        <v>4799079.72808401</v>
      </c>
      <c r="G8" s="4" t="n">
        <f aca="false">J8-I8</f>
        <v>1446246.18620783</v>
      </c>
      <c r="H8" s="4" t="n">
        <v>266460</v>
      </c>
      <c r="I8" s="4" t="n">
        <f aca="false">(168742.41+3136.858+19361.092+2468.83)*2.204622</f>
        <v>427055.54187618</v>
      </c>
      <c r="J8" s="4" t="n">
        <f aca="false">(F8-K8)</f>
        <v>1873301.72808401</v>
      </c>
      <c r="K8" s="4" t="n">
        <f aca="false">2581100+344678</f>
        <v>2925778</v>
      </c>
    </row>
    <row r="9" customFormat="false" ht="12.8" hidden="false" customHeight="false" outlineLevel="0" collapsed="false">
      <c r="A9" s="1" t="s">
        <v>15</v>
      </c>
      <c r="B9" s="1" t="s">
        <v>20</v>
      </c>
      <c r="C9" s="4" t="n">
        <f aca="false">K8</f>
        <v>2925778</v>
      </c>
      <c r="D9" s="4" t="n">
        <v>1756417.8</v>
      </c>
      <c r="E9" s="5" t="n">
        <f aca="false">(1064.721+0+1328.946+38.355)*2.204622</f>
        <v>5361.689205684</v>
      </c>
      <c r="F9" s="4" t="n">
        <f aca="false">SUM(C9:E9)</f>
        <v>4687557.48920569</v>
      </c>
      <c r="G9" s="4" t="n">
        <f aca="false">J9-I9</f>
        <v>1535213.08489761</v>
      </c>
      <c r="H9" s="4" t="n">
        <v>269800</v>
      </c>
      <c r="I9" s="4" t="n">
        <f aca="false">(52455.149+1633.824+16512.44+3513.063)*2.204622</f>
        <v>163394.404308072</v>
      </c>
      <c r="J9" s="4" t="n">
        <f aca="false">(F9-K9)</f>
        <v>1698607.48920568</v>
      </c>
      <c r="K9" s="4" t="n">
        <f aca="false">2641757+347193</f>
        <v>2988950</v>
      </c>
    </row>
    <row r="10" customFormat="false" ht="12.8" hidden="false" customHeight="false" outlineLevel="0" collapsed="false">
      <c r="A10" s="1" t="s">
        <v>15</v>
      </c>
      <c r="B10" s="1" t="s">
        <v>21</v>
      </c>
      <c r="C10" s="4" t="n">
        <f aca="false">K9</f>
        <v>2988950</v>
      </c>
      <c r="D10" s="4" t="n">
        <v>1632790.52</v>
      </c>
      <c r="E10" s="5" t="n">
        <f aca="false">(519.277+0+703.719+44.432)*2.204622</f>
        <v>2794.199652216</v>
      </c>
      <c r="F10" s="4" t="n">
        <f aca="false">SUM(C10:E10)</f>
        <v>4624534.71965222</v>
      </c>
      <c r="G10" s="4" t="n">
        <f aca="false">J10-I10</f>
        <v>1546862.18517319</v>
      </c>
      <c r="H10" s="4" t="n">
        <v>298800</v>
      </c>
      <c r="I10" s="4" t="n">
        <f aca="false">(63019.537+1434.17+12183.167+1241.118)*2.204622</f>
        <v>171691.534479024</v>
      </c>
      <c r="J10" s="4" t="n">
        <f aca="false">(F10-K10)</f>
        <v>1718553.71965222</v>
      </c>
      <c r="K10" s="4" t="n">
        <f aca="false">2565131+340850</f>
        <v>2905981</v>
      </c>
    </row>
    <row r="11" customFormat="false" ht="12.8" hidden="false" customHeight="false" outlineLevel="0" collapsed="false">
      <c r="A11" s="1" t="s">
        <v>15</v>
      </c>
      <c r="B11" s="1" t="s">
        <v>22</v>
      </c>
      <c r="C11" s="4" t="n">
        <f aca="false">K10</f>
        <v>2905981</v>
      </c>
      <c r="D11" s="4" t="n">
        <v>1616379.28</v>
      </c>
      <c r="E11" s="5" t="n">
        <f aca="false">(1446.196+0+925.748+26.787)*2.204622</f>
        <v>5288.295134682</v>
      </c>
      <c r="F11" s="4" t="n">
        <f aca="false">SUM(C11:E11)</f>
        <v>4527648.57513468</v>
      </c>
      <c r="G11" s="4" t="n">
        <f aca="false">J11-I11</f>
        <v>1608898.58707672</v>
      </c>
      <c r="H11" s="4" t="n">
        <v>319100</v>
      </c>
      <c r="I11" s="4" t="n">
        <f aca="false">(39363.929+822.274+14049.273+2694.913)*2.204622</f>
        <v>125509.988057958</v>
      </c>
      <c r="J11" s="4" t="n">
        <f aca="false">(F11-K11)</f>
        <v>1734408.57513468</v>
      </c>
      <c r="K11" s="4" t="n">
        <f aca="false">2492182+301058</f>
        <v>2793240</v>
      </c>
    </row>
    <row r="12" customFormat="false" ht="12.8" hidden="false" customHeight="false" outlineLevel="0" collapsed="false">
      <c r="A12" s="1" t="s">
        <v>15</v>
      </c>
      <c r="B12" s="1" t="s">
        <v>23</v>
      </c>
      <c r="C12" s="4" t="n">
        <f aca="false">K11</f>
        <v>2793240</v>
      </c>
      <c r="D12" s="4" t="n">
        <v>1507544.65</v>
      </c>
      <c r="E12" s="5" t="n">
        <f aca="false">(1807.496+0+2411.757+39.086)*2.204622</f>
        <v>9388.027842858</v>
      </c>
      <c r="F12" s="4" t="n">
        <f aca="false">SUM(C12:E12)</f>
        <v>4310172.67784286</v>
      </c>
      <c r="G12" s="4" t="n">
        <f aca="false">J12-I12</f>
        <v>1558993.14083417</v>
      </c>
      <c r="H12" s="4" t="n">
        <v>331860</v>
      </c>
      <c r="I12" s="4" t="n">
        <f aca="false">(62275.894+2252.12+15599.52+3249.361)*2.204622</f>
        <v>183814.53700869</v>
      </c>
      <c r="J12" s="4" t="n">
        <f aca="false">(F12-K12)</f>
        <v>1742807.67784286</v>
      </c>
      <c r="K12" s="4" t="n">
        <f aca="false">2271966+295399</f>
        <v>2567365</v>
      </c>
    </row>
    <row r="13" customFormat="false" ht="12.8" hidden="false" customHeight="false" outlineLevel="0" collapsed="false">
      <c r="A13" s="1" t="s">
        <v>15</v>
      </c>
      <c r="B13" s="1" t="s">
        <v>24</v>
      </c>
      <c r="C13" s="4" t="n">
        <f aca="false">K12</f>
        <v>2567365</v>
      </c>
      <c r="D13" s="4" t="n">
        <v>1445522.7</v>
      </c>
      <c r="E13" s="5" t="n">
        <f aca="false">(1297.935+0+1036.948+26.989)*2.204622</f>
        <v>5207.034972384</v>
      </c>
      <c r="F13" s="4" t="n">
        <f aca="false">SUM(C13:E13)</f>
        <v>4018094.73497238</v>
      </c>
      <c r="G13" s="4" t="n">
        <f aca="false">J13-I13</f>
        <v>1469292.89663826</v>
      </c>
      <c r="H13" s="4" t="n">
        <v>278100</v>
      </c>
      <c r="I13" s="4" t="n">
        <f aca="false">(19539.702+168.045+8919.875+495.211)*2.204622</f>
        <v>64204.838334126</v>
      </c>
      <c r="J13" s="4" t="n">
        <f aca="false">(F13-K13)</f>
        <v>1533497.73497238</v>
      </c>
      <c r="K13" s="4" t="n">
        <f aca="false">2203536+281061</f>
        <v>2484597</v>
      </c>
    </row>
    <row r="14" customFormat="false" ht="12.8" hidden="false" customHeight="false" outlineLevel="0" collapsed="false">
      <c r="A14" s="1" t="s">
        <v>15</v>
      </c>
      <c r="B14" s="1" t="s">
        <v>25</v>
      </c>
      <c r="C14" s="4"/>
      <c r="D14" s="4" t="n">
        <f aca="false">SUM(D2:D13)</f>
        <v>20579830.78</v>
      </c>
      <c r="E14" s="5" t="n">
        <f aca="false">SUM(E2:E13)</f>
        <v>65355.102067248</v>
      </c>
      <c r="F14" s="4" t="n">
        <f aca="false">C2+D14+E14</f>
        <v>23730410.8820672</v>
      </c>
      <c r="G14" s="4" t="n">
        <f aca="false">SUM(G2:G13)</f>
        <v>18334765.4256043</v>
      </c>
      <c r="H14" s="4" t="n">
        <f aca="false">SUM(H2:H13)</f>
        <v>3245322</v>
      </c>
      <c r="I14" s="4" t="n">
        <f aca="false">SUM(I2:I13)</f>
        <v>2911048.4564629</v>
      </c>
      <c r="J14" s="4" t="n">
        <f aca="false">SUM(J2:J13)</f>
        <v>21245813.8820672</v>
      </c>
      <c r="K14" s="4"/>
    </row>
    <row r="15" customFormat="false" ht="12.8" hidden="false" customHeight="false" outlineLevel="0" collapsed="false">
      <c r="A15" s="1" t="s">
        <v>15</v>
      </c>
      <c r="B15" s="1" t="s">
        <v>12</v>
      </c>
      <c r="C15" s="4" t="n">
        <f aca="false">K13</f>
        <v>2484597</v>
      </c>
      <c r="D15" s="4" t="n">
        <v>1715917.39</v>
      </c>
      <c r="E15" s="5" t="n">
        <f aca="false">(304.139+0+1857.275+41.55)*2.204622</f>
        <v>4856.702899608</v>
      </c>
      <c r="F15" s="4" t="n">
        <f aca="false">SUM(C15:E15)</f>
        <v>4205371.09289961</v>
      </c>
      <c r="G15" s="4" t="n">
        <f aca="false">J15-I15</f>
        <v>1678766.25555303</v>
      </c>
      <c r="H15" s="4" t="n">
        <v>295300</v>
      </c>
      <c r="I15" s="4" t="n">
        <f aca="false">(51222.672+177.43+9182.563+2069.725)*2.204622</f>
        <v>138124.83734658</v>
      </c>
      <c r="J15" s="4" t="n">
        <f aca="false">(F15-K15)</f>
        <v>1816891.09289961</v>
      </c>
      <c r="K15" s="4" t="n">
        <f aca="false">2085380+303100</f>
        <v>2388480</v>
      </c>
    </row>
    <row r="16" customFormat="false" ht="12.8" hidden="false" customHeight="false" outlineLevel="0" collapsed="false">
      <c r="A16" s="1" t="s">
        <v>15</v>
      </c>
      <c r="B16" s="1" t="s">
        <v>13</v>
      </c>
      <c r="C16" s="4" t="n">
        <f aca="false">K15</f>
        <v>2388480</v>
      </c>
      <c r="D16" s="4" t="n">
        <v>1622851</v>
      </c>
      <c r="E16" s="5" t="n">
        <f aca="false">(604.375+0+3570.334+38.998)*2.204622</f>
        <v>9289.631153754</v>
      </c>
      <c r="F16" s="4" t="n">
        <f aca="false">SUM(C16:E16)</f>
        <v>4020620.63115375</v>
      </c>
      <c r="G16" s="4" t="n">
        <f aca="false">J16-I16</f>
        <v>1399292.37716911</v>
      </c>
      <c r="H16" s="4" t="n">
        <v>252352</v>
      </c>
      <c r="I16" s="4" t="n">
        <f aca="false">(29089.97+577.345+10422.587+6333.591)*2.204622</f>
        <v>102346.253984646</v>
      </c>
      <c r="J16" s="4" t="n">
        <f aca="false">(F16-K16)</f>
        <v>1501638.63115375</v>
      </c>
      <c r="K16" s="4" t="n">
        <f aca="false">2187355+331627</f>
        <v>2518982</v>
      </c>
    </row>
    <row r="17" customFormat="false" ht="12.8" hidden="false" customHeight="false" outlineLevel="0" collapsed="false">
      <c r="A17" s="1" t="s">
        <v>15</v>
      </c>
      <c r="B17" s="1" t="s">
        <v>14</v>
      </c>
      <c r="C17" s="4" t="n">
        <f aca="false">K16</f>
        <v>2518982</v>
      </c>
      <c r="D17" s="4" t="n">
        <v>1596985.45</v>
      </c>
      <c r="E17" s="5" t="n">
        <f aca="false">(497.39+0+981.587+25.924)*2.204622</f>
        <v>3317.737852422</v>
      </c>
      <c r="F17" s="4" t="n">
        <f aca="false">SUM(C17:E17)</f>
        <v>4119285.18785242</v>
      </c>
      <c r="G17" s="4" t="n">
        <f aca="false">J17-I17</f>
        <v>1369809.85728776</v>
      </c>
      <c r="H17" s="4" t="n">
        <v>207000</v>
      </c>
      <c r="I17" s="4" t="n">
        <f aca="false">(37780.09+289.968+12514.072+3804.482)*2.204622</f>
        <v>119906.330564664</v>
      </c>
      <c r="J17" s="4" t="n">
        <f aca="false">(F17-K17)</f>
        <v>1489716.18785242</v>
      </c>
      <c r="K17" s="4" t="n">
        <f aca="false">2342799+286770</f>
        <v>2629569</v>
      </c>
    </row>
    <row r="18" customFormat="false" ht="12.8" hidden="false" customHeight="false" outlineLevel="0" collapsed="false">
      <c r="A18" s="1" t="s">
        <v>26</v>
      </c>
      <c r="B18" s="1" t="s">
        <v>16</v>
      </c>
      <c r="C18" s="4" t="n">
        <f aca="false">K17</f>
        <v>2629569</v>
      </c>
      <c r="D18" s="4" t="n">
        <v>1615100</v>
      </c>
      <c r="E18" s="5" t="n">
        <f aca="false">(1536.629+40.316+2587.048+44.653)*2.204622</f>
        <v>9278.473561812</v>
      </c>
      <c r="F18" s="4" t="n">
        <f aca="false">SUM(C18:E18)</f>
        <v>4253947.47356181</v>
      </c>
      <c r="G18" s="4" t="n">
        <f aca="false">J18-I18</f>
        <v>1165212.76576049</v>
      </c>
      <c r="H18" s="4" t="n">
        <v>133300</v>
      </c>
      <c r="I18" s="4" t="n">
        <f aca="false">(28406.049+359.873+13832.241+1143.897)*2.204622</f>
        <v>96434.70780132</v>
      </c>
      <c r="J18" s="4" t="n">
        <f aca="false">(F18-K18)</f>
        <v>1261647.47356181</v>
      </c>
      <c r="K18" s="4" t="n">
        <f aca="false">2692700+299600</f>
        <v>2992300</v>
      </c>
    </row>
    <row r="19" customFormat="false" ht="12.8" hidden="false" customHeight="false" outlineLevel="0" collapsed="false">
      <c r="A19" s="1" t="s">
        <v>26</v>
      </c>
      <c r="B19" s="1" t="s">
        <v>17</v>
      </c>
      <c r="C19" s="4" t="n">
        <f aca="false">K18</f>
        <v>2992300</v>
      </c>
      <c r="D19" s="4" t="n">
        <v>1536100</v>
      </c>
      <c r="E19" s="5" t="n">
        <f aca="false">(3593.173+0+956.056+33.472)*2.204622</f>
        <v>10103.123444022</v>
      </c>
      <c r="F19" s="4" t="n">
        <f aca="false">SUM(C19:E19)</f>
        <v>4538503.12344402</v>
      </c>
      <c r="G19" s="4" t="n">
        <f aca="false">J19-I19</f>
        <v>1268509.78239427</v>
      </c>
      <c r="H19" s="4" t="n">
        <v>195900</v>
      </c>
      <c r="I19" s="4" t="n">
        <f aca="false">(58139.861+688.723+5555.492+1792.049)*2.204622</f>
        <v>145893.34104975</v>
      </c>
      <c r="J19" s="4" t="n">
        <f aca="false">(F19-K19)</f>
        <v>1414403.12344402</v>
      </c>
      <c r="K19" s="4" t="n">
        <f aca="false">2816900+307200</f>
        <v>3124100</v>
      </c>
    </row>
    <row r="20" customFormat="false" ht="12.8" hidden="false" customHeight="false" outlineLevel="0" collapsed="false">
      <c r="A20" s="1" t="s">
        <v>26</v>
      </c>
      <c r="B20" s="1" t="s">
        <v>18</v>
      </c>
      <c r="C20" s="4" t="n">
        <f aca="false">K19</f>
        <v>3124100</v>
      </c>
      <c r="D20" s="4" t="n">
        <v>1636000</v>
      </c>
      <c r="E20" s="5" t="n">
        <f aca="false">(3560.135+0+1058.012+62.614)*2.204622</f>
        <v>10319.308677342</v>
      </c>
      <c r="F20" s="4" t="n">
        <f aca="false">SUM(C20:E20)</f>
        <v>4770419.30867734</v>
      </c>
      <c r="G20" s="4" t="n">
        <f aca="false">J20-I20</f>
        <v>1417531.85941005</v>
      </c>
      <c r="H20" s="4" t="n">
        <v>107400</v>
      </c>
      <c r="I20" s="4" t="n">
        <f aca="false">(53146.805+1764.707+17647.615+599.65)*2.204622</f>
        <v>161287.449267294</v>
      </c>
      <c r="J20" s="4" t="n">
        <f aca="false">(F20-K20)</f>
        <v>1578819.30867734</v>
      </c>
      <c r="K20" s="4" t="n">
        <f aca="false">2904200+287400</f>
        <v>3191600</v>
      </c>
    </row>
    <row r="21" customFormat="false" ht="12.8" hidden="false" customHeight="false" outlineLevel="0" collapsed="false">
      <c r="A21" s="1" t="s">
        <v>26</v>
      </c>
      <c r="B21" s="1" t="s">
        <v>19</v>
      </c>
      <c r="C21" s="4" t="n">
        <f aca="false">K20</f>
        <v>3191600</v>
      </c>
      <c r="D21" s="4" t="n">
        <v>1596000</v>
      </c>
      <c r="E21" s="5" t="n">
        <f aca="false">(1988.682+0+2794.493+40.217)*2.204622</f>
        <v>10633.756117824</v>
      </c>
      <c r="F21" s="4" t="n">
        <f aca="false">SUM(C21:E21)</f>
        <v>4798233.75611782</v>
      </c>
      <c r="G21" s="4" t="n">
        <f aca="false">J21-I21</f>
        <v>1168516.99444161</v>
      </c>
      <c r="H21" s="4" t="n">
        <v>98500</v>
      </c>
      <c r="I21" s="4" t="n">
        <f aca="false">(146874.998+2425.446+8043.284+1557.327)*2.204622</f>
        <v>350316.76167621</v>
      </c>
      <c r="J21" s="4" t="n">
        <f aca="false">(F21-K21)</f>
        <v>1518833.75611782</v>
      </c>
      <c r="K21" s="4" t="n">
        <f aca="false">2975600+303800</f>
        <v>3279400</v>
      </c>
    </row>
    <row r="22" customFormat="false" ht="12.8" hidden="false" customHeight="false" outlineLevel="0" collapsed="false">
      <c r="A22" s="1" t="s">
        <v>26</v>
      </c>
      <c r="B22" s="1" t="s">
        <v>20</v>
      </c>
      <c r="C22" s="4" t="n">
        <f aca="false">K21</f>
        <v>3279400</v>
      </c>
      <c r="D22" s="4" t="n">
        <v>1683200</v>
      </c>
      <c r="E22" s="5" t="n">
        <f aca="false">(154.604+0+1197.699+48.122)*2.204622</f>
        <v>3087.40776435</v>
      </c>
      <c r="F22" s="4" t="n">
        <f aca="false">SUM(C22:E22)</f>
        <v>4965687.40776435</v>
      </c>
      <c r="G22" s="4" t="n">
        <f aca="false">J22-I22</f>
        <v>1349041.25816618</v>
      </c>
      <c r="H22" s="4" t="n">
        <v>98600</v>
      </c>
      <c r="I22" s="4" t="n">
        <f aca="false">(120537.774+364.018+4746.998+394.654)*2.204622</f>
        <v>277878.149598168</v>
      </c>
      <c r="J22" s="4" t="n">
        <f aca="false">(F22-K22)</f>
        <v>1626919.40776435</v>
      </c>
      <c r="K22" s="4" t="n">
        <f aca="false">3034747+304021</f>
        <v>3338768</v>
      </c>
    </row>
    <row r="23" customFormat="false" ht="12.8" hidden="false" customHeight="false" outlineLevel="0" collapsed="false">
      <c r="A23" s="1" t="s">
        <v>26</v>
      </c>
      <c r="B23" s="1" t="s">
        <v>21</v>
      </c>
      <c r="C23" s="4" t="n">
        <f aca="false">K22</f>
        <v>3338768</v>
      </c>
      <c r="D23" s="4" t="n">
        <v>1604322</v>
      </c>
      <c r="E23" s="5" t="n">
        <f aca="false">(661.038+0+1409.601+57.432)*2.204622</f>
        <v>4691.592144162</v>
      </c>
      <c r="F23" s="4" t="n">
        <f aca="false">SUM(C23:E23)</f>
        <v>4947781.59214416</v>
      </c>
      <c r="G23" s="4" t="n">
        <f aca="false">J23-I23</f>
        <v>1330976.69142833</v>
      </c>
      <c r="H23" s="4" t="n">
        <v>118300</v>
      </c>
      <c r="I23" s="4" t="n">
        <f aca="false">(31859.73+272.159+6022.843+1083.242)*2.204622</f>
        <v>86504.900715828</v>
      </c>
      <c r="J23" s="4" t="n">
        <f aca="false">(F23-K23)</f>
        <v>1417481.59214416</v>
      </c>
      <c r="K23" s="4" t="n">
        <f aca="false">3237500+292800</f>
        <v>3530300</v>
      </c>
    </row>
    <row r="24" customFormat="false" ht="12.8" hidden="false" customHeight="false" outlineLevel="0" collapsed="false">
      <c r="A24" s="1" t="s">
        <v>26</v>
      </c>
      <c r="B24" s="1" t="s">
        <v>22</v>
      </c>
      <c r="C24" s="4" t="n">
        <f aca="false">K23</f>
        <v>3530300</v>
      </c>
      <c r="D24" s="4" t="n">
        <v>1469173</v>
      </c>
      <c r="E24" s="5" t="n">
        <f aca="false">(1662.807+19.232+1933.299+42.877)*2.204622</f>
        <v>8064.98126973</v>
      </c>
      <c r="F24" s="4" t="n">
        <f aca="false">SUM(C24:E24)</f>
        <v>5007537.98126973</v>
      </c>
      <c r="G24" s="4" t="n">
        <f aca="false">J24-I24</f>
        <v>1311025.93409226</v>
      </c>
      <c r="H24" s="4" t="n">
        <v>164300</v>
      </c>
      <c r="I24" s="4" t="n">
        <f aca="false">(91435.885+1566.022+18237.393+1075.667)*2.204622</f>
        <v>247612.047177474</v>
      </c>
      <c r="J24" s="4" t="n">
        <f aca="false">(F24-K24)</f>
        <v>1558637.98126973</v>
      </c>
      <c r="K24" s="4" t="n">
        <f aca="false">3148700+300200</f>
        <v>3448900</v>
      </c>
    </row>
    <row r="25" customFormat="false" ht="12.8" hidden="false" customHeight="false" outlineLevel="0" collapsed="false">
      <c r="A25" s="1" t="s">
        <v>26</v>
      </c>
      <c r="B25" s="1" t="s">
        <v>23</v>
      </c>
      <c r="C25" s="4" t="n">
        <f aca="false">K24</f>
        <v>3448900</v>
      </c>
      <c r="D25" s="4" t="n">
        <v>1369400</v>
      </c>
      <c r="E25" s="5" t="n">
        <f aca="false">(1577.742+0+1962.82+40.733)*2.204622</f>
        <v>7895.40174549</v>
      </c>
      <c r="F25" s="4" t="n">
        <f aca="false">SUM(C25:E25)</f>
        <v>4826195.40174549</v>
      </c>
      <c r="G25" s="4" t="n">
        <f aca="false">J25-I25</f>
        <v>1389256.94790607</v>
      </c>
      <c r="H25" s="4" t="n">
        <v>174800</v>
      </c>
      <c r="I25" s="4" t="n">
        <f aca="false">(129590.498+60.432+7192.973+566.707)*2.204622</f>
        <v>302938.45383942</v>
      </c>
      <c r="J25" s="4" t="n">
        <f aca="false">(F25-K25)</f>
        <v>1692195.40174549</v>
      </c>
      <c r="K25" s="4" t="n">
        <f aca="false">2863900+270100</f>
        <v>3134000</v>
      </c>
    </row>
    <row r="26" customFormat="false" ht="12.8" hidden="false" customHeight="false" outlineLevel="0" collapsed="false">
      <c r="A26" s="1" t="s">
        <v>26</v>
      </c>
      <c r="B26" s="1" t="s">
        <v>24</v>
      </c>
      <c r="C26" s="4" t="n">
        <f aca="false">K25</f>
        <v>3134000</v>
      </c>
      <c r="D26" s="4" t="n">
        <v>1299919</v>
      </c>
      <c r="E26" s="5" t="n">
        <f aca="false">(1109.021+0+2487.315+50.252)*2.204622</f>
        <v>8039.348129736</v>
      </c>
      <c r="F26" s="4" t="n">
        <f aca="false">SUM(C26:E26)</f>
        <v>4441958.34812974</v>
      </c>
      <c r="G26" s="4" t="n">
        <f aca="false">J26-I26</f>
        <v>1417263.16117723</v>
      </c>
      <c r="H26" s="4" t="n">
        <v>223000</v>
      </c>
      <c r="I26" s="4" t="n">
        <f aca="false">(62943.533+116.282+11084.385+333.505)*2.204622</f>
        <v>164195.18695251</v>
      </c>
      <c r="J26" s="4" t="n">
        <f aca="false">(F26-K26)</f>
        <v>1581458.34812974</v>
      </c>
      <c r="K26" s="4" t="n">
        <f aca="false">2612500+248000</f>
        <v>2860500</v>
      </c>
    </row>
    <row r="27" customFormat="false" ht="12.8" hidden="false" customHeight="false" outlineLevel="0" collapsed="false">
      <c r="A27" s="1" t="s">
        <v>26</v>
      </c>
      <c r="B27" s="1" t="s">
        <v>25</v>
      </c>
      <c r="C27" s="4"/>
      <c r="D27" s="4" t="n">
        <f aca="false">SUM(D15:D26)</f>
        <v>18744967.84</v>
      </c>
      <c r="E27" s="5" t="n">
        <f aca="false">SUM(E15:E26)</f>
        <v>89577.464760252</v>
      </c>
      <c r="F27" s="4" t="n">
        <f aca="false">C15+D27+E27</f>
        <v>21319142.3047602</v>
      </c>
      <c r="G27" s="4" t="n">
        <f aca="false">SUM(G15:G26)</f>
        <v>16265203.8847864</v>
      </c>
      <c r="H27" s="4" t="n">
        <f aca="false">SUM(H15:H26)</f>
        <v>2068752</v>
      </c>
      <c r="I27" s="4" t="n">
        <f aca="false">SUM(I15:I26)</f>
        <v>2193438.41997386</v>
      </c>
      <c r="J27" s="4" t="n">
        <f aca="false">SUM(J15:J26)</f>
        <v>18458642.3047603</v>
      </c>
      <c r="K27" s="4"/>
    </row>
    <row r="28" customFormat="false" ht="12.8" hidden="false" customHeight="false" outlineLevel="0" collapsed="false">
      <c r="A28" s="1" t="s">
        <v>26</v>
      </c>
      <c r="B28" s="1" t="s">
        <v>12</v>
      </c>
      <c r="C28" s="4" t="n">
        <f aca="false">K26</f>
        <v>2860500</v>
      </c>
      <c r="D28" s="4" t="n">
        <v>1825200</v>
      </c>
      <c r="E28" s="5" t="n">
        <f aca="false">(1010.118+18.316+2158.748+28.092)*2.204622</f>
        <v>7088.463796428</v>
      </c>
      <c r="F28" s="4" t="n">
        <f aca="false">SUM(C28:E28)</f>
        <v>4692788.46379643</v>
      </c>
      <c r="G28" s="4" t="n">
        <f aca="false">J28-I28</f>
        <v>1551272.52195282</v>
      </c>
      <c r="H28" s="4" t="n">
        <v>246800</v>
      </c>
      <c r="I28" s="4" t="n">
        <f aca="false">(136262.536+118.268+13549.491+719.087)*2.204622</f>
        <v>332124.941843604</v>
      </c>
      <c r="J28" s="4" t="n">
        <f aca="false">(F28-K28)</f>
        <v>1883397.46379643</v>
      </c>
      <c r="K28" s="4" t="n">
        <f aca="false">2547700+261691</f>
        <v>2809391</v>
      </c>
    </row>
    <row r="29" customFormat="false" ht="12.8" hidden="false" customHeight="false" outlineLevel="0" collapsed="false">
      <c r="A29" s="1" t="s">
        <v>26</v>
      </c>
      <c r="B29" s="1" t="s">
        <v>13</v>
      </c>
      <c r="C29" s="4" t="n">
        <f aca="false">K28</f>
        <v>2809391</v>
      </c>
      <c r="D29" s="4" t="n">
        <v>1853955</v>
      </c>
      <c r="E29" s="5" t="n">
        <f aca="false">(1661.49+0+2673.529+33.209)*2.204622</f>
        <v>9630.291549816</v>
      </c>
      <c r="F29" s="4" t="n">
        <f aca="false">SUM(C29:E29)</f>
        <v>4672976.29154982</v>
      </c>
      <c r="G29" s="4" t="n">
        <f aca="false">J29-I29</f>
        <v>1441405.8450678</v>
      </c>
      <c r="H29" s="4" t="n">
        <v>239388</v>
      </c>
      <c r="I29" s="4" t="n">
        <f aca="false">(89018.672+137.192+19472.689+719.193)*2.204622</f>
        <v>241070.446482012</v>
      </c>
      <c r="J29" s="4" t="n">
        <f aca="false">(F29-K29)</f>
        <v>1682476.29154982</v>
      </c>
      <c r="K29" s="4" t="n">
        <f aca="false">2712000+278500</f>
        <v>2990500</v>
      </c>
    </row>
    <row r="30" customFormat="false" ht="12.8" hidden="false" customHeight="false" outlineLevel="0" collapsed="false">
      <c r="A30" s="1" t="s">
        <v>26</v>
      </c>
      <c r="B30" s="1" t="s">
        <v>14</v>
      </c>
      <c r="C30" s="4" t="n">
        <f aca="false">K29</f>
        <v>2990500</v>
      </c>
      <c r="D30" s="4" t="n">
        <v>1898259</v>
      </c>
      <c r="E30" s="5" t="n">
        <f aca="false">(2580.323+0+2004.798+39.532)*2.204622</f>
        <v>10195.611746166</v>
      </c>
      <c r="F30" s="4" t="n">
        <f aca="false">SUM(C30:E30)</f>
        <v>4898954.61174617</v>
      </c>
      <c r="G30" s="4" t="n">
        <f aca="false">J30-I30</f>
        <v>1358145.24419074</v>
      </c>
      <c r="H30" s="4" t="n">
        <v>236991</v>
      </c>
      <c r="I30" s="4" t="n">
        <f aca="false">(156263.077+348.372+20319.023+110.929)*2.204622</f>
        <v>390309.367555422</v>
      </c>
      <c r="J30" s="4" t="n">
        <f aca="false">(F30-K30)</f>
        <v>1748454.61174617</v>
      </c>
      <c r="K30" s="4" t="n">
        <f aca="false">2874700+275800</f>
        <v>3150500</v>
      </c>
    </row>
    <row r="31" customFormat="false" ht="12.8" hidden="false" customHeight="false" outlineLevel="0" collapsed="false">
      <c r="A31" s="1" t="s">
        <v>27</v>
      </c>
      <c r="B31" s="1" t="s">
        <v>16</v>
      </c>
      <c r="C31" s="4" t="n">
        <f aca="false">K30</f>
        <v>3150500</v>
      </c>
      <c r="D31" s="4" t="n">
        <v>1844855.74</v>
      </c>
      <c r="E31" s="5" t="n">
        <f aca="false">(3823.805+19.232+2332.103+38.917)*2.204622</f>
        <v>13699.646771454</v>
      </c>
      <c r="F31" s="4" t="n">
        <f aca="false">SUM(C31:E31)</f>
        <v>5009055.38677145</v>
      </c>
      <c r="G31" s="4" t="n">
        <f aca="false">J31-I31</f>
        <v>1273502.94403478</v>
      </c>
      <c r="H31" s="4" t="n">
        <v>93713</v>
      </c>
      <c r="I31" s="4" t="n">
        <f aca="false">(215338.815+218.674+17017.503+509.157)*2.204622</f>
        <v>513862.442736678</v>
      </c>
      <c r="J31" s="4" t="n">
        <f aca="false">(F31-K31)</f>
        <v>1787365.38677145</v>
      </c>
      <c r="K31" s="4" t="n">
        <f aca="false">2936532+285158</f>
        <v>3221690</v>
      </c>
    </row>
    <row r="32" customFormat="false" ht="12.8" hidden="false" customHeight="false" outlineLevel="0" collapsed="false">
      <c r="A32" s="1" t="s">
        <v>27</v>
      </c>
      <c r="B32" s="1" t="s">
        <v>17</v>
      </c>
      <c r="C32" s="4" t="n">
        <f aca="false">K31</f>
        <v>3221690</v>
      </c>
      <c r="D32" s="4" t="n">
        <v>1690098</v>
      </c>
      <c r="E32" s="5" t="n">
        <f aca="false">(3429.108+0+2817.937+14.07)*2.204622</f>
        <v>13803.39187353</v>
      </c>
      <c r="F32" s="4" t="n">
        <f aca="false">SUM(C32:E32)</f>
        <v>4925591.39187353</v>
      </c>
      <c r="G32" s="4" t="n">
        <f aca="false">J32-I32</f>
        <v>1230361.08159092</v>
      </c>
      <c r="H32" s="4" t="n">
        <v>109518</v>
      </c>
      <c r="I32" s="4" t="n">
        <f aca="false">(162903.453+1648.061+16359.722+315.437)*2.204622</f>
        <v>399536.310282606</v>
      </c>
      <c r="J32" s="4" t="n">
        <f aca="false">(F32-K32)</f>
        <v>1629897.39187353</v>
      </c>
      <c r="K32" s="4" t="n">
        <f aca="false">2994436+301258</f>
        <v>3295694</v>
      </c>
    </row>
    <row r="33" customFormat="false" ht="12.8" hidden="false" customHeight="false" outlineLevel="0" collapsed="false">
      <c r="A33" s="1" t="s">
        <v>27</v>
      </c>
      <c r="B33" s="1" t="s">
        <v>18</v>
      </c>
      <c r="C33" s="4" t="n">
        <f aca="false">K32</f>
        <v>3295694</v>
      </c>
      <c r="D33" s="4" t="n">
        <v>1727705.71</v>
      </c>
      <c r="E33" s="5" t="n">
        <f aca="false">(280.052+9.2+1634.291+37.674)*2.204622</f>
        <v>4323.742144974</v>
      </c>
      <c r="F33" s="4" t="n">
        <f aca="false">SUM(C33:E33)</f>
        <v>5027723.45214497</v>
      </c>
      <c r="G33" s="4" t="n">
        <f aca="false">J33-I33</f>
        <v>1302040.55463929</v>
      </c>
      <c r="H33" s="4" t="n">
        <v>133736</v>
      </c>
      <c r="I33" s="4" t="n">
        <f aca="false">(155132.552+3115.466+26389.549+444.455)*2.204622</f>
        <v>408035.897505684</v>
      </c>
      <c r="J33" s="4" t="n">
        <f aca="false">(F33-K33)</f>
        <v>1710076.45214497</v>
      </c>
      <c r="K33" s="4" t="n">
        <f aca="false">3048158+269489</f>
        <v>3317647</v>
      </c>
    </row>
    <row r="34" customFormat="false" ht="12.8" hidden="false" customHeight="false" outlineLevel="0" collapsed="false">
      <c r="A34" s="1" t="s">
        <v>27</v>
      </c>
      <c r="B34" s="1" t="s">
        <v>19</v>
      </c>
      <c r="C34" s="4" t="n">
        <f aca="false">K33</f>
        <v>3317647</v>
      </c>
      <c r="D34" s="4" t="n">
        <v>1518120.3</v>
      </c>
      <c r="E34" s="5" t="n">
        <f aca="false">(1286.61+19.232+2435.488+34.22)*2.204622</f>
        <v>8323.6605921</v>
      </c>
      <c r="F34" s="4" t="n">
        <f aca="false">SUM(C34:E34)</f>
        <v>4844090.9605921</v>
      </c>
      <c r="G34" s="4" t="n">
        <f aca="false">J34-I34</f>
        <v>1281297.1265738</v>
      </c>
      <c r="H34" s="4" t="n">
        <v>123179</v>
      </c>
      <c r="I34" s="4" t="n">
        <f aca="false">(53994.097+3563.62+9115.195+459.156)*2.204622</f>
        <v>148000.834018296</v>
      </c>
      <c r="J34" s="4" t="n">
        <f aca="false">(F34-K34)</f>
        <v>1429297.9605921</v>
      </c>
      <c r="K34" s="4" t="n">
        <f aca="false">3151812+262981</f>
        <v>3414793</v>
      </c>
    </row>
    <row r="35" customFormat="false" ht="12.8" hidden="false" customHeight="false" outlineLevel="0" collapsed="false">
      <c r="A35" s="1" t="s">
        <v>27</v>
      </c>
      <c r="B35" s="1" t="s">
        <v>20</v>
      </c>
      <c r="C35" s="4" t="n">
        <f aca="false">K34</f>
        <v>3414793</v>
      </c>
      <c r="D35" s="4" t="n">
        <v>1481564.85</v>
      </c>
      <c r="E35" s="5" t="n">
        <f aca="false">(270.003+0+4582.288+31.136)*2.204622</f>
        <v>10766.110599594</v>
      </c>
      <c r="F35" s="4" t="n">
        <f aca="false">SUM(C35:E35)</f>
        <v>4907123.96059959</v>
      </c>
      <c r="G35" s="4" t="n">
        <f aca="false">J35-I35</f>
        <v>1307987.43611706</v>
      </c>
      <c r="H35" s="4" t="n">
        <v>106503</v>
      </c>
      <c r="I35" s="4" t="n">
        <f aca="false">(25541.158+243.825+8816.729+424.485)*2.204622</f>
        <v>77219.524482534</v>
      </c>
      <c r="J35" s="4" t="n">
        <f aca="false">(F35-K35)</f>
        <v>1385206.96059959</v>
      </c>
      <c r="K35" s="4" t="n">
        <f aca="false">3237012+284905</f>
        <v>3521917</v>
      </c>
    </row>
    <row r="36" customFormat="false" ht="12.8" hidden="false" customHeight="false" outlineLevel="0" collapsed="false">
      <c r="A36" s="1" t="s">
        <v>27</v>
      </c>
      <c r="B36" s="1" t="s">
        <v>21</v>
      </c>
      <c r="C36" s="4" t="n">
        <f aca="false">K35</f>
        <v>3521917</v>
      </c>
      <c r="D36" s="4" t="n">
        <v>1442238.9</v>
      </c>
      <c r="E36" s="5" t="n">
        <f aca="false">(215.463+0+2268.523+28.2)*2.204622</f>
        <v>5538.420523692</v>
      </c>
      <c r="F36" s="4" t="n">
        <f aca="false">SUM(C36:E36)</f>
        <v>4969694.32052369</v>
      </c>
      <c r="G36" s="4" t="n">
        <f aca="false">J36-I36</f>
        <v>1243152.46555369</v>
      </c>
      <c r="H36" s="4" t="n">
        <v>94804</v>
      </c>
      <c r="I36" s="4" t="n">
        <f aca="false">(43654.64+298.281+14165.984+421.677)*2.204622</f>
        <v>129059.854970004</v>
      </c>
      <c r="J36" s="4" t="n">
        <f aca="false">(F36-K36)</f>
        <v>1372212.32052369</v>
      </c>
      <c r="K36" s="4" t="n">
        <f aca="false">3297846+299636</f>
        <v>3597482</v>
      </c>
    </row>
    <row r="37" customFormat="false" ht="12.8" hidden="false" customHeight="false" outlineLevel="0" collapsed="false">
      <c r="A37" s="1" t="s">
        <v>27</v>
      </c>
      <c r="B37" s="1" t="s">
        <v>22</v>
      </c>
      <c r="C37" s="4" t="n">
        <f aca="false">K36</f>
        <v>3597482</v>
      </c>
      <c r="D37" s="4" t="n">
        <v>1440451.02</v>
      </c>
      <c r="E37" s="5" t="n">
        <f aca="false">(139.41+12+2598.508+32.316)*2.204622</f>
        <v>6133.774285548</v>
      </c>
      <c r="F37" s="4" t="n">
        <f aca="false">SUM(C37:E37)</f>
        <v>5044066.79428555</v>
      </c>
      <c r="G37" s="4" t="n">
        <f aca="false">J37-I37</f>
        <v>1270650.86333668</v>
      </c>
      <c r="H37" s="4" t="n">
        <v>103575</v>
      </c>
      <c r="I37" s="4" t="n">
        <f aca="false">(73854.937+167.281+7144.5+184.158)*2.204622</f>
        <v>179347.930948872</v>
      </c>
      <c r="J37" s="4" t="n">
        <f aca="false">(F37-K37)</f>
        <v>1449998.79428555</v>
      </c>
      <c r="K37" s="4" t="n">
        <f aca="false">3312471+281597</f>
        <v>3594068</v>
      </c>
    </row>
    <row r="38" customFormat="false" ht="12.8" hidden="false" customHeight="false" outlineLevel="0" collapsed="false">
      <c r="A38" s="1" t="s">
        <v>27</v>
      </c>
      <c r="B38" s="1" t="s">
        <v>23</v>
      </c>
      <c r="C38" s="4" t="n">
        <f aca="false">K37</f>
        <v>3594068</v>
      </c>
      <c r="D38" s="4" t="n">
        <v>1418447.8</v>
      </c>
      <c r="E38" s="5" t="n">
        <f aca="false">(162.42+0+3548.555+22.157)*2.204622</f>
        <v>8230.144936104</v>
      </c>
      <c r="F38" s="4" t="n">
        <f aca="false">SUM(C38:E38)</f>
        <v>5020745.9449361</v>
      </c>
      <c r="G38" s="4" t="n">
        <f aca="false">J38-I38</f>
        <v>1317294.15075503</v>
      </c>
      <c r="H38" s="4" t="n">
        <v>95755</v>
      </c>
      <c r="I38" s="4" t="n">
        <f aca="false">(155958.77+85.878+9452.7+341.419)*2.204622</f>
        <v>365611.794181074</v>
      </c>
      <c r="J38" s="4" t="n">
        <f aca="false">(F38-K38)</f>
        <v>1682905.9449361</v>
      </c>
      <c r="K38" s="4" t="n">
        <f aca="false">3081425+256415</f>
        <v>3337840</v>
      </c>
    </row>
    <row r="39" customFormat="false" ht="12.8" hidden="false" customHeight="false" outlineLevel="0" collapsed="false">
      <c r="A39" s="1" t="s">
        <v>27</v>
      </c>
      <c r="B39" s="1" t="s">
        <v>24</v>
      </c>
      <c r="C39" s="4" t="n">
        <f aca="false">K38</f>
        <v>3337840</v>
      </c>
      <c r="D39" s="4" t="n">
        <v>1474417.2</v>
      </c>
      <c r="E39" s="5" t="n">
        <f aca="false">(166.571+7+1986.609+38.086)*2.204622</f>
        <v>4846.345585452</v>
      </c>
      <c r="F39" s="4" t="n">
        <f aca="false">SUM(C39:E39)</f>
        <v>4817103.54558545</v>
      </c>
      <c r="G39" s="4" t="n">
        <f aca="false">J39-I39</f>
        <v>1236835.91988854</v>
      </c>
      <c r="H39" s="4" t="n">
        <v>96341</v>
      </c>
      <c r="I39" s="4" t="n">
        <f aca="false">(70158.916+94.777+8598.87+293.715)*2.204622</f>
        <v>174487.625696916</v>
      </c>
      <c r="J39" s="4" t="n">
        <f aca="false">(F39-K39)</f>
        <v>1411323.54558545</v>
      </c>
      <c r="K39" s="4" t="n">
        <f aca="false">3127263+278517</f>
        <v>3405780</v>
      </c>
    </row>
    <row r="40" customFormat="false" ht="12.8" hidden="false" customHeight="false" outlineLevel="0" collapsed="false">
      <c r="A40" s="1" t="s">
        <v>27</v>
      </c>
      <c r="B40" s="1" t="s">
        <v>25</v>
      </c>
      <c r="C40" s="4"/>
      <c r="D40" s="4" t="n">
        <f aca="false">SUM(D28:D39)</f>
        <v>19615313.52</v>
      </c>
      <c r="E40" s="5" t="n">
        <f aca="false">SUM(E28:E39)</f>
        <v>102579.604404858</v>
      </c>
      <c r="F40" s="4" t="n">
        <f aca="false">C28+D40+E40</f>
        <v>22578393.1244049</v>
      </c>
      <c r="G40" s="4" t="n">
        <f aca="false">SUM(G28:G39)</f>
        <v>15813946.1537012</v>
      </c>
      <c r="H40" s="4" t="n">
        <f aca="false">SUM(H28:H39)</f>
        <v>1680303</v>
      </c>
      <c r="I40" s="4" t="n">
        <f aca="false">SUM(I28:I39)</f>
        <v>3358666.9707037</v>
      </c>
      <c r="J40" s="4" t="n">
        <f aca="false">SUM(J28:J39)</f>
        <v>19172613.1244049</v>
      </c>
      <c r="K40" s="4"/>
    </row>
    <row r="41" customFormat="false" ht="12.8" hidden="false" customHeight="false" outlineLevel="0" collapsed="false">
      <c r="A41" s="1" t="s">
        <v>27</v>
      </c>
      <c r="B41" s="1" t="s">
        <v>12</v>
      </c>
      <c r="C41" s="4" t="n">
        <f aca="false">K39</f>
        <v>3405780</v>
      </c>
      <c r="D41" s="4" t="n">
        <v>1790543.39</v>
      </c>
      <c r="E41" s="5" t="n">
        <f aca="false">(819.417+0+2665.457+34.172)*2.204622</f>
        <v>7758.166230612</v>
      </c>
      <c r="F41" s="4" t="n">
        <f aca="false">SUM(C41:E41)</f>
        <v>5204081.55623061</v>
      </c>
      <c r="G41" s="4" t="n">
        <f aca="false">J41-I41</f>
        <v>1478813.62635253</v>
      </c>
      <c r="H41" s="4" t="n">
        <v>102262</v>
      </c>
      <c r="I41" s="4" t="n">
        <f aca="false">(179782.844+95.695+19259.311+581.163)*2.204622</f>
        <v>440304.929878086</v>
      </c>
      <c r="J41" s="4" t="n">
        <f aca="false">(F41-K41)</f>
        <v>1919118.55623061</v>
      </c>
      <c r="K41" s="4" t="n">
        <f aca="false">3010655+274308</f>
        <v>3284963</v>
      </c>
    </row>
    <row r="42" customFormat="false" ht="12.8" hidden="false" customHeight="false" outlineLevel="0" collapsed="false">
      <c r="A42" s="1" t="s">
        <v>27</v>
      </c>
      <c r="B42" s="1" t="s">
        <v>13</v>
      </c>
      <c r="C42" s="4" t="n">
        <f aca="false">K41</f>
        <v>3284963</v>
      </c>
      <c r="D42" s="4" t="n">
        <v>1771201.2</v>
      </c>
      <c r="E42" s="5" t="n">
        <f aca="false">(4839.373+0+3066.841+7.64)*2.204622</f>
        <v>17447.056633188</v>
      </c>
      <c r="F42" s="4" t="n">
        <f aca="false">SUM(C42:E42)</f>
        <v>5073611.25663319</v>
      </c>
      <c r="G42" s="4" t="n">
        <f aca="false">J42-I42</f>
        <v>1291619.16629945</v>
      </c>
      <c r="H42" s="4" t="n">
        <v>70455</v>
      </c>
      <c r="I42" s="4" t="n">
        <f aca="false">(181206.649+3502.407+11373.843+104.062)*2.204622</f>
        <v>432518.090333742</v>
      </c>
      <c r="J42" s="4" t="n">
        <f aca="false">(F42-K42)</f>
        <v>1724137.25663319</v>
      </c>
      <c r="K42" s="4" t="n">
        <f aca="false">3049295+300179</f>
        <v>3349474</v>
      </c>
    </row>
    <row r="43" customFormat="false" ht="12.8" hidden="false" customHeight="false" outlineLevel="0" collapsed="false">
      <c r="A43" s="1" t="s">
        <v>27</v>
      </c>
      <c r="B43" s="1" t="s">
        <v>14</v>
      </c>
      <c r="C43" s="4" t="n">
        <f aca="false">K42</f>
        <v>3349474</v>
      </c>
      <c r="D43" s="4" t="n">
        <v>1731506.15</v>
      </c>
      <c r="E43" s="5" t="n">
        <f aca="false">(5320.398+0+2940.72+11.44)*2.204622</f>
        <v>18237.863363076</v>
      </c>
      <c r="F43" s="4" t="n">
        <f aca="false">SUM(C43:E43)</f>
        <v>5099218.01336308</v>
      </c>
      <c r="G43" s="4" t="n">
        <f aca="false">J43-I43</f>
        <v>1172812.38969441</v>
      </c>
      <c r="H43" s="4" t="n">
        <v>53884</v>
      </c>
      <c r="I43" s="4" t="n">
        <f aca="false">(152901.749+2637.656+23212.57+174.219)*2.204622</f>
        <v>394464.623668668</v>
      </c>
      <c r="J43" s="4" t="n">
        <f aca="false">(F43-K43)</f>
        <v>1567277.01336308</v>
      </c>
      <c r="K43" s="4" t="n">
        <f aca="false">3220826+311115</f>
        <v>3531941</v>
      </c>
    </row>
    <row r="44" customFormat="false" ht="12.8" hidden="false" customHeight="false" outlineLevel="0" collapsed="false">
      <c r="A44" s="1" t="s">
        <v>28</v>
      </c>
      <c r="B44" s="1" t="s">
        <v>16</v>
      </c>
      <c r="C44" s="4" t="n">
        <f aca="false">K43</f>
        <v>3531941</v>
      </c>
      <c r="D44" s="4" t="n">
        <v>1722940</v>
      </c>
      <c r="E44" s="5" t="n">
        <f aca="false">(3291.981+0+3254.544+0.2)*2.204622</f>
        <v>14433.05396295</v>
      </c>
      <c r="F44" s="4" t="n">
        <f aca="false">SUM(C44:E44)</f>
        <v>5269314.05396295</v>
      </c>
      <c r="G44" s="4" t="n">
        <f aca="false">J44-I44</f>
        <v>1387659.75523311</v>
      </c>
      <c r="H44" s="4" t="n">
        <v>110421</v>
      </c>
      <c r="I44" s="4" t="n">
        <f aca="false">(202239.121+77.38+9067.088+108.131)*2.204622</f>
        <v>466259.29872984</v>
      </c>
      <c r="J44" s="4" t="n">
        <f aca="false">(F44-K44)</f>
        <v>1853919.05396295</v>
      </c>
      <c r="K44" s="4" t="n">
        <f aca="false">3078691+336704</f>
        <v>3415395</v>
      </c>
    </row>
    <row r="45" customFormat="false" ht="12.8" hidden="false" customHeight="false" outlineLevel="0" collapsed="false">
      <c r="A45" s="1" t="s">
        <v>28</v>
      </c>
      <c r="B45" s="1" t="s">
        <v>17</v>
      </c>
      <c r="C45" s="4" t="n">
        <f aca="false">K44</f>
        <v>3415395</v>
      </c>
      <c r="D45" s="4" t="n">
        <v>1500030</v>
      </c>
      <c r="E45" s="5" t="n">
        <f aca="false">(3175.423+0+4126.911+5.213)*2.204622</f>
        <v>16110.378882234</v>
      </c>
      <c r="F45" s="4" t="n">
        <f aca="false">SUM(C45:E45)</f>
        <v>4931535.37888223</v>
      </c>
      <c r="G45" s="4" t="n">
        <f aca="false">J45-I45</f>
        <v>1254879.75336581</v>
      </c>
      <c r="H45" s="4" t="n">
        <v>112647</v>
      </c>
      <c r="I45" s="4" t="n">
        <f aca="false">(118832.443+3521.624+13687.893+574.941)*2.204622</f>
        <v>301188.625516422</v>
      </c>
      <c r="J45" s="4" t="n">
        <f aca="false">(F45-K45)</f>
        <v>1556068.37888223</v>
      </c>
      <c r="K45" s="4" t="n">
        <f aca="false">3075062+300405</f>
        <v>3375467</v>
      </c>
    </row>
    <row r="46" customFormat="false" ht="12.8" hidden="false" customHeight="false" outlineLevel="0" collapsed="false">
      <c r="A46" s="1" t="s">
        <v>28</v>
      </c>
      <c r="B46" s="1" t="s">
        <v>18</v>
      </c>
      <c r="C46" s="4" t="n">
        <f aca="false">K45</f>
        <v>3375467</v>
      </c>
      <c r="D46" s="4" t="n">
        <v>1623774</v>
      </c>
      <c r="E46" s="5" t="n">
        <f aca="false">(1495.313+0+4447.852+1.508)*2.204622</f>
        <v>13105.756878606</v>
      </c>
      <c r="F46" s="4" t="n">
        <f aca="false">SUM(C46:E46)</f>
        <v>5012346.75687861</v>
      </c>
      <c r="G46" s="4" t="n">
        <f aca="false">J46-I46</f>
        <v>1272407.52982651</v>
      </c>
      <c r="H46" s="4" t="n">
        <v>176313</v>
      </c>
      <c r="I46" s="4" t="n">
        <f aca="false">(139214.028+79.175+10121.912+337.644)*2.204622</f>
        <v>330148.227052098</v>
      </c>
      <c r="J46" s="4" t="n">
        <f aca="false">(F46-K46)</f>
        <v>1602555.75687861</v>
      </c>
      <c r="K46" s="4" t="n">
        <f aca="false">3109849+299942</f>
        <v>3409791</v>
      </c>
    </row>
    <row r="47" customFormat="false" ht="12.8" hidden="false" customHeight="false" outlineLevel="0" collapsed="false">
      <c r="A47" s="1" t="s">
        <v>28</v>
      </c>
      <c r="B47" s="1" t="s">
        <v>19</v>
      </c>
      <c r="C47" s="4" t="n">
        <f aca="false">K46</f>
        <v>3409791</v>
      </c>
      <c r="D47" s="4" t="n">
        <v>1504598</v>
      </c>
      <c r="E47" s="5" t="n">
        <f aca="false">(403.164+0+5901.121+1.472)*2.204622</f>
        <v>13901.810608854</v>
      </c>
      <c r="F47" s="4" t="n">
        <f aca="false">SUM(C47:E47)</f>
        <v>4928290.81060885</v>
      </c>
      <c r="G47" s="4" t="n">
        <f aca="false">J47-I47</f>
        <v>1397646.65384279</v>
      </c>
      <c r="H47" s="4" t="n">
        <v>216769</v>
      </c>
      <c r="I47" s="4" t="n">
        <f aca="false">(75823.413+1139.657+8389.42+184.24)*2.204622</f>
        <v>188576.15676606</v>
      </c>
      <c r="J47" s="4" t="n">
        <f aca="false">(F47-K47)</f>
        <v>1586222.81060885</v>
      </c>
      <c r="K47" s="4" t="n">
        <f aca="false">3010398+331670</f>
        <v>3342068</v>
      </c>
    </row>
    <row r="48" customFormat="false" ht="12.8" hidden="false" customHeight="false" outlineLevel="0" collapsed="false">
      <c r="A48" s="1" t="s">
        <v>28</v>
      </c>
      <c r="B48" s="1" t="s">
        <v>20</v>
      </c>
      <c r="C48" s="4" t="n">
        <f aca="false">K47</f>
        <v>3342068</v>
      </c>
      <c r="D48" s="4" t="n">
        <v>1491195</v>
      </c>
      <c r="E48" s="5" t="n">
        <f aca="false">(814.147+0+4736.942+1.724)*2.204622</f>
        <v>12241.853701686</v>
      </c>
      <c r="F48" s="4" t="n">
        <f aca="false">SUM(C48:E48)</f>
        <v>4845504.85370169</v>
      </c>
      <c r="G48" s="4" t="n">
        <f aca="false">J48-I48</f>
        <v>1576493.77643276</v>
      </c>
      <c r="H48" s="4" t="n">
        <v>235312</v>
      </c>
      <c r="I48" s="4" t="n">
        <f aca="false">(29955.857+1591.942+9839.322+201.903)*2.204622</f>
        <v>91688.077268928</v>
      </c>
      <c r="J48" s="4" t="n">
        <f aca="false">(F48-K48)</f>
        <v>1668181.85370169</v>
      </c>
      <c r="K48" s="4" t="n">
        <f aca="false">2917354+259969</f>
        <v>3177323</v>
      </c>
    </row>
    <row r="49" customFormat="false" ht="12.8" hidden="false" customHeight="false" outlineLevel="0" collapsed="false">
      <c r="A49" s="1" t="s">
        <v>28</v>
      </c>
      <c r="B49" s="1" t="s">
        <v>21</v>
      </c>
      <c r="C49" s="4" t="n">
        <f aca="false">K48</f>
        <v>3177323</v>
      </c>
      <c r="D49" s="4" t="n">
        <v>1437997</v>
      </c>
      <c r="E49" s="5" t="n">
        <f aca="false">(374.637+0+5123.419+62.229)*2.204622</f>
        <v>12258.32663727</v>
      </c>
      <c r="F49" s="4" t="n">
        <f aca="false">SUM(C49:E49)</f>
        <v>4627578.32663727</v>
      </c>
      <c r="G49" s="4" t="n">
        <f aca="false">J49-I49</f>
        <v>1344828.40752095</v>
      </c>
      <c r="H49" s="4" t="n">
        <v>293702</v>
      </c>
      <c r="I49" s="4" t="n">
        <f aca="false">(48941.832+1445.761+8302.158+134.809)*2.204622</f>
        <v>129685.91911632</v>
      </c>
      <c r="J49" s="4" t="n">
        <f aca="false">(F49-K49)</f>
        <v>1474514.32663727</v>
      </c>
      <c r="K49" s="4" t="n">
        <f aca="false">2868184+284880</f>
        <v>3153064</v>
      </c>
    </row>
    <row r="50" customFormat="false" ht="12.8" hidden="false" customHeight="false" outlineLevel="0" collapsed="false">
      <c r="A50" s="1" t="s">
        <v>28</v>
      </c>
      <c r="B50" s="1" t="s">
        <v>22</v>
      </c>
      <c r="C50" s="4" t="n">
        <f aca="false">K49</f>
        <v>3153064</v>
      </c>
      <c r="D50" s="4" t="n">
        <v>1504674</v>
      </c>
      <c r="E50" s="5" t="n">
        <f aca="false">(257.985+0+4658.192+0)*2.204622</f>
        <v>10838.311970094</v>
      </c>
      <c r="F50" s="4" t="n">
        <f aca="false">SUM(C50:E50)</f>
        <v>4668576.31197009</v>
      </c>
      <c r="G50" s="4" t="n">
        <f aca="false">J50-I50</f>
        <v>1419762.96416503</v>
      </c>
      <c r="H50" s="4" t="n">
        <v>342924</v>
      </c>
      <c r="I50" s="4" t="n">
        <f aca="false">(45456.366+955.049+7901.32+101.286)*2.204622</f>
        <v>119962.347805062</v>
      </c>
      <c r="J50" s="4" t="n">
        <f aca="false">(F50-K50)</f>
        <v>1539725.31197009</v>
      </c>
      <c r="K50" s="4" t="n">
        <f aca="false">2824308+304543</f>
        <v>3128851</v>
      </c>
    </row>
    <row r="51" customFormat="false" ht="12.8" hidden="false" customHeight="false" outlineLevel="0" collapsed="false">
      <c r="A51" s="1" t="s">
        <v>28</v>
      </c>
      <c r="B51" s="1" t="s">
        <v>23</v>
      </c>
      <c r="C51" s="4" t="n">
        <f aca="false">K50</f>
        <v>3128851</v>
      </c>
      <c r="D51" s="4" t="n">
        <v>1458750</v>
      </c>
      <c r="E51" s="5" t="n">
        <f aca="false">(121.648+0+5978.907+0.2)*2.204622</f>
        <v>13449.85868961</v>
      </c>
      <c r="F51" s="4" t="n">
        <f aca="false">SUM(C51:E51)</f>
        <v>4601050.85868961</v>
      </c>
      <c r="G51" s="4" t="n">
        <f aca="false">J51-I51</f>
        <v>1618370.37032269</v>
      </c>
      <c r="H51" s="4" t="n">
        <v>401221.08</v>
      </c>
      <c r="I51" s="4" t="n">
        <f aca="false">(44303.026+126.176+7418.814+141.635)*2.204622</f>
        <v>114617.528366922</v>
      </c>
      <c r="J51" s="4" t="n">
        <f aca="false">(F51-K51)</f>
        <v>1732987.89868961</v>
      </c>
      <c r="K51" s="4" t="n">
        <v>2868062.96</v>
      </c>
    </row>
    <row r="52" customFormat="false" ht="12.8" hidden="false" customHeight="false" outlineLevel="0" collapsed="false">
      <c r="A52" s="1" t="s">
        <v>28</v>
      </c>
      <c r="B52" s="1" t="s">
        <v>24</v>
      </c>
      <c r="C52" s="4" t="n">
        <f aca="false">K51</f>
        <v>2868062.96</v>
      </c>
      <c r="D52" s="4" t="n">
        <v>1350373.78</v>
      </c>
      <c r="E52" s="5" t="n">
        <f aca="false">(155.713+0+4024.771+1.119)*2.204622</f>
        <v>9218.853969066</v>
      </c>
      <c r="F52" s="4" t="n">
        <f aca="false">SUM(C52:E52)</f>
        <v>4227655.59396907</v>
      </c>
      <c r="G52" s="4" t="n">
        <f aca="false">J52-I52</f>
        <v>1578787.75107646</v>
      </c>
      <c r="H52" s="4" t="n">
        <v>434121.20856</v>
      </c>
      <c r="I52" s="4" t="n">
        <f aca="false">(94248.522+309.172+6711.905+117.656)*2.204622</f>
        <v>223520.57289261</v>
      </c>
      <c r="J52" s="4" t="n">
        <f aca="false">(F52-K52)</f>
        <v>1802308.32396907</v>
      </c>
      <c r="K52" s="4" t="n">
        <v>2425347.27</v>
      </c>
    </row>
    <row r="53" customFormat="false" ht="12.8" hidden="false" customHeight="false" outlineLevel="0" collapsed="false">
      <c r="A53" s="1" t="s">
        <v>28</v>
      </c>
      <c r="B53" s="1" t="s">
        <v>25</v>
      </c>
      <c r="C53" s="4"/>
      <c r="D53" s="4" t="n">
        <f aca="false">SUM(D41:D52)</f>
        <v>18887582.52</v>
      </c>
      <c r="E53" s="5" t="n">
        <f aca="false">SUM(E41:E52)</f>
        <v>159001.291527246</v>
      </c>
      <c r="F53" s="4" t="n">
        <f aca="false">C41+D53+E53</f>
        <v>22452363.8115272</v>
      </c>
      <c r="G53" s="4" t="n">
        <f aca="false">SUM(G41:G52)</f>
        <v>16794082.1441325</v>
      </c>
      <c r="H53" s="4" t="n">
        <f aca="false">SUM(H41:H52)</f>
        <v>2550031.28856</v>
      </c>
      <c r="I53" s="4" t="n">
        <f aca="false">SUM(I41:I52)</f>
        <v>3232934.39739476</v>
      </c>
      <c r="J53" s="4" t="n">
        <f aca="false">SUM(J41:J52)</f>
        <v>20027016.5415272</v>
      </c>
      <c r="K53" s="4"/>
    </row>
    <row r="54" customFormat="false" ht="12.8" hidden="false" customHeight="false" outlineLevel="0" collapsed="false">
      <c r="A54" s="1" t="s">
        <v>29</v>
      </c>
      <c r="B54" s="1" t="s">
        <v>12</v>
      </c>
      <c r="C54" s="4" t="n">
        <v>1854818</v>
      </c>
      <c r="D54" s="4" t="n">
        <v>1962937</v>
      </c>
      <c r="E54" s="5" t="n">
        <f aca="false">(11263.021+0+8383.554+0)*2.204622</f>
        <v>43313.27146965</v>
      </c>
      <c r="F54" s="4" t="n">
        <f aca="false">C54+D54+E54</f>
        <v>3861068.27146965</v>
      </c>
      <c r="G54" s="4" t="n">
        <f aca="false">J54-I54</f>
        <v>1741066.72822982</v>
      </c>
      <c r="H54" s="4" t="n">
        <v>407750</v>
      </c>
      <c r="I54" s="4" t="n">
        <f aca="false">(68457.137+168.758+12516.928+337.151)*2.204622</f>
        <v>179632.543239828</v>
      </c>
      <c r="J54" s="4" t="n">
        <f aca="false">(F54-K54)</f>
        <v>1920699.27146965</v>
      </c>
      <c r="K54" s="4" t="n">
        <f aca="false">1569861+370508</f>
        <v>1940369</v>
      </c>
    </row>
    <row r="55" customFormat="false" ht="12.8" hidden="false" customHeight="false" outlineLevel="0" collapsed="false">
      <c r="A55" s="1" t="s">
        <v>29</v>
      </c>
      <c r="B55" s="1" t="s">
        <v>13</v>
      </c>
      <c r="C55" s="4" t="n">
        <f aca="false">K54</f>
        <v>1940369</v>
      </c>
      <c r="D55" s="4" t="n">
        <v>1901853</v>
      </c>
      <c r="E55" s="5" t="n">
        <f aca="false">(404.275+20.412+7673.322+0)*2.204622</f>
        <v>17853.048797598</v>
      </c>
      <c r="F55" s="4" t="n">
        <f aca="false">C55+D55+E55</f>
        <v>3860075.0487976</v>
      </c>
      <c r="G55" s="4" t="n">
        <f aca="false">J55-I55</f>
        <v>1661212.8644707</v>
      </c>
      <c r="H55" s="4" t="n">
        <v>463630</v>
      </c>
      <c r="I55" s="4" t="n">
        <f aca="false">(96450.176+52.248+8912.495+274.031)*2.204622</f>
        <v>233004.1843269</v>
      </c>
      <c r="J55" s="4" t="n">
        <f aca="false">(F55-K55)</f>
        <v>1894217.0487976</v>
      </c>
      <c r="K55" s="4" t="n">
        <f aca="false">1545181+420677</f>
        <v>1965858</v>
      </c>
    </row>
    <row r="56" customFormat="false" ht="12.8" hidden="false" customHeight="false" outlineLevel="0" collapsed="false">
      <c r="A56" s="1" t="s">
        <v>29</v>
      </c>
      <c r="B56" s="1" t="s">
        <v>14</v>
      </c>
      <c r="C56" s="4" t="n">
        <f aca="false">K55</f>
        <v>1965858</v>
      </c>
      <c r="D56" s="4" t="n">
        <v>1929027</v>
      </c>
      <c r="E56" s="5" t="n">
        <f aca="false">(426.012+0+9716.081+0)*2.204622</f>
        <v>22359.481353846</v>
      </c>
      <c r="F56" s="4" t="n">
        <f aca="false">C56+D56+E56</f>
        <v>3917244.48135385</v>
      </c>
      <c r="G56" s="4" t="n">
        <f aca="false">J56-I56</f>
        <v>1623989.28900656</v>
      </c>
      <c r="H56" s="4" t="n">
        <v>435620</v>
      </c>
      <c r="I56" s="4" t="n">
        <f aca="false">(127771.858+163.223+17227.472+325.06)*2.204622</f>
        <v>320745.192347286</v>
      </c>
      <c r="J56" s="4" t="n">
        <f aca="false">(F56-K56)</f>
        <v>1944734.48135385</v>
      </c>
      <c r="K56" s="4" t="n">
        <f aca="false">1576849+395661</f>
        <v>1972510</v>
      </c>
    </row>
    <row r="57" customFormat="false" ht="12.8" hidden="false" customHeight="false" outlineLevel="0" collapsed="false">
      <c r="A57" s="1" t="s">
        <v>30</v>
      </c>
      <c r="B57" s="1" t="s">
        <v>16</v>
      </c>
      <c r="C57" s="4" t="n">
        <f aca="false">K56</f>
        <v>1972510</v>
      </c>
      <c r="D57" s="4" t="n">
        <v>1864887</v>
      </c>
      <c r="E57" s="5" t="n">
        <f aca="false">(661.65+0+6999.396+0)*2.204622</f>
        <v>16889.710554612</v>
      </c>
      <c r="F57" s="4" t="n">
        <f aca="false">C57+D57+E57</f>
        <v>3854286.71055461</v>
      </c>
      <c r="G57" s="4" t="n">
        <f aca="false">J57-I57</f>
        <v>1576553.39361067</v>
      </c>
      <c r="H57" s="4" t="n">
        <v>392270</v>
      </c>
      <c r="I57" s="4" t="n">
        <f aca="false">(64298.556+202.493+10705.986+514.026)*2.204622</f>
        <v>166936.316943942</v>
      </c>
      <c r="J57" s="4" t="n">
        <f aca="false">(F57-K57)</f>
        <v>1743489.71055461</v>
      </c>
      <c r="K57" s="4" t="n">
        <f aca="false">1724459+386338</f>
        <v>2110797</v>
      </c>
    </row>
    <row r="58" customFormat="false" ht="12.8" hidden="false" customHeight="false" outlineLevel="0" collapsed="false">
      <c r="A58" s="1" t="s">
        <v>30</v>
      </c>
      <c r="B58" s="1" t="s">
        <v>17</v>
      </c>
      <c r="C58" s="4" t="n">
        <f aca="false">K57</f>
        <v>2110797</v>
      </c>
      <c r="D58" s="4" t="n">
        <v>1795866</v>
      </c>
      <c r="E58" s="5" t="n">
        <f aca="false">(6983.861+0+5636.542+0)*2.204622</f>
        <v>27823.218102666</v>
      </c>
      <c r="F58" s="4" t="n">
        <f aca="false">C58+D58+E58</f>
        <v>3934486.21810267</v>
      </c>
      <c r="G58" s="4" t="n">
        <f aca="false">J58-I58</f>
        <v>1539623.28031508</v>
      </c>
      <c r="H58" s="4" t="n">
        <v>394760</v>
      </c>
      <c r="I58" s="4" t="n">
        <f aca="false">(39741.744+144.371+11864.2+270.366)*2.204622</f>
        <v>114685.937787582</v>
      </c>
      <c r="J58" s="4" t="n">
        <f aca="false">(F58-K58)</f>
        <v>1654309.21810267</v>
      </c>
      <c r="K58" s="4" t="n">
        <f aca="false">1880210+399967</f>
        <v>2280177</v>
      </c>
    </row>
    <row r="59" customFormat="false" ht="12.8" hidden="false" customHeight="false" outlineLevel="0" collapsed="false">
      <c r="A59" s="1" t="s">
        <v>30</v>
      </c>
      <c r="B59" s="1" t="s">
        <v>18</v>
      </c>
      <c r="C59" s="4" t="n">
        <f aca="false">K58</f>
        <v>2280177</v>
      </c>
      <c r="D59" s="4" t="n">
        <v>1943537</v>
      </c>
      <c r="E59" s="5" t="n">
        <f aca="false">(591.834+0+7456.81+0)*2.204622</f>
        <v>17744.217632568</v>
      </c>
      <c r="F59" s="4" t="n">
        <f aca="false">C59+D59+E59</f>
        <v>4241458.21763257</v>
      </c>
      <c r="G59" s="4" t="n">
        <f aca="false">J59-I59</f>
        <v>1683407.94754533</v>
      </c>
      <c r="H59" s="4" t="n">
        <v>464480</v>
      </c>
      <c r="I59" s="4" t="n">
        <f aca="false">(90421.404+568.24+14369.382+384.394)*2.204622</f>
        <v>233124.27008724</v>
      </c>
      <c r="J59" s="4" t="n">
        <f aca="false">(F59-K59)</f>
        <v>1916532.21763257</v>
      </c>
      <c r="K59" s="4" t="n">
        <f aca="false">1956599+368327</f>
        <v>2324926</v>
      </c>
    </row>
    <row r="60" customFormat="false" ht="12.8" hidden="false" customHeight="false" outlineLevel="0" collapsed="false">
      <c r="A60" s="1" t="s">
        <v>30</v>
      </c>
      <c r="B60" s="1" t="s">
        <v>19</v>
      </c>
      <c r="C60" s="4" t="n">
        <f aca="false">K59</f>
        <v>2324926</v>
      </c>
      <c r="D60" s="4" t="n">
        <v>1840263</v>
      </c>
      <c r="E60" s="5" t="n">
        <f aca="false">(3550.44+0+9479.238+0.48)*2.204622</f>
        <v>28726.572990276</v>
      </c>
      <c r="F60" s="4" t="n">
        <f aca="false">C60+D60+E60</f>
        <v>4193915.57299028</v>
      </c>
      <c r="G60" s="4" t="n">
        <f aca="false">J60-I60</f>
        <v>1648122.49015993</v>
      </c>
      <c r="H60" s="4" t="n">
        <v>414750</v>
      </c>
      <c r="I60" s="4" t="n">
        <f aca="false">(43735.649+152.257+12684.186+478.542)*2.204622</f>
        <v>125775.082830348</v>
      </c>
      <c r="J60" s="4" t="n">
        <f aca="false">(F60-K60)</f>
        <v>1773897.57299028</v>
      </c>
      <c r="K60" s="4" t="n">
        <f aca="false">2048554+371464</f>
        <v>2420018</v>
      </c>
    </row>
    <row r="61" customFormat="false" ht="12.8" hidden="false" customHeight="false" outlineLevel="0" collapsed="false">
      <c r="A61" s="1" t="s">
        <v>30</v>
      </c>
      <c r="B61" s="1" t="s">
        <v>31</v>
      </c>
      <c r="C61" s="4" t="n">
        <f aca="false">K60</f>
        <v>2420018</v>
      </c>
      <c r="D61" s="4" t="n">
        <v>1876184</v>
      </c>
      <c r="E61" s="5" t="n">
        <f aca="false">(629.094+1.199+14398.052+0)*2.204622</f>
        <v>33131.82001059</v>
      </c>
      <c r="F61" s="4" t="n">
        <f aca="false">C61+D61+E61</f>
        <v>4329333.82001059</v>
      </c>
      <c r="G61" s="4" t="n">
        <f aca="false">J61-I61</f>
        <v>1759376.88293919</v>
      </c>
      <c r="H61" s="4" t="n">
        <v>543780</v>
      </c>
      <c r="I61" s="4" t="n">
        <f aca="false">(35456.096+189.388+11250.035+195.972)*2.204622</f>
        <v>103818.937071402</v>
      </c>
      <c r="J61" s="4" t="n">
        <f aca="false">(F61-K61)</f>
        <v>1863195.82001059</v>
      </c>
      <c r="K61" s="4" t="n">
        <f aca="false">2063240+402898</f>
        <v>2466138</v>
      </c>
    </row>
    <row r="62" customFormat="false" ht="12.8" hidden="false" customHeight="false" outlineLevel="0" collapsed="false">
      <c r="A62" s="1" t="s">
        <v>30</v>
      </c>
      <c r="B62" s="1" t="s">
        <v>21</v>
      </c>
      <c r="C62" s="4" t="n">
        <f aca="false">K61</f>
        <v>2466138</v>
      </c>
      <c r="D62" s="4" t="n">
        <v>1787234</v>
      </c>
      <c r="E62" s="5" t="n">
        <f aca="false">(596.642+0.579+6779.714+21.75)*2.204622</f>
        <v>16311.30372207</v>
      </c>
      <c r="F62" s="4" t="n">
        <f aca="false">C62+D62+E62</f>
        <v>4269683.30372207</v>
      </c>
      <c r="G62" s="4" t="n">
        <f aca="false">J62-I62</f>
        <v>1687023.93496907</v>
      </c>
      <c r="H62" s="4" t="n">
        <v>519690</v>
      </c>
      <c r="I62" s="4" t="n">
        <f aca="false">(58786.371+182.565+12592.14+344.842)*2.204622</f>
        <v>158525.368752996</v>
      </c>
      <c r="J62" s="4" t="n">
        <f aca="false">(F62-K62)</f>
        <v>1845549.30372207</v>
      </c>
      <c r="K62" s="4" t="n">
        <f aca="false">2042738+381396</f>
        <v>2424134</v>
      </c>
    </row>
    <row r="63" customFormat="false" ht="12.8" hidden="false" customHeight="false" outlineLevel="0" collapsed="false">
      <c r="A63" s="1" t="s">
        <v>30</v>
      </c>
      <c r="B63" s="1" t="s">
        <v>22</v>
      </c>
      <c r="C63" s="4" t="n">
        <f aca="false">K62</f>
        <v>2424134</v>
      </c>
      <c r="D63" s="4" t="n">
        <v>1789356</v>
      </c>
      <c r="E63" s="5" t="n">
        <f aca="false">(492.863+0+7173.58+0)*2.204622</f>
        <v>16901.608899546</v>
      </c>
      <c r="F63" s="4" t="n">
        <f aca="false">C63+D63+E63</f>
        <v>4230391.60889955</v>
      </c>
      <c r="G63" s="4" t="n">
        <f aca="false">J63-I63</f>
        <v>1737098.68124103</v>
      </c>
      <c r="H63" s="4" t="n">
        <v>535600</v>
      </c>
      <c r="I63" s="4" t="n">
        <f aca="false">(106944.346+201.312+19122.929+290.491)*2.204622</f>
        <v>279014.927658516</v>
      </c>
      <c r="J63" s="4" t="n">
        <f aca="false">(F63-K63)</f>
        <v>2016113.60889955</v>
      </c>
      <c r="K63" s="4" t="n">
        <f aca="false">1865797+348481</f>
        <v>2214278</v>
      </c>
    </row>
    <row r="64" customFormat="false" ht="12.8" hidden="false" customHeight="false" outlineLevel="0" collapsed="false">
      <c r="A64" s="1" t="s">
        <v>30</v>
      </c>
      <c r="B64" s="1" t="s">
        <v>23</v>
      </c>
      <c r="C64" s="4" t="n">
        <f aca="false">K63</f>
        <v>2214278</v>
      </c>
      <c r="D64" s="4" t="n">
        <v>1642478</v>
      </c>
      <c r="E64" s="5" t="n">
        <f aca="false">(441.51+0+10970.187+18.574)*2.204622</f>
        <v>25199.426912562</v>
      </c>
      <c r="F64" s="4" t="n">
        <f aca="false">C64+D64+E64</f>
        <v>3881955.42691256</v>
      </c>
      <c r="G64" s="4" t="n">
        <f aca="false">J64-I64</f>
        <v>1796842.24948589</v>
      </c>
      <c r="H64" s="4" t="n">
        <v>561040</v>
      </c>
      <c r="I64" s="4" t="n">
        <f aca="false">(31239.263+90.549+13409.825+333.93)*2.204622</f>
        <v>99370.177426674</v>
      </c>
      <c r="J64" s="4" t="n">
        <f aca="false">(F64-K64)</f>
        <v>1896212.42691256</v>
      </c>
      <c r="K64" s="4" t="n">
        <f aca="false">1666531+319212</f>
        <v>1985743</v>
      </c>
    </row>
    <row r="65" customFormat="false" ht="12.8" hidden="false" customHeight="false" outlineLevel="0" collapsed="false">
      <c r="A65" s="1" t="s">
        <v>30</v>
      </c>
      <c r="B65" s="1" t="s">
        <v>24</v>
      </c>
      <c r="C65" s="4" t="n">
        <f aca="false">K64</f>
        <v>1985743</v>
      </c>
      <c r="D65" s="4" t="n">
        <v>1616609</v>
      </c>
      <c r="E65" s="5" t="n">
        <f aca="false">(341.494+0+8866.195+0)*2.204622</f>
        <v>20299.473738558</v>
      </c>
      <c r="F65" s="4" t="n">
        <f aca="false">C65+D65+E65</f>
        <v>3622651.47373856</v>
      </c>
      <c r="G65" s="4" t="n">
        <f aca="false">J65-I65</f>
        <v>1707930.18057053</v>
      </c>
      <c r="H65" s="4" t="n">
        <v>536840</v>
      </c>
      <c r="I65" s="4" t="n">
        <f aca="false">(92870.205+183.707+9768.901+554.679)*2.204622</f>
        <v>227908.293168024</v>
      </c>
      <c r="J65" s="4" t="n">
        <f aca="false">(F65-K65)</f>
        <v>1935838.47373856</v>
      </c>
      <c r="K65" s="4" t="n">
        <f aca="false">1417400+269413</f>
        <v>1686813</v>
      </c>
    </row>
    <row r="66" customFormat="false" ht="12.8" hidden="false" customHeight="false" outlineLevel="0" collapsed="false">
      <c r="A66" s="1" t="s">
        <v>30</v>
      </c>
      <c r="B66" s="1" t="s">
        <v>32</v>
      </c>
      <c r="C66" s="4"/>
      <c r="D66" s="4" t="n">
        <f aca="false">SUM(D54:D65)</f>
        <v>21950231</v>
      </c>
      <c r="E66" s="5" t="n">
        <f aca="false">SUM(E54:E65)</f>
        <v>286553.154184542</v>
      </c>
      <c r="F66" s="4" t="n">
        <f aca="false">C54+D66+E66</f>
        <v>24091602.1541845</v>
      </c>
      <c r="G66" s="4" t="n">
        <f aca="false">SUM(G54:G65)</f>
        <v>20162247.9225438</v>
      </c>
      <c r="H66" s="4" t="n">
        <f aca="false">SUM(H54:H65)</f>
        <v>5670210</v>
      </c>
      <c r="I66" s="4" t="n">
        <f aca="false">SUM(I54:I65)</f>
        <v>2242541.23164074</v>
      </c>
      <c r="J66" s="4" t="n">
        <f aca="false">SUM(J54:J65)</f>
        <v>22404789.1541845</v>
      </c>
      <c r="K66" s="4"/>
    </row>
    <row r="67" customFormat="false" ht="12.8" hidden="false" customHeight="false" outlineLevel="0" collapsed="false">
      <c r="A67" s="1" t="s">
        <v>30</v>
      </c>
      <c r="B67" s="1" t="s">
        <v>12</v>
      </c>
      <c r="C67" s="4" t="n">
        <v>1686813</v>
      </c>
      <c r="D67" s="4" t="n">
        <v>2028518</v>
      </c>
      <c r="E67" s="5" t="n">
        <v>14430.538489248</v>
      </c>
      <c r="F67" s="4" t="n">
        <f aca="false">C67+D67+E67</f>
        <v>3729761.53848925</v>
      </c>
      <c r="G67" s="4" t="n">
        <f aca="false">J67-I67</f>
        <v>1693468.44884775</v>
      </c>
      <c r="H67" s="4" t="n">
        <v>525960</v>
      </c>
      <c r="I67" s="4" t="n">
        <v>240982.089641496</v>
      </c>
      <c r="J67" s="4" t="n">
        <f aca="false">(F67-K67)</f>
        <v>1934450.53848925</v>
      </c>
      <c r="K67" s="4" t="n">
        <v>1795311</v>
      </c>
    </row>
    <row r="68" customFormat="false" ht="12.8" hidden="false" customHeight="false" outlineLevel="0" collapsed="false">
      <c r="A68" s="1" t="s">
        <v>30</v>
      </c>
      <c r="B68" s="1" t="s">
        <v>13</v>
      </c>
      <c r="C68" s="4" t="n">
        <v>1795311</v>
      </c>
      <c r="D68" s="4" t="n">
        <v>1961256</v>
      </c>
      <c r="E68" s="5" t="n">
        <v>38421.224070138</v>
      </c>
      <c r="F68" s="4" t="n">
        <f aca="false">C68+D68+E68</f>
        <v>3794988.22407014</v>
      </c>
      <c r="G68" s="4" t="n">
        <f aca="false">J68-I68</f>
        <v>1777576.03856353</v>
      </c>
      <c r="H68" s="4" t="n">
        <v>595830</v>
      </c>
      <c r="I68" s="4" t="n">
        <v>236701.185506604</v>
      </c>
      <c r="J68" s="4" t="n">
        <f aca="false">(F68-K68)</f>
        <v>2014277.22407014</v>
      </c>
      <c r="K68" s="4" t="n">
        <v>1780711</v>
      </c>
    </row>
    <row r="69" customFormat="false" ht="12.8" hidden="false" customHeight="false" outlineLevel="0" collapsed="false">
      <c r="A69" s="1" t="s">
        <v>30</v>
      </c>
      <c r="B69" s="1" t="s">
        <v>14</v>
      </c>
      <c r="C69" s="4" t="n">
        <v>1780711</v>
      </c>
      <c r="D69" s="4" t="n">
        <v>1950176</v>
      </c>
      <c r="E69" s="5" t="n">
        <v>47415.651928848</v>
      </c>
      <c r="F69" s="4" t="n">
        <f aca="false">C69+D69+E69</f>
        <v>3778302.65192885</v>
      </c>
      <c r="G69" s="4" t="n">
        <f aca="false">J69-I69</f>
        <v>1670621.94631919</v>
      </c>
      <c r="H69" s="4" t="n">
        <v>610470</v>
      </c>
      <c r="I69" s="4" t="n">
        <v>235410.70560966</v>
      </c>
      <c r="J69" s="4" t="n">
        <f aca="false">(F69-K69)</f>
        <v>1906032.65192885</v>
      </c>
      <c r="K69" s="4" t="n">
        <v>1872270</v>
      </c>
    </row>
    <row r="70" customFormat="false" ht="12.8" hidden="false" customHeight="false" outlineLevel="0" collapsed="false">
      <c r="A70" s="1" t="s">
        <v>33</v>
      </c>
      <c r="B70" s="1" t="s">
        <v>16</v>
      </c>
      <c r="C70" s="4" t="n">
        <v>1872270</v>
      </c>
      <c r="D70" s="4" t="n">
        <v>1982893</v>
      </c>
      <c r="E70" s="5" t="n">
        <v>22670.7894126</v>
      </c>
      <c r="F70" s="4" t="n">
        <f aca="false">C70+D70+E70</f>
        <v>3877833.7894126</v>
      </c>
      <c r="G70" s="4" t="n">
        <f aca="false">J70-I70</f>
        <v>1492781.92236012</v>
      </c>
      <c r="H70" s="4" t="n">
        <v>390110</v>
      </c>
      <c r="I70" s="4" t="n">
        <v>259354.867052484</v>
      </c>
      <c r="J70" s="4" t="n">
        <f aca="false">(F70-K70)</f>
        <v>1752136.7894126</v>
      </c>
      <c r="K70" s="4" t="n">
        <v>2125697</v>
      </c>
    </row>
    <row r="71" customFormat="false" ht="12.8" hidden="false" customHeight="false" outlineLevel="0" collapsed="false">
      <c r="A71" s="1" t="s">
        <v>33</v>
      </c>
      <c r="B71" s="1" t="s">
        <v>17</v>
      </c>
      <c r="C71" s="4" t="n">
        <v>2125697</v>
      </c>
      <c r="D71" s="4" t="n">
        <v>1757030</v>
      </c>
      <c r="E71" s="5" t="n">
        <v>20924.90515836</v>
      </c>
      <c r="F71" s="4" t="n">
        <f aca="false">C71+D71+E71</f>
        <v>3903651.90515836</v>
      </c>
      <c r="G71" s="4" t="n">
        <f aca="false">J71-I71</f>
        <v>1451589.43760519</v>
      </c>
      <c r="H71" s="4" t="n">
        <v>369180</v>
      </c>
      <c r="I71" s="4" t="n">
        <v>238745.467553166</v>
      </c>
      <c r="J71" s="4" t="n">
        <f aca="false">(F71-K71)</f>
        <v>1690334.90515836</v>
      </c>
      <c r="K71" s="4" t="n">
        <v>2213317</v>
      </c>
    </row>
    <row r="72" customFormat="false" ht="12.8" hidden="false" customHeight="false" outlineLevel="0" collapsed="false">
      <c r="A72" s="1" t="s">
        <v>33</v>
      </c>
      <c r="B72" s="1" t="s">
        <v>18</v>
      </c>
      <c r="C72" s="4" t="n">
        <v>2213317</v>
      </c>
      <c r="D72" s="4" t="n">
        <v>1865466</v>
      </c>
      <c r="E72" s="5" t="n">
        <v>26979.553355706</v>
      </c>
      <c r="F72" s="4" t="n">
        <f aca="false">C72+D72+E72</f>
        <v>4105762.55335571</v>
      </c>
      <c r="G72" s="4" t="n">
        <f aca="false">J72-I72</f>
        <v>1466465.41454107</v>
      </c>
      <c r="H72" s="4" t="n">
        <v>369460</v>
      </c>
      <c r="I72" s="4" t="n">
        <v>295461.138814632</v>
      </c>
      <c r="J72" s="4" t="n">
        <f aca="false">(F72-K72)</f>
        <v>1761926.55335571</v>
      </c>
      <c r="K72" s="4" t="n">
        <v>2343836</v>
      </c>
    </row>
    <row r="73" customFormat="false" ht="12.8" hidden="false" customHeight="false" outlineLevel="0" collapsed="false">
      <c r="A73" s="1" t="s">
        <v>33</v>
      </c>
      <c r="B73" s="1" t="s">
        <v>19</v>
      </c>
      <c r="C73" s="4" t="n">
        <v>2343836</v>
      </c>
      <c r="D73" s="4" t="n">
        <v>1737775</v>
      </c>
      <c r="E73" s="5" t="n">
        <v>32258.738992284</v>
      </c>
      <c r="F73" s="4" t="n">
        <f aca="false">C73+D73+E73</f>
        <v>4113869.73899228</v>
      </c>
      <c r="G73" s="4" t="n">
        <f aca="false">J73-I73</f>
        <v>1616476.42889128</v>
      </c>
      <c r="H73" s="4" t="n">
        <v>426710</v>
      </c>
      <c r="I73" s="4" t="n">
        <v>257404.310101008</v>
      </c>
      <c r="J73" s="4" t="n">
        <f aca="false">(F73-K73)</f>
        <v>1873880.73899228</v>
      </c>
      <c r="K73" s="4" t="n">
        <v>2239989</v>
      </c>
    </row>
    <row r="74" customFormat="false" ht="12.8" hidden="false" customHeight="false" outlineLevel="0" collapsed="false">
      <c r="A74" s="1" t="s">
        <v>33</v>
      </c>
      <c r="B74" s="1" t="s">
        <v>31</v>
      </c>
      <c r="C74" s="4" t="n">
        <v>2239989</v>
      </c>
      <c r="D74" s="4" t="n">
        <v>1839342</v>
      </c>
      <c r="E74" s="5" t="n">
        <v>31495.002815934</v>
      </c>
      <c r="F74" s="4" t="n">
        <f aca="false">C74+D74+E74</f>
        <v>4110826.00281593</v>
      </c>
      <c r="G74" s="4" t="n">
        <f aca="false">J74-I74</f>
        <v>1680248.39864623</v>
      </c>
      <c r="H74" s="4" t="n">
        <v>545510</v>
      </c>
      <c r="I74" s="4" t="n">
        <v>161322.604169706</v>
      </c>
      <c r="J74" s="4" t="n">
        <f aca="false">(F74-K74)</f>
        <v>1841571.00281593</v>
      </c>
      <c r="K74" s="4" t="n">
        <v>2269255</v>
      </c>
    </row>
    <row r="75" customFormat="false" ht="12.8" hidden="false" customHeight="false" outlineLevel="0" collapsed="false">
      <c r="A75" s="1" t="s">
        <v>33</v>
      </c>
      <c r="B75" s="1" t="s">
        <v>21</v>
      </c>
      <c r="C75" s="4" t="n">
        <v>2269255</v>
      </c>
      <c r="D75" s="4" t="n">
        <v>1735608</v>
      </c>
      <c r="E75" s="5" t="n">
        <v>24291.653962464</v>
      </c>
      <c r="F75" s="4" t="n">
        <f aca="false">C75+D75+E75</f>
        <v>4029154.65396246</v>
      </c>
      <c r="G75" s="4" t="n">
        <f aca="false">J75-I75</f>
        <v>1748288.55388619</v>
      </c>
      <c r="H75" s="4" t="n">
        <v>548840</v>
      </c>
      <c r="I75" s="4" t="n">
        <v>137988.100076274</v>
      </c>
      <c r="J75" s="4" t="n">
        <f aca="false">(F75-K75)</f>
        <v>1886276.65396246</v>
      </c>
      <c r="K75" s="4" t="n">
        <v>2142878</v>
      </c>
    </row>
    <row r="76" customFormat="false" ht="12.8" hidden="false" customHeight="false" outlineLevel="0" collapsed="false">
      <c r="A76" s="1" t="s">
        <v>33</v>
      </c>
      <c r="B76" s="1" t="s">
        <v>22</v>
      </c>
      <c r="C76" s="4" t="n">
        <v>2142878</v>
      </c>
      <c r="D76" s="4" t="n">
        <v>1801376</v>
      </c>
      <c r="E76" s="5" t="n">
        <v>22456.531018908</v>
      </c>
      <c r="F76" s="4" t="n">
        <f aca="false">C76+D76+E76</f>
        <v>3966710.53101891</v>
      </c>
      <c r="G76" s="4" t="n">
        <f aca="false">J76-I76</f>
        <v>1767366.29037552</v>
      </c>
      <c r="H76" s="4" t="n">
        <v>606150</v>
      </c>
      <c r="I76" s="4" t="n">
        <v>198846.240643386</v>
      </c>
      <c r="J76" s="4" t="n">
        <f aca="false">(F76-K76)</f>
        <v>1966212.53101891</v>
      </c>
      <c r="K76" s="4" t="n">
        <v>2000498</v>
      </c>
    </row>
    <row r="77" customFormat="false" ht="12.8" hidden="false" customHeight="false" outlineLevel="0" collapsed="false">
      <c r="A77" s="1" t="s">
        <v>33</v>
      </c>
      <c r="B77" s="1" t="s">
        <v>23</v>
      </c>
      <c r="C77" s="4" t="n">
        <v>2000498</v>
      </c>
      <c r="D77" s="4" t="n">
        <v>1762207</v>
      </c>
      <c r="E77" s="5" t="n">
        <v>19362.516002424</v>
      </c>
      <c r="F77" s="4" t="n">
        <f aca="false">C77+D77+E77</f>
        <v>3782067.51600242</v>
      </c>
      <c r="G77" s="4" t="n">
        <f aca="false">J77-I77</f>
        <v>1808515.54285862</v>
      </c>
      <c r="H77" s="4" t="n">
        <v>608170</v>
      </c>
      <c r="I77" s="4" t="n">
        <v>163210.973143806</v>
      </c>
      <c r="J77" s="4" t="n">
        <f aca="false">(F77-K77)</f>
        <v>1971726.51600242</v>
      </c>
      <c r="K77" s="4" t="n">
        <v>1810341</v>
      </c>
    </row>
    <row r="78" customFormat="false" ht="12.8" hidden="false" customHeight="false" outlineLevel="0" collapsed="false">
      <c r="A78" s="1" t="s">
        <v>33</v>
      </c>
      <c r="B78" s="1" t="s">
        <v>24</v>
      </c>
      <c r="C78" s="4" t="n">
        <v>1810341</v>
      </c>
      <c r="D78" s="4" t="n">
        <v>1701762</v>
      </c>
      <c r="E78" s="5" t="n">
        <v>18001.662366618</v>
      </c>
      <c r="F78" s="4" t="n">
        <f aca="false">C78+D78+E78</f>
        <v>3530104.66236662</v>
      </c>
      <c r="G78" s="4" t="n">
        <f aca="false">J78-I78</f>
        <v>1688916.11204249</v>
      </c>
      <c r="H78" s="4" t="n">
        <v>603910</v>
      </c>
      <c r="I78" s="4" t="n">
        <v>130234.55032413</v>
      </c>
      <c r="J78" s="4" t="n">
        <f aca="false">(F78-K78)</f>
        <v>1819150.66236662</v>
      </c>
      <c r="K78" s="4" t="n">
        <v>1710954</v>
      </c>
    </row>
    <row r="79" customFormat="false" ht="12.8" hidden="false" customHeight="false" outlineLevel="0" collapsed="false">
      <c r="A79" s="1" t="s">
        <v>33</v>
      </c>
      <c r="B79" s="1" t="s">
        <v>32</v>
      </c>
      <c r="C79" s="3"/>
      <c r="D79" s="4" t="n">
        <f aca="false">SUM(D67:D78)</f>
        <v>22123409</v>
      </c>
      <c r="E79" s="5" t="n">
        <f aca="false">SUM(E67:E78)</f>
        <v>318708.767573532</v>
      </c>
      <c r="F79" s="4" t="n">
        <f aca="false">C67+D79+E79</f>
        <v>24128930.7675735</v>
      </c>
      <c r="G79" s="4" t="n">
        <f aca="false">SUM(G67:G78)</f>
        <v>19862314.5349372</v>
      </c>
      <c r="H79" s="4" t="n">
        <f aca="false">SUM(H67:H78)</f>
        <v>6200300</v>
      </c>
      <c r="I79" s="4" t="n">
        <f aca="false">SUM(I67:I78)</f>
        <v>2555662.23263635</v>
      </c>
      <c r="J79" s="4" t="n">
        <f aca="false">SUM(J67:J78)</f>
        <v>22417976.7675735</v>
      </c>
      <c r="K79" s="4"/>
    </row>
    <row r="80" customFormat="false" ht="12.8" hidden="false" customHeight="false" outlineLevel="0" collapsed="false">
      <c r="A80" s="1" t="s">
        <v>33</v>
      </c>
      <c r="B80" s="1" t="s">
        <v>12</v>
      </c>
      <c r="C80" s="4" t="n">
        <v>1710954</v>
      </c>
      <c r="D80" s="4" t="n">
        <v>2016888</v>
      </c>
      <c r="E80" s="5" t="n">
        <v>32186.967523074</v>
      </c>
      <c r="F80" s="4" t="n">
        <v>3760028.96752307</v>
      </c>
      <c r="G80" s="4" t="n">
        <f aca="false">J80-I80</f>
        <v>1921164.69052353</v>
      </c>
      <c r="H80" s="4" t="n">
        <v>577430</v>
      </c>
      <c r="I80" s="4" t="n">
        <v>212641.276999536</v>
      </c>
      <c r="J80" s="6" t="n">
        <f aca="false">F80-K80</f>
        <v>2133805.96752307</v>
      </c>
      <c r="K80" s="4" t="n">
        <v>1626223</v>
      </c>
    </row>
    <row r="81" customFormat="false" ht="12.8" hidden="false" customHeight="false" outlineLevel="0" collapsed="false">
      <c r="A81" s="1" t="s">
        <v>33</v>
      </c>
      <c r="B81" s="1" t="s">
        <v>13</v>
      </c>
      <c r="C81" s="4" t="n">
        <v>1626223</v>
      </c>
      <c r="D81" s="4" t="n">
        <v>1977005</v>
      </c>
      <c r="E81" s="5" t="n">
        <v>22025.65087674</v>
      </c>
      <c r="F81" s="4" t="n">
        <v>3625253.65087674</v>
      </c>
      <c r="G81" s="4" t="n">
        <f aca="false">J81-I81</f>
        <v>1802525.97236722</v>
      </c>
      <c r="H81" s="4" t="n">
        <v>590800</v>
      </c>
      <c r="I81" s="4" t="n">
        <v>132146.678509524</v>
      </c>
      <c r="J81" s="6" t="n">
        <f aca="false">F81-K81</f>
        <v>1934672.65087674</v>
      </c>
      <c r="K81" s="4" t="n">
        <v>1690581</v>
      </c>
    </row>
    <row r="82" customFormat="false" ht="12.8" hidden="false" customHeight="false" outlineLevel="0" collapsed="false">
      <c r="A82" s="1" t="s">
        <v>33</v>
      </c>
      <c r="B82" s="1" t="s">
        <v>14</v>
      </c>
      <c r="C82" s="4" t="n">
        <v>1690581</v>
      </c>
      <c r="D82" s="4" t="n">
        <v>2015256</v>
      </c>
      <c r="E82" s="5" t="n">
        <v>31197.103268184</v>
      </c>
      <c r="F82" s="4" t="n">
        <v>3737034.10326818</v>
      </c>
      <c r="G82" s="4" t="n">
        <f aca="false">J82-I82</f>
        <v>1613443.1539013</v>
      </c>
      <c r="H82" s="4" t="n">
        <v>593990</v>
      </c>
      <c r="I82" s="4" t="n">
        <v>172916.949366882</v>
      </c>
      <c r="J82" s="6" t="n">
        <f aca="false">F82-K82</f>
        <v>1786360.10326818</v>
      </c>
      <c r="K82" s="4" t="n">
        <v>1950674</v>
      </c>
    </row>
    <row r="83" customFormat="false" ht="12.8" hidden="false" customHeight="false" outlineLevel="0" collapsed="false">
      <c r="A83" s="1" t="s">
        <v>34</v>
      </c>
      <c r="B83" s="1" t="s">
        <v>16</v>
      </c>
      <c r="C83" s="4" t="n">
        <v>1950674</v>
      </c>
      <c r="D83" s="4" t="n">
        <v>1995589</v>
      </c>
      <c r="E83" s="5" t="n">
        <v>22118.901978096</v>
      </c>
      <c r="F83" s="4" t="n">
        <v>3968381.9019781</v>
      </c>
      <c r="G83" s="4" t="n">
        <f aca="false">J83-I83</f>
        <v>1547929.93817437</v>
      </c>
      <c r="H83" s="4" t="n">
        <v>462120</v>
      </c>
      <c r="I83" s="4" t="n">
        <v>180667.963803726</v>
      </c>
      <c r="J83" s="6" t="n">
        <f aca="false">F83-K83</f>
        <v>1728597.9019781</v>
      </c>
      <c r="K83" s="4" t="n">
        <v>2239784</v>
      </c>
    </row>
    <row r="84" customFormat="false" ht="12.8" hidden="false" customHeight="false" outlineLevel="0" collapsed="false">
      <c r="A84" s="1" t="s">
        <v>34</v>
      </c>
      <c r="B84" s="1" t="s">
        <v>17</v>
      </c>
      <c r="C84" s="4" t="n">
        <v>2239784</v>
      </c>
      <c r="D84" s="4" t="n">
        <v>1889841</v>
      </c>
      <c r="E84" s="5" t="n">
        <v>41130.995518242</v>
      </c>
      <c r="F84" s="4" t="n">
        <v>4170755.99551824</v>
      </c>
      <c r="G84" s="4" t="n">
        <f aca="false">J84-I84</f>
        <v>1564279.20807683</v>
      </c>
      <c r="H84" s="4" t="n">
        <v>495590</v>
      </c>
      <c r="I84" s="4" t="n">
        <v>181094.787441414</v>
      </c>
      <c r="J84" s="6" t="n">
        <f aca="false">F84-K84</f>
        <v>1745373.99551824</v>
      </c>
      <c r="K84" s="4" t="n">
        <v>2425382</v>
      </c>
    </row>
    <row r="85" customFormat="false" ht="12.8" hidden="false" customHeight="false" outlineLevel="0" collapsed="false">
      <c r="A85" s="1" t="s">
        <v>34</v>
      </c>
      <c r="B85" s="1" t="s">
        <v>18</v>
      </c>
      <c r="C85" s="4" t="n">
        <v>2425382</v>
      </c>
      <c r="D85" s="4" t="n">
        <v>2079123</v>
      </c>
      <c r="E85" s="5" t="n">
        <v>21080.02236228</v>
      </c>
      <c r="F85" s="4" t="n">
        <v>4525585.02236228</v>
      </c>
      <c r="G85" s="4" t="n">
        <f aca="false">J85-I85</f>
        <v>1879572.26642042</v>
      </c>
      <c r="H85" s="4" t="n">
        <v>624150</v>
      </c>
      <c r="I85" s="4" t="n">
        <v>201530.755941858</v>
      </c>
      <c r="J85" s="6" t="n">
        <f aca="false">F85-K85</f>
        <v>2081103.02236228</v>
      </c>
      <c r="K85" s="4" t="n">
        <v>2444482</v>
      </c>
    </row>
    <row r="86" customFormat="false" ht="12.8" hidden="false" customHeight="false" outlineLevel="0" collapsed="false">
      <c r="A86" s="1" t="s">
        <v>34</v>
      </c>
      <c r="B86" s="1" t="s">
        <v>19</v>
      </c>
      <c r="C86" s="4" t="n">
        <v>2444482</v>
      </c>
      <c r="D86" s="4" t="n">
        <v>1964922</v>
      </c>
      <c r="E86" s="5" t="n">
        <v>28697.044283208</v>
      </c>
      <c r="F86" s="4" t="n">
        <v>4438101.04428321</v>
      </c>
      <c r="G86" s="4" t="n">
        <f aca="false">J86-I86</f>
        <v>1537004.60592333</v>
      </c>
      <c r="H86" s="4" t="n">
        <v>519560</v>
      </c>
      <c r="I86" s="4" t="n">
        <v>212320.438359876</v>
      </c>
      <c r="J86" s="6" t="n">
        <f aca="false">F86-K86</f>
        <v>1749325.04428321</v>
      </c>
      <c r="K86" s="4" t="n">
        <v>2688776</v>
      </c>
    </row>
    <row r="87" customFormat="false" ht="12.8" hidden="false" customHeight="false" outlineLevel="0" collapsed="false">
      <c r="A87" s="1" t="s">
        <v>34</v>
      </c>
      <c r="B87" s="1" t="s">
        <v>31</v>
      </c>
      <c r="C87" s="4" t="n">
        <v>2688776</v>
      </c>
      <c r="D87" s="4" t="n">
        <v>1966511</v>
      </c>
      <c r="E87" s="5" t="n">
        <v>34096.664010402</v>
      </c>
      <c r="F87" s="4" t="n">
        <v>4689383.6640104</v>
      </c>
      <c r="G87" s="4" t="n">
        <f aca="false">J87-I87</f>
        <v>1883900.57504849</v>
      </c>
      <c r="H87" s="4" t="n">
        <v>581330</v>
      </c>
      <c r="I87" s="4" t="n">
        <v>431422.088961906</v>
      </c>
      <c r="J87" s="6" t="n">
        <f aca="false">F87-K87</f>
        <v>2315322.6640104</v>
      </c>
      <c r="K87" s="4" t="n">
        <v>2374061</v>
      </c>
    </row>
    <row r="88" customFormat="false" ht="12.8" hidden="false" customHeight="false" outlineLevel="0" collapsed="false">
      <c r="A88" s="1" t="s">
        <v>34</v>
      </c>
      <c r="B88" s="1" t="s">
        <v>21</v>
      </c>
      <c r="C88" s="4" t="n">
        <v>2374061</v>
      </c>
      <c r="D88" s="4" t="n">
        <v>1936907</v>
      </c>
      <c r="E88" s="5" t="n">
        <v>31765.695123582</v>
      </c>
      <c r="F88" s="4" t="n">
        <v>4342733.69512358</v>
      </c>
      <c r="G88" s="4" t="n">
        <f aca="false">J88-I88</f>
        <v>1809597.32887043</v>
      </c>
      <c r="H88" s="4" t="n">
        <v>623610</v>
      </c>
      <c r="I88" s="4" t="n">
        <v>228328.366253148</v>
      </c>
      <c r="J88" s="6" t="n">
        <f aca="false">F88-K88</f>
        <v>2037925.69512358</v>
      </c>
      <c r="K88" s="4" t="n">
        <v>2304808</v>
      </c>
    </row>
    <row r="89" customFormat="false" ht="12.8" hidden="false" customHeight="false" outlineLevel="0" collapsed="false">
      <c r="A89" s="1" t="s">
        <v>34</v>
      </c>
      <c r="B89" s="1" t="s">
        <v>22</v>
      </c>
      <c r="C89" s="4" t="n">
        <v>2304808</v>
      </c>
      <c r="D89" s="4" t="n">
        <v>2043323</v>
      </c>
      <c r="E89" s="5" t="n">
        <v>32716.958651874</v>
      </c>
      <c r="F89" s="4" t="n">
        <v>4380847.95865187</v>
      </c>
      <c r="G89" s="4" t="n">
        <f aca="false">J89-I89</f>
        <v>1822468.71160869</v>
      </c>
      <c r="H89" s="4" t="n">
        <v>671270</v>
      </c>
      <c r="I89" s="4" t="n">
        <v>174733.24704318</v>
      </c>
      <c r="J89" s="6" t="n">
        <f aca="false">F89-K89</f>
        <v>1997201.95865187</v>
      </c>
      <c r="K89" s="4" t="n">
        <v>2383646</v>
      </c>
    </row>
    <row r="90" customFormat="false" ht="12.8" hidden="false" customHeight="false" outlineLevel="0" collapsed="false">
      <c r="A90" s="1" t="s">
        <v>34</v>
      </c>
      <c r="B90" s="1" t="s">
        <v>23</v>
      </c>
      <c r="C90" s="4" t="n">
        <v>2383646</v>
      </c>
      <c r="D90" s="4" t="n">
        <v>1944966</v>
      </c>
      <c r="E90" s="5" t="n">
        <v>23728.915378476</v>
      </c>
      <c r="F90" s="4" t="n">
        <v>4352340.91537848</v>
      </c>
      <c r="G90" s="4" t="n">
        <f aca="false">J90-I90</f>
        <v>1939904.00159783</v>
      </c>
      <c r="H90" s="4" t="n">
        <v>705130</v>
      </c>
      <c r="I90" s="4" t="n">
        <v>197637.91378065</v>
      </c>
      <c r="J90" s="6" t="n">
        <f aca="false">F90-K90</f>
        <v>2137541.91537848</v>
      </c>
      <c r="K90" s="4" t="n">
        <v>2214799</v>
      </c>
    </row>
    <row r="91" customFormat="false" ht="12.8" hidden="false" customHeight="false" outlineLevel="0" collapsed="false">
      <c r="A91" s="1" t="s">
        <v>34</v>
      </c>
      <c r="B91" s="1" t="s">
        <v>24</v>
      </c>
      <c r="C91" s="4" t="n">
        <v>2214799</v>
      </c>
      <c r="D91" s="4" t="n">
        <v>1942097</v>
      </c>
      <c r="E91" s="5" t="n">
        <v>14664.713438088</v>
      </c>
      <c r="F91" s="4" t="n">
        <v>4171560.71343809</v>
      </c>
      <c r="G91" s="4" t="n">
        <f aca="false">J91-I91</f>
        <v>2054457.84049535</v>
      </c>
      <c r="H91" s="4" t="n">
        <v>688710</v>
      </c>
      <c r="I91" s="4" t="n">
        <v>121668.872942736</v>
      </c>
      <c r="J91" s="6" t="n">
        <f aca="false">F91-K91</f>
        <v>2176126.71343809</v>
      </c>
      <c r="K91" s="4" t="n">
        <v>1995434</v>
      </c>
    </row>
    <row r="92" customFormat="false" ht="12.8" hidden="false" customHeight="false" outlineLevel="0" collapsed="false">
      <c r="A92" s="1" t="s">
        <v>34</v>
      </c>
      <c r="B92" s="1" t="s">
        <v>32</v>
      </c>
      <c r="C92" s="4"/>
      <c r="D92" s="4" t="n">
        <f aca="false">SUM(D80:D91)</f>
        <v>23772428</v>
      </c>
      <c r="E92" s="7" t="n">
        <f aca="false">SUM(E80:E91)</f>
        <v>335409.632412246</v>
      </c>
      <c r="F92" s="4" t="n">
        <f aca="false">C80+D92+E92</f>
        <v>25818791.6324122</v>
      </c>
      <c r="G92" s="4" t="n">
        <f aca="false">SUM(G80:G91)</f>
        <v>21376248.2930078</v>
      </c>
      <c r="H92" s="4" t="n">
        <f aca="false">SUM(H80:H91)</f>
        <v>7133690</v>
      </c>
      <c r="I92" s="4" t="n">
        <f aca="false">SUM(I80:I91)</f>
        <v>2447109.33940444</v>
      </c>
      <c r="J92" s="4" t="n">
        <f aca="false">SUM(J80:J91)</f>
        <v>23823357.6324122</v>
      </c>
      <c r="K92" s="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2019-10-31T10:46:15Z</dcterms:created>
  <dc:creator/>
  <dc:description/>
  <dc:language>en-US</dc:language>
  <cp:lastModifiedBy/>
  <dcterms:modified xsi:type="dcterms:W3CDTF">2019-10-31T10:51:26Z</dcterms:modified>
  <cp:revision>2</cp:revision>
  <dc:subject/>
  <dc:title/>
</cp:coreProperties>
</file>