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npparibas-my.sharepoint.com/personal/severine_1_lahaie_bnpparibas_com/Documents/Bureau/"/>
    </mc:Choice>
  </mc:AlternateContent>
  <xr:revisionPtr revIDLastSave="27" documentId="8_{DA4F3436-3CDA-4960-AABF-3128EA141F10}" xr6:coauthVersionLast="47" xr6:coauthVersionMax="47" xr10:uidLastSave="{B45B5B9E-130C-4392-92FC-28E45073BC92}"/>
  <bookViews>
    <workbookView xWindow="28680" yWindow="-1680" windowWidth="29040" windowHeight="15840" tabRatio="789" activeTab="1" xr2:uid="{C2FE69B4-52B3-484E-B704-4F2E8A4B1BE3}"/>
  </bookViews>
  <sheets>
    <sheet name="Paramètre" sheetId="3" r:id="rId1"/>
    <sheet name="Saisie" sheetId="15" r:id="rId2"/>
  </sheets>
  <definedNames>
    <definedName name="_xlnm._FilterDatabase" localSheetId="1" hidden="1">Saisie!$A$2:$BQ$95</definedName>
  </definedNames>
  <calcPr calcId="191028" iterateCount="0" iterateDelta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5" l="1"/>
  <c r="J5" i="15"/>
  <c r="J6" i="15"/>
  <c r="J13" i="15"/>
  <c r="J22" i="15"/>
  <c r="J24" i="15"/>
  <c r="J25" i="15"/>
  <c r="J26" i="15"/>
  <c r="J95" i="15"/>
  <c r="AI39" i="15"/>
  <c r="AI37" i="15"/>
  <c r="AI63" i="15"/>
  <c r="C62" i="15"/>
  <c r="C63" i="15"/>
  <c r="AI60" i="15"/>
  <c r="AI66" i="15"/>
  <c r="AI42" i="15"/>
  <c r="AI41" i="15"/>
  <c r="AI56" i="15"/>
  <c r="C56" i="15"/>
  <c r="AI55" i="15"/>
  <c r="C55" i="15"/>
  <c r="AI51" i="15"/>
  <c r="AI49" i="15"/>
  <c r="AI50" i="15"/>
  <c r="AI58" i="15"/>
  <c r="AI68" i="15"/>
  <c r="AI77" i="15"/>
  <c r="AI75" i="15"/>
  <c r="AI69" i="15"/>
  <c r="AI71" i="15"/>
  <c r="AI67" i="15"/>
  <c r="AI13" i="15"/>
  <c r="AI20" i="15"/>
  <c r="AI16" i="15"/>
  <c r="AI22" i="15"/>
  <c r="AI35" i="15"/>
  <c r="AI30" i="15"/>
  <c r="AI27" i="15"/>
  <c r="AI21" i="15"/>
  <c r="AI4" i="15"/>
  <c r="AI3" i="15"/>
  <c r="C43" i="15"/>
  <c r="AD86" i="15"/>
  <c r="AE95" i="15"/>
  <c r="AF95" i="15"/>
  <c r="AG95" i="15"/>
  <c r="AH95" i="15"/>
  <c r="AI95" i="15"/>
  <c r="AK95" i="15"/>
  <c r="AL95" i="15"/>
  <c r="AM95" i="15"/>
  <c r="AN95" i="15"/>
  <c r="AO95" i="15"/>
  <c r="AP95" i="15"/>
  <c r="AQ95" i="15"/>
  <c r="AR95" i="15"/>
  <c r="AS95" i="15"/>
  <c r="AT95" i="15"/>
  <c r="AU95" i="15"/>
  <c r="AV95" i="15"/>
  <c r="AW95" i="15"/>
  <c r="AX95" i="15"/>
  <c r="AY95" i="15"/>
  <c r="AZ95" i="15"/>
  <c r="BA95" i="15"/>
  <c r="BB95" i="15"/>
  <c r="BC95" i="15"/>
  <c r="BD95" i="15"/>
  <c r="BE95" i="15"/>
  <c r="BF95" i="15"/>
  <c r="BG95" i="15"/>
  <c r="BH95" i="15"/>
  <c r="BI95" i="15"/>
  <c r="BJ95" i="15"/>
  <c r="BK95" i="15"/>
  <c r="BL95" i="15"/>
  <c r="BM95" i="15"/>
  <c r="BN95" i="15"/>
  <c r="BO95" i="15"/>
  <c r="BP95" i="15"/>
  <c r="BQ95" i="15"/>
  <c r="AD79" i="15"/>
  <c r="AD39" i="15"/>
  <c r="AD87" i="15"/>
  <c r="AD52" i="15"/>
  <c r="AD50" i="15"/>
  <c r="AD58" i="15"/>
  <c r="AD61" i="15"/>
  <c r="AD64" i="15"/>
  <c r="AD60" i="15"/>
  <c r="AD66" i="15"/>
  <c r="AD72" i="15"/>
  <c r="AD75" i="15"/>
  <c r="AD76" i="15"/>
  <c r="AD71" i="15"/>
  <c r="AD74" i="15"/>
  <c r="AD68" i="15"/>
  <c r="AD22" i="15"/>
  <c r="AD47" i="15"/>
  <c r="AD42" i="15"/>
  <c r="AD18" i="15"/>
  <c r="AD13" i="15"/>
  <c r="AD34" i="15"/>
  <c r="AD25" i="15"/>
  <c r="AD23" i="15"/>
  <c r="AD32" i="15"/>
  <c r="AD27" i="15"/>
  <c r="AD28" i="15"/>
  <c r="AD31" i="15"/>
  <c r="AD30" i="15"/>
  <c r="AD7" i="15"/>
  <c r="AD4" i="15"/>
  <c r="AJ95" i="15"/>
  <c r="C32" i="15"/>
  <c r="C34" i="15"/>
  <c r="C87" i="15"/>
  <c r="C52" i="15"/>
  <c r="C76" i="15"/>
  <c r="C75" i="15"/>
  <c r="AD95" i="15"/>
  <c r="C47" i="15"/>
  <c r="C88" i="15"/>
  <c r="C39" i="15"/>
  <c r="C36" i="15"/>
  <c r="C92" i="15"/>
  <c r="C90" i="15"/>
  <c r="C82" i="15"/>
  <c r="C78" i="15"/>
  <c r="C85" i="15"/>
  <c r="C83" i="15"/>
  <c r="C46" i="15"/>
  <c r="C65" i="15"/>
  <c r="C10" i="15"/>
  <c r="C8" i="15"/>
  <c r="C33" i="15"/>
  <c r="C28" i="15"/>
  <c r="C27" i="15"/>
  <c r="C18" i="15"/>
  <c r="C17" i="15"/>
  <c r="T4" i="15"/>
  <c r="T13" i="15"/>
  <c r="O13" i="15"/>
  <c r="O74" i="15"/>
  <c r="O68" i="15"/>
  <c r="O4" i="15"/>
  <c r="O25" i="15"/>
  <c r="O31" i="15"/>
  <c r="O30" i="15"/>
  <c r="J91" i="15"/>
  <c r="J93" i="15"/>
  <c r="J94" i="15"/>
  <c r="J50" i="15"/>
  <c r="J14" i="15"/>
  <c r="Y13" i="15"/>
  <c r="Y38" i="15"/>
  <c r="Y37" i="15"/>
  <c r="Y40" i="15"/>
  <c r="Y68" i="15"/>
  <c r="Y74" i="15"/>
  <c r="Y73" i="15"/>
  <c r="Y69" i="15"/>
  <c r="Y72" i="15"/>
  <c r="Y71" i="15"/>
  <c r="Y51" i="15"/>
  <c r="Y54" i="15"/>
  <c r="Y53" i="15"/>
  <c r="Y50" i="15"/>
  <c r="Y58" i="15"/>
  <c r="Y61" i="15"/>
  <c r="Y66" i="15"/>
  <c r="Y60" i="15"/>
  <c r="Y86" i="15"/>
  <c r="Y84" i="15"/>
  <c r="Y42" i="15"/>
  <c r="Y48" i="15"/>
  <c r="Y11" i="15"/>
  <c r="Y21" i="15"/>
  <c r="Y23" i="15"/>
  <c r="Y29" i="15"/>
  <c r="Y25" i="15"/>
  <c r="Y22" i="15"/>
  <c r="Y35" i="15"/>
  <c r="Y19" i="15"/>
  <c r="Y15" i="15"/>
  <c r="AC23" i="3"/>
  <c r="AD23" i="3"/>
  <c r="AA23" i="3"/>
  <c r="AB23" i="3"/>
  <c r="C73" i="15"/>
  <c r="C14" i="15"/>
  <c r="C91" i="15"/>
  <c r="C13" i="15"/>
  <c r="C69" i="15"/>
  <c r="C4" i="15"/>
  <c r="C53" i="15"/>
  <c r="C94" i="15"/>
  <c r="C86" i="15"/>
  <c r="C93" i="15"/>
  <c r="C54" i="15"/>
  <c r="C72" i="15"/>
  <c r="C30" i="15"/>
  <c r="C31" i="15"/>
  <c r="C38" i="15"/>
  <c r="C19" i="15"/>
  <c r="T37" i="15"/>
  <c r="T40" i="15"/>
  <c r="T81" i="15"/>
  <c r="O81" i="15"/>
  <c r="J81" i="15"/>
  <c r="T79" i="15"/>
  <c r="T84" i="15"/>
  <c r="T51" i="15"/>
  <c r="T50" i="15"/>
  <c r="T58" i="15"/>
  <c r="T42" i="15"/>
  <c r="T44" i="15"/>
  <c r="T48" i="15"/>
  <c r="T64" i="15"/>
  <c r="T61" i="15"/>
  <c r="T60" i="15"/>
  <c r="T66" i="15"/>
  <c r="T59" i="15"/>
  <c r="T68" i="15"/>
  <c r="T71" i="15"/>
  <c r="T74" i="15"/>
  <c r="T77" i="15"/>
  <c r="T9" i="15"/>
  <c r="T7" i="15"/>
  <c r="T11" i="15"/>
  <c r="T3" i="15"/>
  <c r="T35" i="15"/>
  <c r="T25" i="15"/>
  <c r="T29" i="15"/>
  <c r="T23" i="15"/>
  <c r="T22" i="15"/>
  <c r="T16" i="15"/>
  <c r="T15" i="15"/>
  <c r="T12" i="15"/>
  <c r="T20" i="15"/>
  <c r="C16" i="15"/>
  <c r="C7" i="15"/>
  <c r="C51" i="15"/>
  <c r="C77" i="15"/>
  <c r="C29" i="15"/>
  <c r="C74" i="15"/>
  <c r="C71" i="15"/>
  <c r="C44" i="15"/>
  <c r="C20" i="15"/>
  <c r="C9" i="15"/>
  <c r="C64" i="15"/>
  <c r="C48" i="15"/>
  <c r="C81" i="15"/>
  <c r="K95" i="15"/>
  <c r="L95" i="15"/>
  <c r="M95" i="15"/>
  <c r="N95" i="15"/>
  <c r="P95" i="15"/>
  <c r="Q95" i="15"/>
  <c r="R95" i="15"/>
  <c r="S95" i="15"/>
  <c r="T95" i="15"/>
  <c r="U95" i="15"/>
  <c r="V95" i="15"/>
  <c r="W95" i="15"/>
  <c r="X95" i="15"/>
  <c r="Y95" i="15"/>
  <c r="Z95" i="15"/>
  <c r="O42" i="15"/>
  <c r="O22" i="15"/>
  <c r="O40" i="15"/>
  <c r="O37" i="15"/>
  <c r="O79" i="15"/>
  <c r="O84" i="15"/>
  <c r="O50" i="15"/>
  <c r="O58" i="15"/>
  <c r="O57" i="15"/>
  <c r="O49" i="15"/>
  <c r="O45" i="15"/>
  <c r="O41" i="15"/>
  <c r="O61" i="15"/>
  <c r="O60" i="15"/>
  <c r="O66" i="15"/>
  <c r="O59" i="15"/>
  <c r="O67" i="15"/>
  <c r="O6" i="15"/>
  <c r="O11" i="15"/>
  <c r="O3" i="15"/>
  <c r="O35" i="15"/>
  <c r="O23" i="15"/>
  <c r="O21" i="15"/>
  <c r="O15" i="15"/>
  <c r="C23" i="15"/>
  <c r="C67" i="15"/>
  <c r="C50" i="15"/>
  <c r="C35" i="15"/>
  <c r="C3" i="15"/>
  <c r="C66" i="15"/>
  <c r="C11" i="15"/>
  <c r="O95" i="15"/>
  <c r="J37" i="15"/>
  <c r="J40" i="15"/>
  <c r="J79" i="15"/>
  <c r="J80" i="15"/>
  <c r="J84" i="15"/>
  <c r="J89" i="15"/>
  <c r="J57" i="15"/>
  <c r="J58" i="15"/>
  <c r="J45" i="15"/>
  <c r="J42" i="15"/>
  <c r="J61" i="15"/>
  <c r="J60" i="15"/>
  <c r="J70" i="15"/>
  <c r="J68" i="15"/>
  <c r="C58" i="15"/>
  <c r="C5" i="15"/>
  <c r="C41" i="15"/>
  <c r="C70" i="15"/>
  <c r="C57" i="15"/>
  <c r="C60" i="15"/>
  <c r="C49" i="15"/>
  <c r="C61" i="15"/>
  <c r="C89" i="15"/>
  <c r="C59" i="15"/>
  <c r="C84" i="15"/>
  <c r="C42" i="15"/>
  <c r="C80" i="15"/>
  <c r="C6" i="15"/>
  <c r="C45" i="15"/>
  <c r="C79" i="15"/>
  <c r="C40" i="15"/>
  <c r="C68" i="15"/>
  <c r="C37" i="15"/>
  <c r="J15" i="15"/>
  <c r="L12" i="3"/>
  <c r="C26" i="15"/>
  <c r="C21" i="15"/>
  <c r="C25" i="15"/>
  <c r="C15" i="15"/>
  <c r="C22" i="15"/>
  <c r="C24" i="15"/>
  <c r="Z12" i="3"/>
  <c r="AA12" i="3"/>
  <c r="Z13" i="3"/>
  <c r="AA13" i="3"/>
  <c r="AA17" i="3"/>
  <c r="AB17" i="3"/>
  <c r="AC17" i="3"/>
  <c r="AD17" i="3"/>
  <c r="AA18" i="3"/>
  <c r="AB18" i="3"/>
  <c r="AC18" i="3"/>
  <c r="AD18" i="3"/>
  <c r="F12" i="3"/>
  <c r="G12" i="3"/>
  <c r="AE17" i="3"/>
  <c r="AE18" i="3"/>
  <c r="AC13" i="3"/>
  <c r="AD13" i="3"/>
  <c r="AD12" i="3"/>
  <c r="AC12" i="3"/>
  <c r="AB12" i="3"/>
  <c r="AB13" i="3"/>
  <c r="AC95" i="15"/>
  <c r="AB95" i="15"/>
  <c r="AA95" i="15"/>
  <c r="AE13" i="3"/>
  <c r="AE12" i="3"/>
  <c r="AF12" i="3"/>
  <c r="F6" i="3"/>
  <c r="G6" i="3"/>
  <c r="F7" i="3"/>
  <c r="G7" i="3"/>
  <c r="F8" i="3"/>
  <c r="G8" i="3"/>
  <c r="F9" i="3"/>
  <c r="G9" i="3"/>
  <c r="F10" i="3"/>
  <c r="G10" i="3"/>
  <c r="F11" i="3"/>
  <c r="G11" i="3"/>
  <c r="C12" i="15"/>
  <c r="C95" i="15"/>
  <c r="AC35" i="3"/>
  <c r="Z3" i="3"/>
  <c r="AC31" i="3"/>
  <c r="AD31" i="3"/>
  <c r="AC30" i="3"/>
  <c r="AD30" i="3"/>
  <c r="AC29" i="3"/>
  <c r="AD29" i="3"/>
  <c r="AC28" i="3"/>
  <c r="AD28" i="3"/>
  <c r="AA31" i="3"/>
  <c r="AB31" i="3"/>
  <c r="AA30" i="3"/>
  <c r="AB30" i="3"/>
  <c r="AA29" i="3"/>
  <c r="AB29" i="3"/>
  <c r="AA28" i="3"/>
  <c r="AB28" i="3"/>
  <c r="AE30" i="3"/>
  <c r="AE29" i="3"/>
  <c r="AE28" i="3"/>
  <c r="AE31" i="3"/>
  <c r="AC27" i="3"/>
  <c r="AD27" i="3"/>
  <c r="AC26" i="3"/>
  <c r="AD26" i="3"/>
  <c r="AC25" i="3"/>
  <c r="AD25" i="3"/>
  <c r="AC24" i="3"/>
  <c r="AD24" i="3"/>
  <c r="AC16" i="3"/>
  <c r="AD16" i="3"/>
  <c r="AC22" i="3"/>
  <c r="AD22" i="3"/>
  <c r="AC21" i="3"/>
  <c r="AD21" i="3"/>
  <c r="AC20" i="3"/>
  <c r="AD20" i="3"/>
  <c r="AC19" i="3"/>
  <c r="AD19" i="3"/>
  <c r="AA27" i="3"/>
  <c r="AB27" i="3"/>
  <c r="AA26" i="3"/>
  <c r="AB26" i="3"/>
  <c r="O12" i="3"/>
  <c r="AA25" i="3"/>
  <c r="AB25" i="3"/>
  <c r="N12" i="3"/>
  <c r="AA24" i="3"/>
  <c r="AB24" i="3"/>
  <c r="M12" i="3"/>
  <c r="AA16" i="3"/>
  <c r="AB16" i="3"/>
  <c r="AA22" i="3"/>
  <c r="AB22" i="3"/>
  <c r="AA21" i="3"/>
  <c r="AB21" i="3"/>
  <c r="J12" i="3"/>
  <c r="AA20" i="3"/>
  <c r="AB20" i="3"/>
  <c r="AA19" i="3"/>
  <c r="AB19" i="3"/>
  <c r="H12" i="3"/>
  <c r="D22" i="3"/>
  <c r="P12" i="3"/>
  <c r="K12" i="3"/>
  <c r="E2" i="3"/>
  <c r="E6" i="3"/>
  <c r="E9" i="3"/>
  <c r="E7" i="3"/>
  <c r="E10" i="3"/>
  <c r="E8" i="3"/>
  <c r="I12" i="3"/>
  <c r="O7" i="3"/>
  <c r="O9" i="3"/>
  <c r="O11" i="3"/>
  <c r="O6" i="3"/>
  <c r="O8" i="3"/>
  <c r="O10" i="3"/>
  <c r="K6" i="3"/>
  <c r="K8" i="3"/>
  <c r="K10" i="3"/>
  <c r="K7" i="3"/>
  <c r="K9" i="3"/>
  <c r="K11" i="3"/>
  <c r="N8" i="3"/>
  <c r="N6" i="3"/>
  <c r="N10" i="3"/>
  <c r="N7" i="3"/>
  <c r="N9" i="3"/>
  <c r="N11" i="3"/>
  <c r="H6" i="3"/>
  <c r="H8" i="3"/>
  <c r="H10" i="3"/>
  <c r="H7" i="3"/>
  <c r="H9" i="3"/>
  <c r="H11" i="3"/>
  <c r="P6" i="3"/>
  <c r="P8" i="3"/>
  <c r="P10" i="3"/>
  <c r="P11" i="3"/>
  <c r="P7" i="3"/>
  <c r="P9" i="3"/>
  <c r="J6" i="3"/>
  <c r="J7" i="3"/>
  <c r="J9" i="3"/>
  <c r="J11" i="3"/>
  <c r="J8" i="3"/>
  <c r="J10" i="3"/>
  <c r="L7" i="3"/>
  <c r="L9" i="3"/>
  <c r="L11" i="3"/>
  <c r="L6" i="3"/>
  <c r="L8" i="3"/>
  <c r="L10" i="3"/>
  <c r="M7" i="3"/>
  <c r="M10" i="3"/>
  <c r="M9" i="3"/>
  <c r="M11" i="3"/>
  <c r="M8" i="3"/>
  <c r="M6" i="3"/>
  <c r="I8" i="3"/>
  <c r="I6" i="3"/>
  <c r="I9" i="3"/>
  <c r="I7" i="3"/>
  <c r="I11" i="3"/>
  <c r="I10" i="3"/>
  <c r="I5" i="3"/>
  <c r="I4" i="3"/>
  <c r="I3" i="3"/>
  <c r="M5" i="3"/>
  <c r="M4" i="3"/>
  <c r="M3" i="3"/>
  <c r="N5" i="3"/>
  <c r="N4" i="3"/>
  <c r="N3" i="3"/>
  <c r="K5" i="3"/>
  <c r="K4" i="3"/>
  <c r="K3" i="3"/>
  <c r="O5" i="3"/>
  <c r="O4" i="3"/>
  <c r="O3" i="3"/>
  <c r="J5" i="3"/>
  <c r="J4" i="3"/>
  <c r="J3" i="3"/>
  <c r="L5" i="3"/>
  <c r="L4" i="3"/>
  <c r="L3" i="3"/>
  <c r="P5" i="3"/>
  <c r="P4" i="3"/>
  <c r="P3" i="3"/>
  <c r="F3" i="3"/>
  <c r="F2" i="3"/>
  <c r="F5" i="3"/>
  <c r="F4" i="3"/>
  <c r="J2" i="3"/>
  <c r="AE21" i="3"/>
  <c r="N2" i="3"/>
  <c r="AE25" i="3"/>
  <c r="G3" i="3"/>
  <c r="G2" i="3"/>
  <c r="G4" i="3"/>
  <c r="G5" i="3"/>
  <c r="K2" i="3"/>
  <c r="O2" i="3"/>
  <c r="H2" i="3"/>
  <c r="H4" i="3"/>
  <c r="H5" i="3"/>
  <c r="H3" i="3"/>
  <c r="L2" i="3"/>
  <c r="P2" i="3"/>
  <c r="AE27" i="3"/>
  <c r="I2" i="3"/>
  <c r="M2" i="3"/>
  <c r="AE24" i="3"/>
  <c r="E4" i="3"/>
  <c r="E5" i="3"/>
  <c r="E3" i="3"/>
  <c r="F20" i="3"/>
  <c r="G20" i="3"/>
  <c r="AC1" i="3"/>
  <c r="I20" i="3"/>
  <c r="J20" i="3"/>
  <c r="L20" i="3"/>
  <c r="Z6" i="3"/>
  <c r="Z9" i="3"/>
  <c r="AE22" i="3"/>
  <c r="Z10" i="3"/>
  <c r="AE23" i="3"/>
  <c r="Z11" i="3"/>
  <c r="Z5" i="3"/>
  <c r="Z2" i="3"/>
  <c r="AB3" i="3"/>
  <c r="AE16" i="3"/>
  <c r="AB11" i="3"/>
  <c r="AE26" i="3"/>
  <c r="AB2" i="3"/>
  <c r="M20" i="3"/>
  <c r="AA10" i="3"/>
  <c r="AB10" i="3"/>
  <c r="AA9" i="3"/>
  <c r="AB9" i="3"/>
  <c r="AA5" i="3"/>
  <c r="AB5" i="3"/>
  <c r="AA6" i="3"/>
  <c r="AB6" i="3"/>
  <c r="AA11" i="3"/>
  <c r="AA2" i="3"/>
  <c r="Z8" i="3"/>
  <c r="AB8" i="3"/>
  <c r="Z4" i="3"/>
  <c r="AE19" i="3"/>
  <c r="Z7" i="3"/>
  <c r="AA3" i="3"/>
  <c r="E12" i="3"/>
  <c r="E11" i="3"/>
  <c r="H20" i="3"/>
  <c r="AE20" i="3"/>
  <c r="N20" i="3"/>
  <c r="O20" i="3"/>
  <c r="AA7" i="3"/>
  <c r="AB7" i="3"/>
  <c r="AC5" i="3"/>
  <c r="AD5" i="3"/>
  <c r="AA4" i="3"/>
  <c r="AB4" i="3"/>
  <c r="AD6" i="3"/>
  <c r="AC6" i="3"/>
  <c r="AD10" i="3"/>
  <c r="AC10" i="3"/>
  <c r="AC3" i="3"/>
  <c r="AD3" i="3"/>
  <c r="AC2" i="3"/>
  <c r="AD2" i="3"/>
  <c r="AC11" i="3"/>
  <c r="AD11" i="3"/>
  <c r="AC9" i="3"/>
  <c r="AD9" i="3"/>
  <c r="AA8" i="3"/>
  <c r="E20" i="3"/>
  <c r="R2" i="3"/>
  <c r="K20" i="3"/>
  <c r="P20" i="3"/>
  <c r="AE6" i="3"/>
  <c r="AE10" i="3"/>
  <c r="Z27" i="3"/>
  <c r="AE11" i="3"/>
  <c r="AE3" i="3"/>
  <c r="AE5" i="3"/>
  <c r="AD8" i="3"/>
  <c r="AC8" i="3"/>
  <c r="AE9" i="3"/>
  <c r="Z22" i="3"/>
  <c r="AE2" i="3"/>
  <c r="Z16" i="3"/>
  <c r="AD4" i="3"/>
  <c r="AC4" i="3"/>
  <c r="AC7" i="3"/>
  <c r="AD7" i="3"/>
  <c r="AF2" i="3"/>
  <c r="AE7" i="3"/>
  <c r="AF7" i="3"/>
  <c r="AF9" i="3"/>
  <c r="AE4" i="3"/>
  <c r="AF4" i="3"/>
  <c r="AE8" i="3"/>
  <c r="AF8" i="3"/>
  <c r="Z26" i="3"/>
  <c r="AF11" i="3"/>
  <c r="Z19" i="3"/>
  <c r="Z20" i="3"/>
</calcChain>
</file>

<file path=xl/sharedStrings.xml><?xml version="1.0" encoding="utf-8"?>
<sst xmlns="http://schemas.openxmlformats.org/spreadsheetml/2006/main" count="524" uniqueCount="199">
  <si>
    <t>Astreinte</t>
  </si>
  <si>
    <t>Formation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</si>
  <si>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</si>
  <si>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</si>
  <si>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</si>
  <si>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</si>
  <si>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</si>
  <si>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</si>
  <si>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</si>
  <si>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</si>
  <si>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</si>
  <si>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</si>
  <si>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</si>
  <si>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</si>
  <si>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</si>
  <si>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</si>
  <si>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</si>
  <si>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</si>
  <si>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</si>
  <si>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</si>
  <si>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</si>
  <si>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</si>
  <si>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Acteur</t>
  </si>
  <si>
    <t>S01</t>
  </si>
  <si>
    <t>S02</t>
  </si>
  <si>
    <t>S03</t>
  </si>
  <si>
    <t>S04</t>
  </si>
  <si>
    <t>S05 (1)</t>
  </si>
  <si>
    <t>S05 (4)</t>
  </si>
  <si>
    <t>S06</t>
  </si>
  <si>
    <t>S07</t>
  </si>
  <si>
    <t>S08</t>
  </si>
  <si>
    <t>S09 (1)</t>
  </si>
  <si>
    <t>S09 (4)</t>
  </si>
  <si>
    <t>S10</t>
  </si>
  <si>
    <t>S11</t>
  </si>
  <si>
    <t>S12</t>
  </si>
  <si>
    <t>S13 (4)</t>
  </si>
  <si>
    <t>S13 (1)</t>
  </si>
  <si>
    <t>S14</t>
  </si>
  <si>
    <t>S15</t>
  </si>
  <si>
    <t>S16</t>
  </si>
  <si>
    <t>S17</t>
  </si>
  <si>
    <t>S18</t>
  </si>
  <si>
    <t>S19</t>
  </si>
  <si>
    <t>S20</t>
  </si>
  <si>
    <t>S21</t>
  </si>
  <si>
    <t>S22 (2)</t>
  </si>
  <si>
    <t>S22 (3)</t>
  </si>
  <si>
    <t>S23</t>
  </si>
  <si>
    <t>S24</t>
  </si>
  <si>
    <t>S25</t>
  </si>
  <si>
    <t>S26 (4)</t>
  </si>
  <si>
    <t>S26 (1)</t>
  </si>
  <si>
    <t>S27</t>
  </si>
  <si>
    <t>S28</t>
  </si>
  <si>
    <t>S29</t>
  </si>
  <si>
    <t>S30</t>
  </si>
  <si>
    <t>S31</t>
  </si>
  <si>
    <t>S32</t>
  </si>
  <si>
    <t>S33</t>
  </si>
  <si>
    <t>S34</t>
  </si>
  <si>
    <t>S35 (3)</t>
  </si>
  <si>
    <t>S35 (2)</t>
  </si>
  <si>
    <t>S36</t>
  </si>
  <si>
    <t>S37</t>
  </si>
  <si>
    <t>S38</t>
  </si>
  <si>
    <t>S39</t>
  </si>
  <si>
    <t>S40</t>
  </si>
  <si>
    <t>S41</t>
  </si>
  <si>
    <t>S42</t>
  </si>
  <si>
    <t>S43</t>
  </si>
  <si>
    <t>S44 (1)</t>
  </si>
  <si>
    <t>S44 (3)</t>
  </si>
  <si>
    <t>S45</t>
  </si>
  <si>
    <t>S46</t>
  </si>
  <si>
    <t>S47</t>
  </si>
  <si>
    <t>S48 (3)</t>
  </si>
  <si>
    <t>S48 (2)</t>
  </si>
  <si>
    <t>S49</t>
  </si>
  <si>
    <t>S50</t>
  </si>
  <si>
    <t>S51</t>
  </si>
  <si>
    <t>S52</t>
  </si>
  <si>
    <t>Emmanuel Dubois</t>
  </si>
  <si>
    <t>Stéphane Gatto</t>
  </si>
  <si>
    <t>Eric Labarre</t>
  </si>
  <si>
    <t>Séverine Lahaie</t>
  </si>
  <si>
    <t>Rima Meziani</t>
  </si>
  <si>
    <t>Jérémie Roppert</t>
  </si>
  <si>
    <t>Anis Tlili</t>
  </si>
  <si>
    <t>Philippe Lefevre</t>
  </si>
  <si>
    <t>Gilles Bergonzo</t>
  </si>
  <si>
    <t>Christophe Gaudry</t>
  </si>
  <si>
    <t>Nom</t>
  </si>
  <si>
    <t>%occupation</t>
  </si>
  <si>
    <t>Date début présence</t>
  </si>
  <si>
    <t>Date fin présence</t>
  </si>
  <si>
    <t>J/H Janvier</t>
  </si>
  <si>
    <t>J/H Fevrier</t>
  </si>
  <si>
    <t>J/H Mars</t>
  </si>
  <si>
    <t>J/H Avril</t>
  </si>
  <si>
    <t>J/H Mai</t>
  </si>
  <si>
    <t>J/H Juin</t>
  </si>
  <si>
    <t>J/H Juillet</t>
  </si>
  <si>
    <t>J/H Aout</t>
  </si>
  <si>
    <t>J/H Septembre</t>
  </si>
  <si>
    <t>J/H Octobre</t>
  </si>
  <si>
    <t>J/H Novembre</t>
  </si>
  <si>
    <t>J/H Decembre</t>
  </si>
  <si>
    <t>Total Equipe</t>
  </si>
  <si>
    <t>Type</t>
  </si>
  <si>
    <t>Type de Projet</t>
  </si>
  <si>
    <t>Type HNO</t>
  </si>
  <si>
    <t>Période HNO</t>
  </si>
  <si>
    <t>ANNEE</t>
  </si>
  <si>
    <t>JOUR</t>
  </si>
  <si>
    <t>Valeur</t>
  </si>
  <si>
    <t>Absence</t>
  </si>
  <si>
    <t>Interne MD16</t>
  </si>
  <si>
    <t>Semaine</t>
  </si>
  <si>
    <t>Jour de l'an</t>
  </si>
  <si>
    <t>Run</t>
  </si>
  <si>
    <t>Externe MD16</t>
  </si>
  <si>
    <t>Intervention</t>
  </si>
  <si>
    <t>Samedi</t>
  </si>
  <si>
    <t>Pâques</t>
  </si>
  <si>
    <t>Projet</t>
  </si>
  <si>
    <t>Métier</t>
  </si>
  <si>
    <t>Opération Exceptionnelle</t>
  </si>
  <si>
    <t>Dimanche</t>
  </si>
  <si>
    <t>Lundi de Pâques</t>
  </si>
  <si>
    <t>Delphes Unitaires</t>
  </si>
  <si>
    <t>Travail Exceptionnel</t>
  </si>
  <si>
    <t>Férié</t>
  </si>
  <si>
    <t>Fête du Travail</t>
  </si>
  <si>
    <t>Victoire</t>
  </si>
  <si>
    <t>Claudius Marsin</t>
  </si>
  <si>
    <t>Jeudi de l'Ascension</t>
  </si>
  <si>
    <t>Lundi de Pentecôte</t>
  </si>
  <si>
    <t>Fête nationale</t>
  </si>
  <si>
    <t>Assomption</t>
  </si>
  <si>
    <t>Toussaint</t>
  </si>
  <si>
    <t>Armistice</t>
  </si>
  <si>
    <t>Noël</t>
  </si>
  <si>
    <t>Janvier</t>
  </si>
  <si>
    <t>OCTOBRE</t>
  </si>
  <si>
    <t>NOVEMBRE</t>
  </si>
  <si>
    <t>DECEMBRE</t>
  </si>
  <si>
    <t>Code</t>
  </si>
  <si>
    <t>Nom du Projet</t>
  </si>
  <si>
    <t>Charge Consommée</t>
  </si>
  <si>
    <t>Delphes</t>
  </si>
  <si>
    <t>Début</t>
  </si>
  <si>
    <t>Fin</t>
  </si>
  <si>
    <t>N/A</t>
  </si>
  <si>
    <t xml:space="preserve"> </t>
  </si>
  <si>
    <t>Upgrade DR-VFI</t>
  </si>
  <si>
    <t>EFILE</t>
  </si>
  <si>
    <t>FG OFS Finances - Création de 2 nouvelles instances sur SYSW</t>
  </si>
  <si>
    <t>Upgrade EZ Token</t>
  </si>
  <si>
    <t>FR-Absences</t>
  </si>
  <si>
    <t>Congés / R11H / R35H</t>
  </si>
  <si>
    <t>Run-Multi ligne</t>
  </si>
  <si>
    <t>PARDEM</t>
  </si>
  <si>
    <t>Upgrade IWS</t>
  </si>
  <si>
    <t>RES SUITE</t>
  </si>
  <si>
    <t>CARES</t>
  </si>
  <si>
    <t>Upgrade CA7</t>
  </si>
  <si>
    <t>Upgrade ZOS 2.3 en ZOS 2.4</t>
  </si>
  <si>
    <t>Agent DIS</t>
  </si>
  <si>
    <t>CARES PGP Mainframe</t>
  </si>
  <si>
    <t>Monitoring DM/TCM</t>
  </si>
  <si>
    <t>Upgrade CA-Webviewer</t>
  </si>
  <si>
    <t>PARDCG</t>
  </si>
  <si>
    <t>PARDCG004598128 File System BNL</t>
  </si>
  <si>
    <t>PARDCG004585268 : Caview/Doris</t>
  </si>
  <si>
    <t>PARDCG004562127 BCEF - Mise en place de DIS</t>
  </si>
  <si>
    <t>PARDCG004583612 OFS  - installation AGENT DIS</t>
  </si>
  <si>
    <t>Ansible (Transfo_Op16)</t>
  </si>
  <si>
    <t>OFS NEO</t>
  </si>
  <si>
    <t>Move MF BNPPF to Marne (BE22-01-0005-NR)</t>
  </si>
  <si>
    <t>Equilibrage Z15</t>
  </si>
  <si>
    <t>Delphes unitaires</t>
  </si>
  <si>
    <t>PARDEM004595247 TADZ</t>
  </si>
  <si>
    <t>ControlM</t>
  </si>
  <si>
    <t>PARDCG XINFO</t>
  </si>
  <si>
    <t>PARDCG004609503 : POC du produit « Total for TEST »</t>
  </si>
  <si>
    <t>Portage Suite ISC sur Linux on z</t>
  </si>
  <si>
    <t>Migration EIR AIS</t>
  </si>
  <si>
    <t>AMI OPS Transfo OP_17</t>
  </si>
  <si>
    <t>BCEF - Mise en place de DIS</t>
  </si>
  <si>
    <t>AMI OPS Transfo_OP17</t>
  </si>
  <si>
    <t>FG OFS Finances - OFS NEO - installation AGENT DIS sur couche USS SYSB</t>
  </si>
  <si>
    <t>Industrialisation_du_déploiement</t>
  </si>
  <si>
    <t>Prérequis Zos 2.4</t>
  </si>
  <si>
    <t>Ansible _Transfo_OP16</t>
  </si>
  <si>
    <t>BCEF Mise en place agent DIS</t>
  </si>
  <si>
    <t>Move MF BNPPF to Marne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</si>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</sst>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6" formatCode="0.0000"/>
    <numFmt numFmtId="167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2B2B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9" fontId="0" fillId="0" borderId="0" xfId="0" applyNumberFormat="1"/>
    <xf numFmtId="0" fontId="1" fillId="2" borderId="0" xfId="0" applyFont="1" applyFill="1"/>
    <xf numFmtId="2" fontId="0" fillId="0" borderId="0" xfId="0" applyNumberFormat="1"/>
    <xf numFmtId="0" fontId="0" fillId="0" borderId="1" xfId="0" applyBorder="1"/>
    <xf numFmtId="2" fontId="3" fillId="6" borderId="0" xfId="0" applyNumberFormat="1" applyFont="1" applyFill="1" applyAlignment="1">
      <alignment wrapText="1"/>
    </xf>
    <xf numFmtId="0" fontId="3" fillId="6" borderId="0" xfId="0" applyFont="1" applyFill="1"/>
    <xf numFmtId="0" fontId="4" fillId="0" borderId="0" xfId="0" applyFont="1"/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14" fontId="4" fillId="0" borderId="0" xfId="0" applyNumberFormat="1" applyFont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1" fontId="0" fillId="0" borderId="0" xfId="0" applyNumberFormat="1"/>
    <xf numFmtId="165" fontId="0" fillId="0" borderId="1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2" xfId="0" applyBorder="1"/>
    <xf numFmtId="165" fontId="0" fillId="4" borderId="1" xfId="0" applyNumberFormat="1" applyFill="1" applyBorder="1" applyAlignment="1">
      <alignment horizontal="center" vertical="center"/>
    </xf>
    <xf numFmtId="166" fontId="0" fillId="0" borderId="1" xfId="0" applyNumberFormat="1" applyBorder="1"/>
    <xf numFmtId="167" fontId="0" fillId="0" borderId="1" xfId="0" applyNumberFormat="1" applyBorder="1"/>
    <xf numFmtId="0" fontId="0" fillId="5" borderId="3" xfId="0" applyFill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6" fontId="0" fillId="0" borderId="4" xfId="0" applyNumberFormat="1" applyBorder="1"/>
    <xf numFmtId="165" fontId="0" fillId="0" borderId="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6" fontId="0" fillId="0" borderId="5" xfId="0" applyNumberFormat="1" applyBorder="1"/>
    <xf numFmtId="166" fontId="0" fillId="0" borderId="6" xfId="0" applyNumberFormat="1" applyBorder="1"/>
    <xf numFmtId="14" fontId="0" fillId="0" borderId="1" xfId="0" applyNumberFormat="1" applyBorder="1"/>
    <xf numFmtId="0" fontId="0" fillId="0" borderId="3" xfId="0" applyBorder="1" applyAlignment="1">
      <alignment vertical="center"/>
    </xf>
    <xf numFmtId="165" fontId="0" fillId="7" borderId="1" xfId="0" applyNumberFormat="1" applyFill="1" applyBorder="1" applyAlignment="1">
      <alignment vertical="center"/>
    </xf>
    <xf numFmtId="165" fontId="0" fillId="8" borderId="1" xfId="0" applyNumberFormat="1" applyFill="1" applyBorder="1" applyAlignment="1">
      <alignment vertical="center"/>
    </xf>
    <xf numFmtId="165" fontId="0" fillId="4" borderId="7" xfId="0" applyNumberForma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2">
    <cellStyle name="Normal" xfId="0" builtinId="0"/>
    <cellStyle name="Normal 2" xfId="1" xr:uid="{7ADCD2A2-2256-4452-AC9B-0EFCB9DDA52F}"/>
  </cellStyles>
  <dxfs count="1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E5FF"/>
        </patternFill>
      </fill>
    </dxf>
    <dxf>
      <fill>
        <patternFill>
          <bgColor rgb="FFC5FFDC"/>
        </patternFill>
      </fill>
    </dxf>
    <dxf>
      <fill>
        <patternFill>
          <bgColor rgb="FFCADFFE"/>
        </patternFill>
      </fill>
    </dxf>
    <dxf>
      <fill>
        <patternFill>
          <bgColor rgb="FFFEFAB4"/>
        </patternFill>
      </fill>
    </dxf>
    <dxf>
      <fill>
        <patternFill>
          <bgColor rgb="FFCAF8FE"/>
        </patternFill>
      </fill>
    </dxf>
    <dxf>
      <fill>
        <patternFill>
          <bgColor rgb="FFFEC0A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D9B3FF"/>
        </patternFill>
      </fill>
    </dxf>
    <dxf>
      <fill>
        <patternFill>
          <bgColor rgb="FFFF6DD2"/>
        </patternFill>
      </fill>
    </dxf>
    <dxf>
      <fill>
        <patternFill>
          <bgColor rgb="FFD2A578"/>
        </patternFill>
      </fill>
    </dxf>
    <dxf>
      <fill>
        <patternFill>
          <bgColor rgb="FF53D2FF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E5FF"/>
        </patternFill>
      </fill>
    </dxf>
    <dxf>
      <fill>
        <patternFill>
          <bgColor rgb="FFC5FFDC"/>
        </patternFill>
      </fill>
    </dxf>
    <dxf>
      <fill>
        <patternFill>
          <bgColor rgb="FFCADFFE"/>
        </patternFill>
      </fill>
    </dxf>
    <dxf>
      <fill>
        <patternFill>
          <bgColor rgb="FFFEFAB4"/>
        </patternFill>
      </fill>
    </dxf>
    <dxf>
      <fill>
        <patternFill>
          <bgColor rgb="FFCAF8FE"/>
        </patternFill>
      </fill>
    </dxf>
    <dxf>
      <fill>
        <patternFill>
          <bgColor rgb="FFFEC0A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D9B3FF"/>
        </patternFill>
      </fill>
    </dxf>
    <dxf>
      <fill>
        <patternFill>
          <bgColor rgb="FFFF6DD2"/>
        </patternFill>
      </fill>
    </dxf>
    <dxf>
      <fill>
        <patternFill>
          <bgColor rgb="FFD2A578"/>
        </patternFill>
      </fill>
    </dxf>
    <dxf>
      <fill>
        <patternFill>
          <bgColor rgb="FF53D2FF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E5FF"/>
        </patternFill>
      </fill>
    </dxf>
    <dxf>
      <fill>
        <patternFill>
          <bgColor rgb="FFC5FFDC"/>
        </patternFill>
      </fill>
    </dxf>
    <dxf>
      <fill>
        <patternFill>
          <bgColor rgb="FFCADFFE"/>
        </patternFill>
      </fill>
    </dxf>
    <dxf>
      <fill>
        <patternFill>
          <bgColor rgb="FFFEFAB4"/>
        </patternFill>
      </fill>
    </dxf>
    <dxf>
      <fill>
        <patternFill>
          <bgColor rgb="FFCAF8FE"/>
        </patternFill>
      </fill>
    </dxf>
    <dxf>
      <fill>
        <patternFill>
          <bgColor rgb="FFFEC0A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D9B3FF"/>
        </patternFill>
      </fill>
    </dxf>
    <dxf>
      <fill>
        <patternFill>
          <bgColor rgb="FFFF6DD2"/>
        </patternFill>
      </fill>
    </dxf>
    <dxf>
      <fill>
        <patternFill>
          <bgColor rgb="FFD2A578"/>
        </patternFill>
      </fill>
    </dxf>
    <dxf>
      <fill>
        <patternFill>
          <bgColor rgb="FF53D2FF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2" defaultPivotStyle="PivotStyleLight16"/>
  <colors>
    <mruColors>
      <color rgb="FF99FFCC"/>
      <color rgb="FFCCFFFF"/>
      <color rgb="FF00FF99"/>
      <color rgb="FF00CC66"/>
      <color rgb="FFB2B2B2"/>
      <color rgb="FF0099CC"/>
      <color rgb="FF53D2FF"/>
      <color rgb="FFD2A578"/>
      <color rgb="FFFF6DD2"/>
      <color rgb="FFD9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F58E-7CB1-4D4C-8566-E2C768B1498E}">
  <sheetPr>
    <tabColor rgb="FFFFFF00"/>
  </sheetPr>
  <dimension ref="A1:AF35"/>
  <sheetViews>
    <sheetView zoomScale="60" zoomScaleNormal="60" workbookViewId="0">
      <selection activeCell="T2" sqref="T2"/>
    </sheetView>
  </sheetViews>
  <sheetFormatPr baseColWidth="10" defaultColWidth="11.44140625" defaultRowHeight="14.4" x14ac:dyDescent="0.3"/>
  <cols>
    <col min="1" max="1" width="20.33203125" customWidth="1"/>
    <col min="2" max="2" width="13.33203125" bestFit="1" customWidth="1"/>
    <col min="3" max="3" width="19.5546875" bestFit="1" customWidth="1"/>
    <col min="4" max="4" width="16.6640625" bestFit="1" customWidth="1"/>
    <col min="15" max="15" width="8.44140625" customWidth="1"/>
    <col min="16" max="16" width="8.6640625" customWidth="1"/>
    <col min="20" max="20" width="19.33203125" bestFit="1" customWidth="1"/>
    <col min="21" max="21" width="14.33203125" bestFit="1" customWidth="1"/>
    <col min="22" max="22" width="26.44140625" bestFit="1" customWidth="1"/>
    <col min="23" max="23" width="26.44140625" customWidth="1"/>
    <col min="25" max="25" width="18" bestFit="1" customWidth="1"/>
    <col min="26" max="26" width="12.5546875" bestFit="1" customWidth="1"/>
    <col min="27" max="27" width="12.33203125" customWidth="1"/>
    <col min="29" max="29" width="12.5546875" bestFit="1" customWidth="1"/>
    <col min="30" max="30" width="7.5546875" bestFit="1" customWidth="1"/>
    <col min="32" max="32" width="12.5546875" bestFit="1" customWidth="1"/>
  </cols>
  <sheetData>
    <row r="1" spans="1:32" x14ac:dyDescent="0.3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  <c r="P1" s="2" t="s">
        <v>108</v>
      </c>
      <c r="R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Y1" s="5" t="s">
        <v>114</v>
      </c>
      <c r="Z1" s="6">
        <v>2022</v>
      </c>
      <c r="AA1" s="5" t="s">
        <v>115</v>
      </c>
      <c r="AB1" s="5" t="s">
        <v>116</v>
      </c>
      <c r="AC1" s="5">
        <f>1</f>
        <v>1</v>
      </c>
      <c r="AD1" s="5">
        <v>7</v>
      </c>
    </row>
    <row r="2" spans="1:32" x14ac:dyDescent="0.3">
      <c r="A2" t="s">
        <v>84</v>
      </c>
      <c r="B2" s="1">
        <v>1</v>
      </c>
      <c r="C2" s="8">
        <v>44562</v>
      </c>
      <c r="D2" s="8">
        <v>44926</v>
      </c>
      <c r="E2">
        <f>IF(AND((AB16&gt;=C2),(AD16&lt;=D2)),(B2*1),(IF(AND((C2&gt;AB16),(D2&lt;AD16)),(ROUND((((NETWORKDAYS(C2,D2)))/AE16),2)),(IF(AND((AD16&gt;D2),(D2&gt;=AB16)),(ROUND((NETWORKDAYS(AA16,D2))/AE16,2)),(IF(AND((AB16&lt;C2),(C2&lt;AD16)),(ROUND(((NETWORKDAYS(C2,AC16))/AE16),2)),(IF(AND((AB16&lt;C2),(C2=AD16)),(ROUND((((NETWORKDAYS(C2,AC16)))/AE16),2)),0)))))))))</f>
        <v>1</v>
      </c>
      <c r="F2">
        <f>IF(AND((AB17&gt;=C2),(AD17&lt;=D2)),(B2*1),(IF(AND((C2&gt;AB17),(D2&lt;AD17)),(ROUND((((NETWORKDAYS(C2,D2)))/AE17),2)),(IF(AND((AD17&gt;D2),(D2&gt;=AB17)),(ROUND((NETWORKDAYS(AA17,D2))/AE17,2)),(IF(AND((AB17&lt;C2),(C2&lt;AD17)),(ROUND(((NETWORKDAYS(C2,AC17))/AE17),2)),(IF(AND((AB17&lt;C2),(C2=AD17)),(ROUND((((NETWORKDAYS(C2,AC17)))/AE17),2)),0)))))))))</f>
        <v>1</v>
      </c>
      <c r="G2">
        <f>IF(AND((AB18&gt;=C2),(AD18&lt;=D2)),(B2*1),(IF(AND((C2&gt;AB18),(D2&lt;AD18)),(ROUND((((NETWORKDAYS(C2,D2)))/AE18),2)),(IF(AND((AD18&gt;D2),(D2&gt;=AB18)),(ROUND((NETWORKDAYS(AA18,D2))/AE18,2)),(IF(AND((AB18&lt;C2),(C2&lt;AD18)),(ROUND(((NETWORKDAYS(C2,AC18))/AE18),2)),(IF(AND((AB18&lt;C2),(C2=AD18)),(ROUND((((NETWORKDAYS(C2,AC18)))/AE18),2)),0)))))))))</f>
        <v>1</v>
      </c>
      <c r="H2">
        <f>IF(AND((AB19&gt;=C2),(AD19&lt;=D2)),(B2*1),(IF(AND((C2&gt;AB19),(D2&lt;AD19)),(ROUND((((NETWORKDAYS(C2,D2)))/AE19),2)),(IF(AND((AD19&gt;D2),(D2&gt;=AB19)),(ROUND((NETWORKDAYS(AA19,D2))/AE19,2)),(IF(AND((AB19&lt;C2),(C2&lt;AD19)),(ROUND(((NETWORKDAYS(C2,AC19))/AE19),2)),(IF(AND((AB19&lt;C2),(C2=AD19)),(ROUND((((NETWORKDAYS(C2,AC19)))/AE19),2)),0)))))))))</f>
        <v>1</v>
      </c>
      <c r="I2">
        <f>IF(AND((AB20&gt;=C2),(AD20&lt;=D2)),(B2*1),(IF(AND((C2&gt;AB20),(D2&lt;AD20)),(ROUND((((NETWORKDAYS(C2,D2)))/AE20),2)),(IF(AND((AD20&gt;D2),(D2&gt;=AB20)),(ROUND((NETWORKDAYS(AA20,D2))/AE20,2)),(IF(AND((AB20&lt;C2),(C2&lt;AD20)),(ROUND(((NETWORKDAYS(C2,AC20))/AE20),2)),(IF(AND((AB20&lt;C2),(C2=AD20)),(ROUND((((NETWORKDAYS(C2,AC20)))/AE20),2)),0)))))))))</f>
        <v>1</v>
      </c>
      <c r="J2" s="23">
        <f>IF(AND((AB21&gt;=C2),(AD21&lt;=D2)),(B2*1),(IF(AND((C2&gt;AB21),(D2&lt;AD21)),(ROUND((((NETWORKDAYS(C2,D2)))/AE21),2)),(IF(AND((AD21&gt;D2),(D2&gt;=AB21)),(ROUND((NETWORKDAYS(AA21,D2))/AE21,2)),(IF(AND((AB21&lt;C2),(C2&lt;AD21)),(ROUND(((NETWORKDAYS(C2,AC21))/AE21),2)),(IF(AND((AB21&lt;C2),(C2=AD21)),(ROUND((((NETWORKDAYS(C2,AC21)))/AE21),2)),0)))))))))</f>
        <v>1</v>
      </c>
      <c r="K2">
        <f>IF(AND((AB22&gt;=C2),(AD22&lt;=D2)),(B2*1),(IF(AND((C2&gt;AB22),(D2&lt;AD22)),(ROUND((((NETWORKDAYS(C2,D2)))/AE22),2)),(IF(AND((AD22&gt;D2),(D2&gt;=AB22)),(ROUND((NETWORKDAYS(AA22,D2))/AE22,2)),(IF(AND((AB22&lt;C2),(C2&lt;AD22)),(ROUND(((NETWORKDAYS(C2,AC22))/AE22),2)),(IF(AND((AB22&lt;C2),(C2=AD22)),(ROUND((((NETWORKDAYS(C2,AC22)))/AE22),2)),0)))))))))</f>
        <v>1</v>
      </c>
      <c r="L2">
        <f>IF(AND((AB23&gt;=C2),(AD23&lt;=D2)),(B2*1),(IF(AND((C2&gt;AB23),(D2&lt;AD23)),(ROUND((((NETWORKDAYS(C2,D2)))/AE23),2)),(IF(AND((AD23&gt;D2),(D2&gt;=AB23)),(ROUND((NETWORKDAYS(AA23,D2))/AE23,2)),(IF(AND((AB23&lt;C2),(C2&lt;AD23)),(ROUND(((NETWORKDAYS(C2,AC23))/AE23),2)),(IF(AND((AB23&lt;C2),(C2=AD23)),(ROUND((((NETWORKDAYS(C2,AC23)))/AE23),2)),0)))))))))</f>
        <v>1</v>
      </c>
      <c r="M2">
        <f>IF(AND((AB24&gt;=C2),(AD24&lt;=D2)),(B2*1),(IF(AND((C2&gt;AB24),(D2&lt;AD24)),(ROUND((((NETWORKDAYS(C2,D2)))/AE24),2)),(IF(AND((AD24&gt;D2),(D2&gt;=AB24)),(ROUND((NETWORKDAYS(AA24,D2))/AE24,2)),(IF(AND((AB24&lt;C2),(C2&lt;AD24)),(ROUND(((NETWORKDAYS(C2,AC24))/AE24),2)),(IF(AND((AB24&lt;C2),(C2=AD24)),(ROUND((((NETWORKDAYS(C2,AC24)))/AE24),2)),0)))))))))</f>
        <v>1</v>
      </c>
      <c r="N2">
        <f>IF(AND((AB25&gt;=C2),(AD25&lt;=D2)),(B2*1),(IF(AND((C2&gt;AB25),(D2&lt;AD25)),(ROUND((((NETWORKDAYS(C2,D2)))/AE25),2)),(IF(AND((AD25&gt;D2),(D2&gt;=AB25)),(ROUND((NETWORKDAYS(AA25,D2))/AE25,2)),(IF(AND((AB25&lt;C2),(C2&lt;AD25)),(ROUND(((NETWORKDAYS(C2,AC25))/AE25),2)),(IF(AND((AB25&lt;C2),(C2=AD25)),(ROUND((((NETWORKDAYS(C2,AC25)))/AE25),2)),0)))))))))</f>
        <v>1</v>
      </c>
      <c r="O2">
        <f>IF(AND((AB26&gt;=C2),(AD26&lt;=D2)),(B2*1),(IF(AND((C2&gt;AB26),(D2&lt;AD26)),(ROUND((((NETWORKDAYS(C2,D2)))/AE26),2)),(IF(AND((AD26&gt;D2),(D2&gt;=AB26)),(ROUND((NETWORKDAYS(AA26,D2))/AE26,2)),(IF(AND((AB26&lt;C2),(C2&lt;AD26)),(ROUND(((NETWORKDAYS(C2,AC26))/AE26),2)),(IF(AND((AB26&lt;C2),(C2=AD26)),(ROUND((((NETWORKDAYS(C2,AC26)))/AE26),2)),0)))))))))</f>
        <v>1</v>
      </c>
      <c r="P2">
        <f>IF(AND((AB27&gt;=C2),(AD27&lt;=D2)),(B2*1),(IF(AND((C2&gt;AB27),(D2&lt;AD27)),(ROUND((((NETWORKDAYS(C2,D2)))/AE27),2)),(IF(AND((AD27&gt;D2),(D2&gt;=AB27)),(ROUND((NETWORKDAYS(AA27,D2))/AE27,2)),(IF(AND((AB27&lt;C2),(C2&lt;AD27)),(ROUND(((NETWORKDAYS(C2,AC27))/AE27),2)),(IF(AND((AB27&lt;C2),(C2=AD27)),(ROUND((((NETWORKDAYS(C2,AC27)))/AE27),2)),0)))))))))</f>
        <v>1</v>
      </c>
      <c r="R2">
        <f>SUM(E:E)</f>
        <v>20.48</v>
      </c>
      <c r="T2" t="s">
        <v>117</v>
      </c>
      <c r="U2" t="s">
        <v>118</v>
      </c>
      <c r="V2" t="s">
        <v>0</v>
      </c>
      <c r="W2" t="s">
        <v>119</v>
      </c>
      <c r="Y2" s="7" t="s">
        <v>120</v>
      </c>
      <c r="Z2" s="8">
        <f>DATE(Z1,1,1)</f>
        <v>44562</v>
      </c>
      <c r="AA2">
        <f>WEEKDAY(Z2)</f>
        <v>7</v>
      </c>
      <c r="AB2" s="3">
        <f t="shared" ref="AB2:AB13" si="0">Z2</f>
        <v>44562</v>
      </c>
      <c r="AC2">
        <f>IF(AA2=1,0,1)</f>
        <v>1</v>
      </c>
      <c r="AD2">
        <f>IF(AA2=7,0,1)</f>
        <v>0</v>
      </c>
      <c r="AE2">
        <f>SUM(AC2:AD2)</f>
        <v>1</v>
      </c>
      <c r="AF2" s="8">
        <f>IF(AE2&gt;1,Z2,X2)</f>
        <v>0</v>
      </c>
    </row>
    <row r="3" spans="1:32" x14ac:dyDescent="0.3">
      <c r="A3" t="s">
        <v>85</v>
      </c>
      <c r="B3" s="1">
        <v>1</v>
      </c>
      <c r="C3" s="8">
        <v>44562</v>
      </c>
      <c r="D3" s="8">
        <v>44926</v>
      </c>
      <c r="E3">
        <f>IF(AND((AB16&gt;=C3),(AD16&lt;=D3)),(B2*1),(IF(AND((C3&gt;AB16),(D3&lt;AD16)),(ROUND((((NETWORKDAYS(C3,D3)))/AE16),2)),(IF(AND((AD16&gt;D3),(D3&gt;=AB16)),(ROUND((NETWORKDAYS(AA16,D3))/AE16,2)),(IF(AND((AB16&lt;C3),(C3&lt;AD16)),(ROUND(((NETWORKDAYS(C3,AC16))/AE16),2)),(IF(AND((AB16&lt;C3),(C3=AD16)),(ROUND((((NETWORKDAYS(C3,AC16)))/AE16),2)),0)))))))))</f>
        <v>1</v>
      </c>
      <c r="F3">
        <f>IF(AND((AB17&gt;=C3),(AD17&lt;=D2)),(B2*1),(IF(AND((C3&gt;AB17),(D2&lt;AD17)),(ROUND((((NETWORKDAYS(C3,D2)))/AE17),2)),(IF(AND((AD17&gt;D2),(D2&gt;=AB17)),(ROUND((NETWORKDAYS(AA17,D2))/AE17,2)),(IF(AND((AB17&lt;C3),(C3&lt;AD17)),(ROUND(((NETWORKDAYS(C3,AC17))/AE17),2)),(IF(AND((AB17&lt;C3),(C3=AD17)),(ROUND((((NETWORKDAYS(C3,AC17)))/AE17),2)),0)))))))))</f>
        <v>1</v>
      </c>
      <c r="G3">
        <f>IF(AND((AB18&gt;=C3),(AD18&lt;=D3)),(B2*1),(IF(AND((C3&gt;AB18),(D3&lt;AD18)),(ROUND((((NETWORKDAYS(C3,D3)))/AE18),2)),(IF(AND((AD18&gt;D3),(D3&gt;=AB18)),(ROUND((NETWORKDAYS(AA18,D3))/AE18,2)),(IF(AND((AB18&lt;C3),(C3&lt;AD18)),(ROUND(((NETWORKDAYS(C3,AC18))/AE18),2)),(IF(AND((AB18&lt;C3),(C3=AD18)),(ROUND((((NETWORKDAYS(C3,AC18)))/AE18),2)),0)))))))))</f>
        <v>1</v>
      </c>
      <c r="H3">
        <f>IF(AND((AB19&gt;=C3),(AD19&lt;=D3)),(B2*1),(IF(AND((C3&gt;AB19),(D3&lt;AD19)),(ROUND((((NETWORKDAYS(C3,D3)))/AE19),2)),(IF(AND((AD19&gt;D3),(D3&gt;=AB19)),(ROUND((NETWORKDAYS(AA19,D3))/AE19,2)),(IF(AND((AB19&lt;C3),(C3&lt;AD19)),(ROUND(((NETWORKDAYS(C3,AC19))/AE19),2)),(IF(AND((AB19&lt;C3),(C3=AD19)),(ROUND((((NETWORKDAYS(C3,AC19)))/AE19),2)),0)))))))))</f>
        <v>1</v>
      </c>
      <c r="I3">
        <f>IF(AND((AB20&gt;=C3),(AD20&lt;=D3)),(B2*1),(IF(AND((C3&gt;AB20),(D3&lt;AD20)),(ROUND((((NETWORKDAYS(C3,D3)))/AE20),2)),(IF(AND((AD20&gt;D3),(D3&gt;=AB20)),(ROUND((NETWORKDAYS(AA20,D3))/AE20,2)),(IF(AND((AB20&lt;C3),(C3&lt;AD20)),(ROUND(((NETWORKDAYS(C3,AC20))/AE20),2)),(IF(AND((AB20&lt;C3),(C3=AD20)),(ROUND((((NETWORKDAYS(C3,AC20)))/AE20),2)),0)))))))))</f>
        <v>1</v>
      </c>
      <c r="J3">
        <f>IF(AND((AB21&gt;=C3),(AD21&lt;=D3)),(B2*1),(IF(AND((C3&gt;AB21),(D3&lt;AD21)),(ROUND((((NETWORKDAYS(C3,D3)))/AE21),2)),(IF(AND((AD21&gt;D3),(D3&gt;=AB21)),(ROUND((NETWORKDAYS(AA21,D3))/AE21,2)),(IF(AND((AB21&lt;C3),(C3&lt;AD21)),(ROUND(((NETWORKDAYS(C3,AC21))/AE21),2)),(IF(AND((AB21&lt;C3),(C3=AD21)),(ROUND((((NETWORKDAYS(C3,AC21)))/AE21),2)),0)))))))))</f>
        <v>1</v>
      </c>
      <c r="K3">
        <f>IF(AND((AB22&gt;=C3),(AD22&lt;=D3)),(B2*1),(IF(AND((C3&gt;AB22),(D3&lt;AD22)),(ROUND((((NETWORKDAYS(C3,D3)))/AE22),2)),(IF(AND((AD22&gt;D3),(D3&gt;=AB22)),(ROUND((NETWORKDAYS(AA22,D3))/AE22,2)),(IF(AND((AB22&lt;C3),(C3&lt;AD22)),(ROUND(((NETWORKDAYS(C3,AC22))/AE22),2)),(IF(AND((AB22&lt;C3),(C3=AD22)),(ROUND((((NETWORKDAYS(C3,AC22)))/AE32),2)),0)))))))))</f>
        <v>1</v>
      </c>
      <c r="L3">
        <f>IF(AND((AB23&gt;=C3),(AD23&lt;=D3)),(B2*1),(IF(AND((C3&gt;AB23),(D3&lt;AD23)),(ROUND((((NETWORKDAYS(C3,D3)))/AE23),2)),(IF(AND((AD23&gt;D3),(D3&gt;=AB23)),(ROUND((NETWORKDAYS(AA23,D3))/AE23,2)),(IF(AND((AB23&lt;C3),(C3&lt;AD23)),(ROUND(((NETWORKDAYS(C3,AC23))/AE23),2)),(IF(AND((AB23&lt;C3),(C3=AD23)),(ROUND((((NETWORKDAYS(C3,AC23)))/AE23),2)),0)))))))))</f>
        <v>1</v>
      </c>
      <c r="M3">
        <f>IF(AND((AB24&gt;=C3),(AD24&lt;=D3)),(B2*1),(IF(AND((C3&gt;AB24),(D3&lt;AD24)),(ROUND((((NETWORKDAYS(C3,D3)))/AE24),2)),(IF(AND((AD24&gt;D3),(D3&gt;=AB24)),(ROUND((NETWORKDAYS(AA24,D3))/AE24,2)),(IF(AND((AB24&lt;C3),(C3&lt;AD24)),(ROUND(((NETWORKDAYS(C3,AC24))/AE24),2)),(IF(AND((AB24&lt;C3),(C3=AD24)),(ROUND((((NETWORKDAYS(C3,AC24)))/AE24),2)),0)))))))))</f>
        <v>1</v>
      </c>
      <c r="N3">
        <f>IF(AND((AB25&gt;=C3),(AD25&lt;=D3)),(B2*1),(IF(AND((C3&gt;AB25),(D3&lt;AD25)),(ROUND((((NETWORKDAYS(C3,D3)))/AE25),2)),(IF(AND((AD25&gt;D3),(D3&gt;=AB25)),(ROUND((NETWORKDAYS(AA25,D3))/AE25,2)),(IF(AND((AB25&lt;C3),(C3&lt;AD25)),(ROUND(((NETWORKDAYS(C3,AC25))/AE25),2)),(IF(AND((AB25&lt;C3),(C3=AD25)),(ROUND((((NETWORKDAYS(C3,AC25)))/AE25),2)),0)))))))))</f>
        <v>1</v>
      </c>
      <c r="O3">
        <f>IF(AND((AB26&gt;=C3),(AD26&lt;=D3)),(B2*1),(IF(AND((C3&gt;AB26),(D3&lt;AD26)),(ROUND((((NETWORKDAYS(C3,D3)))/AE26),2)),(IF(AND((AD26&gt;D3),(D3&gt;=AB26)),(ROUND((NETWORKDAYS(AA26,D3))/AE26,2)),(IF(AND((AB26&lt;C3),(C3&lt;AD26)),(ROUND(((NETWORKDAYS(C3,AC26))/AE26),2)),(IF(AND((AB26&lt;C3),(C3=AD26)),(ROUND((((NETWORKDAYS(C3,AC26)))/AE26),2)),0)))))))))</f>
        <v>1</v>
      </c>
      <c r="P3">
        <f>IF(AND((AB27&gt;=C3),(AD27&lt;=D3)),(B2*1),(IF(AND((C3&gt;AB27),(D3&lt;AD27)),(ROUND((((NETWORKDAYS(C3,D3)))/AE27),2)),(IF(AND((AD27&gt;D3),(D3&gt;=AB27)),(ROUND((NETWORKDAYS(AA27,D3))/AE27,2)),(IF(AND((AB27&lt;C3),(C3&lt;AD27)),(ROUND(((NETWORKDAYS(C3,AC27))/AE27),2)),(IF(AND((AB27&lt;C3),(C3=AD27)),(ROUND((((NETWORKDAYS(C3,AC27)))/AE27),2)),0)))))))))</f>
        <v>1</v>
      </c>
      <c r="T3" t="s">
        <v>121</v>
      </c>
      <c r="U3" t="s">
        <v>122</v>
      </c>
      <c r="V3" t="s">
        <v>123</v>
      </c>
      <c r="W3" t="s">
        <v>124</v>
      </c>
      <c r="Y3" s="9" t="s">
        <v>125</v>
      </c>
      <c r="Z3" s="10">
        <f>FLOOR(DAY(MINUTE(Z1/38)/2+56)&amp;"/5/"&amp;Z1,7)-34</f>
        <v>44668</v>
      </c>
      <c r="AA3">
        <f t="shared" ref="AA3:AA13" si="1">WEEKDAY(Z3)</f>
        <v>1</v>
      </c>
      <c r="AB3" s="3">
        <f t="shared" si="0"/>
        <v>44668</v>
      </c>
      <c r="AC3">
        <f t="shared" ref="AC3:AC13" si="2">IF(AA3=1,0,1)</f>
        <v>0</v>
      </c>
      <c r="AD3">
        <f t="shared" ref="AD3:AD13" si="3">IF(AA3=7,0,1)</f>
        <v>1</v>
      </c>
      <c r="AE3">
        <f t="shared" ref="AE3:AE13" si="4">SUM(AC3:AD3)</f>
        <v>1</v>
      </c>
      <c r="AF3" s="8"/>
    </row>
    <row r="4" spans="1:32" x14ac:dyDescent="0.3">
      <c r="A4" t="s">
        <v>83</v>
      </c>
      <c r="B4" s="1">
        <v>1</v>
      </c>
      <c r="C4" s="8">
        <v>44562</v>
      </c>
      <c r="D4" s="8">
        <v>44926</v>
      </c>
      <c r="E4">
        <f>IF(AND((AB16&gt;=C4),(AD16&lt;=D4)),(B2*1),(IF(AND((C4&gt;AB16),(D4&lt;AD16)),(ROUND((((NETWORKDAYS(C4,D4)))/AE16),2)),(IF(AND((AD16&gt;D4),(D4&gt;=AB16)),(ROUND((NETWORKDAYS(AA16,D4))/AE16,2)),(IF(AND((AB16&lt;C4),(C4&lt;AD16)),(ROUND(((NETWORKDAYS(C4,AC16))/AE16),2)),(IF(AND((AB16&lt;C4),(C4=AD16)),(ROUND((((NETWORKDAYS(C4,AC16)))/AE16),2)),0)))))))))</f>
        <v>1</v>
      </c>
      <c r="F4">
        <f>IF(AND((AB17&gt;=C4),(AD17&lt;=D4)),(B2*1),(IF(AND((C4&gt;AB17),(D4&lt;AD17)),(ROUND((((NETWORKDAYS(C4,D4)))/AE17),2)),(IF(AND((AD17&gt;D4),(D4&gt;=AB17)),(ROUND((NETWORKDAYS(AA17,D4))/AE17,2)),(IF(AND((AB17&lt;C4),(C4&lt;AD17)),(ROUND(((NETWORKDAYS(C4,AC17))/AE17),2)),(IF(AND((AB17&lt;C4),(C4=AD17)),(ROUND((((NETWORKDAYS(C4,AC17)))/AE17),2)),0)))))))))</f>
        <v>1</v>
      </c>
      <c r="G4">
        <f>IF(AND((AB18&gt;=C4),(AD18&lt;=D4)),(B2*1),(IF(AND((C4&gt;AB18),(D4&lt;AD18)),(ROUND((((NETWORKDAYS(C4,D4)))/AE18),2)),(IF(AND((AD18&gt;D4),(D4&gt;=AB18)),(ROUND((NETWORKDAYS(AA18,D4))/AE18,2)),(IF(AND((AB18&lt;C4),(C4&lt;AD18)),(ROUND(((NETWORKDAYS(C4,AC18))/AE18),2)),(IF(AND((AB18&lt;C4),(C4=AD18)),(ROUND((((NETWORKDAYS(C4,AC18)))/AE18),2)),0)))))))))</f>
        <v>1</v>
      </c>
      <c r="H4">
        <f>IF(AND((AB19&gt;=C4),(AD19&lt;=D4)),(B2*1),(IF(AND((C4&gt;AB19),(D4&lt;AD19)),(ROUND((((NETWORKDAYS(C4,D4)))/AE19),2)),(IF(AND((AD19&gt;D4),(D4&gt;=AB19)),(ROUND((NETWORKDAYS(AA19,D4))/AE19,2)),(IF(AND((AB19&lt;C4),(C4&lt;AD19)),(ROUND(((NETWORKDAYS(C4,AC19))/AE19),2)),(IF(AND((AB19&lt;C4),(C4=AD19)),(ROUND((((NETWORKDAYS(C4,AC19)))/AE19),2)),0)))))))))</f>
        <v>1</v>
      </c>
      <c r="I4">
        <f>IF(AND((AB20&gt;=C4),(AD20&lt;=D4)),(B2*1),(IF(AND((C4&gt;AB20),(D4&lt;AD20)),(ROUND((((NETWORKDAYS(C4,D4)))/AE20),2)),(IF(AND((AD20&gt;D4),(D4&gt;=AB20)),(ROUND((NETWORKDAYS(AA20,D4))/AE20,2)),(IF(AND((AB20&lt;C4),(C4&lt;AD20)),(ROUND(((NETWORKDAYS(C4,AC20))/AE20),2)),(IF(AND((AB20&lt;C4),(C4=AD20)),(ROUND((((NETWORKDAYS(C4,AC20)))/AE20),2)),0)))))))))</f>
        <v>1</v>
      </c>
      <c r="J4">
        <f>IF(AND((AB21&gt;=C4),(AD21&lt;=D4)),(B2*1),(IF(AND((C4&gt;AB21),(D4&lt;AD21)),(ROUND((((NETWORKDAYS(C4,D4)))/AE21),2)),(IF(AND((AD21&gt;D4),(D4&gt;=AB21)),(ROUND((NETWORKDAYS(AA21,D4))/AE21,2)),(IF(AND((AB21&lt;C4),(C4&lt;AD21)),(ROUND(((NETWORKDAYS(C4,AC21))/AE21),2)),(IF(AND((AB21&lt;C4),(C4=AD21)),(ROUND((((NETWORKDAYS(C4,AC21)))/AE21),2)),0)))))))))</f>
        <v>1</v>
      </c>
      <c r="K4">
        <f>IF(AND((AB22&gt;=C4),(AD22&lt;=D4)),(B2*1),(IF(AND((C4&gt;AB22),(D4&lt;AD22)),(ROUND((((NETWORKDAYS(C4,D4)))/AE22),2)),(IF(AND((AD22&gt;D4),(D4&gt;=AB22)),(ROUND((NETWORKDAYS(AA22,D4))/AE22,2)),(IF(AND((AB22&lt;C4),(C4&lt;AD22)),(ROUND(((NETWORKDAYS(C4,AC22))/AE22),2)),(IF(AND((AB22&lt;C4),(C4=AD22)),(ROUND((((NETWORKDAYS(C4,AC22)))/AE22),2)),0)))))))))</f>
        <v>1</v>
      </c>
      <c r="L4">
        <f>IF(AND((AB23&gt;=C4),(AD23&lt;=D4)),(B2*1),(IF(AND((C4&gt;AB23),(D4&lt;AD23)),(ROUND((((NETWORKDAYS(C4,D4)))/AE23),2)),(IF(AND((AD23&gt;D4),(D4&gt;=AB23)),(ROUND((NETWORKDAYS(AA23,D4))/AE23,2)),(IF(AND((AB23&lt;C4),(C4&lt;AD23)),(ROUND(((NETWORKDAYS(C4,AC23))/AE23),2)),(IF(AND((AB23&lt;C4),(C4=AD23)),(ROUND((((NETWORKDAYS(C4,AC23)))/AE23),2)),0)))))))))</f>
        <v>1</v>
      </c>
      <c r="M4">
        <f>IF(AND((AB24&gt;=C4),(AD24&lt;=D4)),(B2*1),(IF(AND((C4&gt;AB24),(D4&lt;AD24)),(ROUND((((NETWORKDAYS(C4,D4)))/AE24),2)),(IF(AND((AD24&gt;D4),(D4&gt;=AB24)),(ROUND((NETWORKDAYS(AA24,D4))/AE24,2)),(IF(AND((AB24&lt;C4),(C4&lt;AD24)),(ROUND(((NETWORKDAYS(C4,AC24))/AE24),2)),(IF(AND((AB24&lt;C4),(C4=AD24)),(ROUND((((NETWORKDAYS(C4,AC24)))/AE24),2)),0)))))))))</f>
        <v>1</v>
      </c>
      <c r="N4">
        <f>IF(AND((AB25&gt;=C4),(AD25&lt;=D4)),(B2*1),(IF(AND((C4&gt;AB25),(D4&lt;AD25)),(ROUND((((NETWORKDAYS(C4,D4)))/AE25),2)),(IF(AND((AD25&gt;D4),(D4&gt;=AB25)),(ROUND((NETWORKDAYS(AA25,D4))/AE25,2)),(IF(AND((AB25&lt;C4),(C4&lt;AD25)),(ROUND(((NETWORKDAYS(C4,AC25))/AE25),2)),(IF(AND((AB25&lt;C4),(C4=AD25)),(ROUND((((NETWORKDAYS(C4,AC25)))/AE25),2)),0)))))))))</f>
        <v>1</v>
      </c>
      <c r="O4">
        <f>IF(AND((AB26&gt;=C4),(AD26&lt;=D4)),(B2*1),(IF(AND((C4&gt;AB26),(D4&lt;AD26)),(ROUND((((NETWORKDAYS(C4,D4)))/AE26),2)),(IF(AND((AD26&gt;D4),(D4&gt;=AB26)),(ROUND((NETWORKDAYS(AA26,D4))/AE26,2)),(IF(AND((AB26&lt;C4),(C4&lt;AD26)),(ROUND(((NETWORKDAYS(C4,AC26))/AE26),2)),(IF(AND((AB26&lt;C4),(C4=AD26)),(ROUND((((NETWORKDAYS(C4,AC26)))/AE26),2)),0)))))))))</f>
        <v>1</v>
      </c>
      <c r="P4">
        <f>IF(AND((AB27&gt;=C4),(AD27&lt;=D4)),(B2*1),(IF(AND((C4&gt;AB27),(D4&lt;AD27)),(ROUND((((NETWORKDAYS(C4,D4)))/AE27),2)),(IF(AND((AD27&gt;D4),(D4&gt;=AB27)),(ROUND((NETWORKDAYS(AA27,D4))/AE27,2)),(IF(AND((AB27&lt;C4),(C4&lt;AD27)),(ROUND(((NETWORKDAYS(C4,AC27))/AE27),2)),(IF(AND((AB27&lt;C4),(C4=AD27)),(ROUND((((NETWORKDAYS(C4,AC27)))/AE27),2)),0)))))))))</f>
        <v>1</v>
      </c>
      <c r="T4" t="s">
        <v>126</v>
      </c>
      <c r="U4" t="s">
        <v>127</v>
      </c>
      <c r="V4" t="s">
        <v>128</v>
      </c>
      <c r="W4" t="s">
        <v>129</v>
      </c>
      <c r="Y4" s="7" t="s">
        <v>130</v>
      </c>
      <c r="Z4" s="11">
        <f>Z3+1</f>
        <v>44669</v>
      </c>
      <c r="AA4">
        <f t="shared" si="1"/>
        <v>2</v>
      </c>
      <c r="AB4" s="3">
        <f t="shared" si="0"/>
        <v>44669</v>
      </c>
      <c r="AC4">
        <f t="shared" si="2"/>
        <v>1</v>
      </c>
      <c r="AD4">
        <f t="shared" si="3"/>
        <v>1</v>
      </c>
      <c r="AE4">
        <f t="shared" si="4"/>
        <v>2</v>
      </c>
      <c r="AF4" s="8">
        <f t="shared" ref="AF4:AF12" si="5">IF(AE4&gt;1,Z4,X4)</f>
        <v>44669</v>
      </c>
    </row>
    <row r="5" spans="1:32" x14ac:dyDescent="0.3">
      <c r="A5" t="s">
        <v>89</v>
      </c>
      <c r="B5" s="1">
        <v>1</v>
      </c>
      <c r="C5" s="8">
        <v>44562</v>
      </c>
      <c r="D5" s="8">
        <v>44926</v>
      </c>
      <c r="E5">
        <f>IF(AND((AB16&gt;=C5),(AD16&lt;=D5)),(B2*1),(IF(AND((C5&gt;AB16),(D5&lt;AD16)),(ROUND((((NETWORKDAYS(C5,D5)))/AE16),2)),(IF(AND((AD16&gt;D5),(D5&gt;=AB16)),(ROUND((NETWORKDAYS(AA16,D5))/AE16,2)),(IF(AND((AB16&lt;C5),(C5&lt;AD16)),(ROUND(((NETWORKDAYS(C5,AC16))/AE16),2)),(IF(AND((AB16&lt;C5),(C5=AD16)),(ROUND((((NETWORKDAYS(C5,AC16)))/AE16),2)),0)))))))))</f>
        <v>1</v>
      </c>
      <c r="F5">
        <f>IF(AND((AB17&gt;=C5),(AD17&lt;=D5)),(B2*1),(IF(AND((C5&gt;AB17),(D5&lt;AD17)),(ROUND((((NETWORKDAYS(C5,D5)))/AE17),2)),(IF(AND((AD17&gt;D5),(D5&gt;=AB17)),(ROUND((NETWORKDAYS(AA17,D5))/AE17,2)),(IF(AND((AB17&lt;C5),(C5&lt;AD17)),(ROUND(((NETWORKDAYS(C5,AC17))/AE17),2)),(IF(AND((AB17&lt;C5),(C5=AD17)),(ROUND((((NETWORKDAYS(C5,AC17)))/AE17),2)),0)))))))))</f>
        <v>1</v>
      </c>
      <c r="G5">
        <f>IF(AND((AB18&gt;=C5),(AD18&lt;=D5)),(B2*1),(IF(AND((C5&gt;AB18),(D5&lt;AD18)),(ROUND((((NETWORKDAYS(C5,D5)))/AE18),2)),(IF(AND((AD18&gt;D5),(D5&gt;=AB18)),(ROUND((NETWORKDAYS(AA18,D5))/AE18,2)),(IF(AND((AB18&lt;C5),(C5&lt;AD18)),(ROUND(((NETWORKDAYS(C5,AC18))/AE18),2)),(IF(AND((AB18&lt;C5),(C5=AD18)),(ROUND((((NETWORKDAYS(C5,AC18)))/AE18),2)),0)))))))))</f>
        <v>1</v>
      </c>
      <c r="H5">
        <f>IF(AND((AB19&gt;=C5),(AD19&lt;=D5)),(B2*1),(IF(AND((C5&gt;AB19),(D5&lt;AD19)),(ROUND((((NETWORKDAYS(C5,D5)))/AE19),2)),(IF(AND((AD19&gt;D5),(D5&gt;=AB19)),(ROUND((NETWORKDAYS(AA19,D5))/AE19,2)),(IF(AND((AB19&lt;C5),(C5&lt;AD19)),(ROUND(((NETWORKDAYS(C5,AC19))/AE19),2)),(IF(AND((AB19&lt;C5),(C5=AD19)),(ROUND((((NETWORKDAYS(C5,AC19)))/AE19),2)),0)))))))))</f>
        <v>1</v>
      </c>
      <c r="I5">
        <f>IF(AND((AB20&gt;=C5),(AD20&lt;=D5)),(B2*1),(IF(AND((C5&gt;AB20),(D5&lt;AD20)),(ROUND((((NETWORKDAYS(C5,D5)))/AE20),2)),(IF(AND((AD20&gt;D5),(D5&gt;=AB20)),(ROUND((NETWORKDAYS(AA20,D5))/AE20,2)),(IF(AND((AB20&lt;C5),(C5&lt;AD20)),(ROUND(((NETWORKDAYS(C5,AC20))/AE20),2)),(IF(AND((AB20&lt;C5),(C5=AD20)),(ROUND((((NETWORKDAYS(C5,AC20)))/AE20),2)),0)))))))))</f>
        <v>1</v>
      </c>
      <c r="J5">
        <f>IF(AND((AB21&gt;=C5),(AD21&lt;=D5)),(B2*1),(IF(AND((C5&gt;AB21),(D5&lt;AD21)),(ROUND((((NETWORKDAYS(C5,D5)))/AE21),2)),(IF(AND((AD21&gt;D5),(D5&gt;=AB21)),(ROUND((NETWORKDAYS(AA21,D5))/AE21,2)),(IF(AND((AB21&lt;C5),(C5&lt;AD21)),(ROUND(((NETWORKDAYS(C5,AC21))/AE21),2)),(IF(AND((AB21&lt;C5),(C5=AD21)),(ROUND((((NETWORKDAYS(C5,AC21)))/AE21),2)),0)))))))))</f>
        <v>1</v>
      </c>
      <c r="K5">
        <f>IF(AND((AB22&gt;=C5),(AD22&lt;=D5)),(B2*1),(IF(AND((C5&gt;AB22),(D5&lt;AD22)),(ROUND((((NETWORKDAYS(C5,D5)))/AE22),2)),(IF(AND((AD22&gt;D5),(D5&gt;=AB22)),(ROUND((NETWORKDAYS(AA22,D5))/AE22,2)),(IF(AND((AB22&lt;C5),(C5&lt;AD22)),(ROUND(((NETWORKDAYS(C5,AC22))/A27),2)),(IF(AND((AB22&lt;C5),(C5=AD22)),(ROUND((((NETWORKDAYS(C5,AC22)))/AE22),2)),0)))))))))</f>
        <v>1</v>
      </c>
      <c r="L5">
        <f>IF(AND((AB23&gt;=C5),(AD23&lt;=D5)),(B2*1),(IF(AND((C5&gt;AB23),(D5&lt;AD23)),(ROUND((((NETWORKDAYS(C5,D5)))/AE23),2)),(IF(AND((AD23&gt;D5),(D5&gt;=AB23)),(ROUND((NETWORKDAYS(AA23,D5))/AE23,2)),(IF(AND((AB23&lt;C5),(C5&lt;AD23)),(ROUND(((NETWORKDAYS(C5,AC23))/AE23),2)),(IF(AND((AB23&lt;C5),(C5=AD23)),(ROUND((((NETWORKDAYS(C5,AC23)))/AE23),2)),0)))))))))</f>
        <v>1</v>
      </c>
      <c r="M5">
        <f>IF(AND((AB24&gt;=C5),(AD24&lt;=D5)),(B2*1),(IF(AND((C5&gt;AB24),(D5&lt;AD24)),(ROUND((((NETWORKDAYS(C5,D5)))/AE24),2)),(IF(AND((AD24&gt;D5),(D5&gt;=AB24)),(ROUND((NETWORKDAYS(AA24,D5))/AE24,2)),(IF(AND((AB24&lt;C5),(C5&lt;AD24)),(ROUND(((NETWORKDAYS(C5,AC24))/AE24),2)),(IF(AND((AB24&lt;C5),(C5=AD24)),(ROUND((((NETWORKDAYS(C5,AC24)))/AE24),2)),0)))))))))</f>
        <v>1</v>
      </c>
      <c r="N5">
        <f>IF(AND((AB25&gt;=C5),(AD25&lt;=D5)),(B2*1),(IF(AND((C5&gt;AB25),(D5&lt;AD25)),(ROUND((((NETWORKDAYS(C5,D5)))/AE25),2)),(IF(AND((AD25&gt;D5),(D5&gt;=AB25)),(ROUND((NETWORKDAYS(AA25,D5))/AE25,2)),(IF(AND((AB25&lt;C5),(C5&lt;AD25)),(ROUND(((NETWORKDAYS(C5,AC25))/AE25),2)),(IF(AND((AB25&lt;C5),(C5=AD25)),(ROUND((((NETWORKDAYS(C5,AC25)))/AE25),2)),0)))))))))</f>
        <v>1</v>
      </c>
      <c r="O5">
        <f>IF(AND((AB26&gt;=C5),(AD26&lt;=D5)),(B2*1),(IF(AND((C5&gt;AB26),(D5&lt;AD26)),(ROUND((((NETWORKDAYS(C5,D5)))/AE26),2)),(IF(AND((AD26&gt;D5),(D5&gt;=AB26)),(ROUND((NETWORKDAYS(AA26,D5))/AE26,2)),(IF(AND((AB26&lt;C5),(C5&lt;AD26)),(ROUND(((NETWORKDAYS(C5,AC26))/AE26),2)),(IF(AND((AB26&lt;C5),(C5=AD26)),(ROUND((((NETWORKDAYS(C5,AC26)))/AE26),2)),0)))))))))</f>
        <v>1</v>
      </c>
      <c r="P5">
        <f>IF(AND((AB27&gt;=C5),(AD27&lt;=D5)),(B2*1),(IF(AND((C5&gt;AB27),(D5&lt;AD27)),(ROUND((((NETWORKDAYS(C5,D5)))/AE27),2)),(IF(AND((AD27&gt;D5),(D5&gt;=AB27)),(ROUND((NETWORKDAYS(AA27,D5))/AE27,2)),(IF(AND((AB27&lt;C5),(C5&lt;AD27)),(ROUND(((NETWORKDAYS(C5,AC27))/AE27),2)),(IF(AND((AB27&lt;C5),(C5=AD27)),(ROUND((((NETWORKDAYS(C5,AC27)))/AE27),2)),0)))))))))</f>
        <v>1</v>
      </c>
      <c r="T5" t="s">
        <v>131</v>
      </c>
      <c r="V5" t="s">
        <v>132</v>
      </c>
      <c r="W5" t="s">
        <v>133</v>
      </c>
      <c r="Y5" s="7" t="s">
        <v>134</v>
      </c>
      <c r="Z5" s="8">
        <f xml:space="preserve"> DATE(Z1,5,1)</f>
        <v>44682</v>
      </c>
      <c r="AA5">
        <f t="shared" si="1"/>
        <v>1</v>
      </c>
      <c r="AB5" s="3">
        <f t="shared" si="0"/>
        <v>44682</v>
      </c>
      <c r="AC5">
        <f t="shared" si="2"/>
        <v>0</v>
      </c>
      <c r="AD5">
        <f t="shared" si="3"/>
        <v>1</v>
      </c>
      <c r="AE5">
        <f t="shared" si="4"/>
        <v>1</v>
      </c>
      <c r="AF5" s="8"/>
    </row>
    <row r="6" spans="1:32" x14ac:dyDescent="0.3">
      <c r="A6" t="s">
        <v>88</v>
      </c>
      <c r="B6" s="1">
        <v>1</v>
      </c>
      <c r="C6" s="8">
        <v>44562</v>
      </c>
      <c r="D6" s="8">
        <v>44926</v>
      </c>
      <c r="E6">
        <f>IF(AND((AB16&gt;=C6),(AD16&lt;=D6)),(B2*1),(IF(AND((C6&gt;AB16),(D6&lt;AD16)),(ROUND((((NETWORKDAYS(C6,D6)))/AE16),2)),(IF(AND((AD16&gt;D6),(D6&gt;=AB16)),(ROUND((NETWORKDAYS(AA16,D6))/AE16,2)),(IF(AND((AB16&lt;C6),(C6&lt;AD16)),(ROUND(((NETWORKDAYS(C6,AC16))/AE16),2)),(IF(AND((AB16&lt;C6),(C6=AD16)),(ROUND((((NETWORKDAYS(C6,AC16)))/AE16),2)),0)))))))))</f>
        <v>1</v>
      </c>
      <c r="F6">
        <f>IF(AND((AB17&gt;=C6),(AD17&lt;=D6)),(B2*1),(IF(AND((C6&gt;AB17),(D6&lt;AD17)),(ROUND((((NETWORKDAYS(C6,D6)))/AE17),2)),(IF(AND((AD17&gt;D6),(D6&gt;=AB17)),(ROUND((NETWORKDAYS(AA17,D6))/AE17,2)),(IF(AND((AB17&lt;C6),(C6&lt;AD17)),(ROUND(((NETWORKDAYS(C6,AC17))/AE17),2)),(IF(AND((AB17&lt;C6),(C6=AD17)),(ROUND((((NETWORKDAYS(C6,AC17)))/AE17),2)),0)))))))))</f>
        <v>1</v>
      </c>
      <c r="G6">
        <f>IF(AND((AB18&gt;=C6),(AD18&lt;=D6)),(B2*1),(IF(AND((C6&gt;AB18),(D6&lt;AD18)),(ROUND((((NETWORKDAYS(C6,D6)))/AE18),2)),(IF(AND((AD18&gt;D6),(D6&gt;=AB18)),(ROUND((NETWORKDAYS(AA18,D6))/AE18,2)),(IF(AND((AB18&lt;C6),(C6&lt;AD18)),(ROUND(((NETWORKDAYS(C6,AC18))/AE18),2)),(IF(AND((AB18&lt;C6),(C6=AD18)),(ROUND((((NETWORKDAYS(C6,AC18)))/AE18),2)),0)))))))))</f>
        <v>1</v>
      </c>
      <c r="H6">
        <f>IF(AND((AB19&gt;=C6),(AD19&lt;=D6)),(B2*1),(IF(AND((C6&gt;AB19),(D6&lt;AD19)),(ROUND((((NETWORKDAYS(C6,D6)))/AE19),2)),(IF(AND((AD19&gt;D6),(D6&gt;=AB19)),(ROUND((NETWORKDAYS(AA19,D6))/AE19,2)),(IF(AND((AB19&lt;C6),(C6&lt;AD19)),(ROUND(((NETWORKDAYS(C6,AC19))/AE19),2)),(IF(AND((AB19&lt;C6),(C6=AD19)),(ROUND((((NETWORKDAYS(C6,AC19)))/AE19),2)),0)))))))))</f>
        <v>1</v>
      </c>
      <c r="I6">
        <f>IF(AND((AB20&gt;=C6),(AD20&lt;=D6)),(B2*1),(IF(AND((C6&gt;AB20),(D6&lt;AD20)),(ROUND((((NETWORKDAYS(C6,D6)))/AE20),2)),(IF(AND((AD20&gt;D6),(D6&gt;=AB20)),(ROUND((NETWORKDAYS(AA20,D6))/AE20,2)),(IF(AND((AB20&lt;C6),(C6&lt;AD20)),(ROUND(((NETWORKDAYS(C6,AC20))/AE20),2)),(IF(AND((AB20&lt;C6),(C6=AD20)),(ROUND((((NETWORKDAYS(C6,AC20)))/AE20),2)),0)))))))))</f>
        <v>1</v>
      </c>
      <c r="J6">
        <f>IF(AND((AB21&gt;=C6),(AD21&lt;=D6)),(B2*1),(IF(AND((C6&gt;AB21),(D6&lt;AD21)),(ROUND((((NETWORKDAYS(C6,D6)))/AE21),2)),(IF(AND((AD21&gt;D6),(D6&gt;=AB21)),(ROUND((NETWORKDAYS(AA21,D6))/AE21,2)),(IF(AND((AB21&lt;C6),(C6&lt;AD21)),(ROUND(((NETWORKDAYS(C6,AC21))/AE21),2)),(IF(AND((AB21&lt;C6),(C6=AD21)),(ROUND((((NETWORKDAYS(C6,AC21)))/AE21),2)),0)))))))))</f>
        <v>1</v>
      </c>
      <c r="K6">
        <f>IF(AND((AB22&gt;=C6),(AD22&lt;=D6)),(B2*1),(IF(AND((C6&gt;AB22),(D6&lt;AD22)),(ROUND((((NETWORKDAYS(C6,D6)))/AE22),2)),(IF(AND((AD22&gt;D6),(D6&gt;=AB22)),(ROUND((NETWORKDAYS(AA22,D6))/AE22,2)),(IF(AND((AB22&lt;C6),(C6&lt;AD22)),(ROUND(((NETWORKDAYS(C6,AC22))/AE22),2)),(IF(AND((AB22&lt;C6),(C6=AD22)),(ROUND((((NETWORKDAYS(C6,AC22)))/AE22),2)),0)))))))))</f>
        <v>1</v>
      </c>
      <c r="L6">
        <f>IF(AND((AB23&gt;=C6),(AD23&lt;=D6)),(B2*1),(IF(AND((C6&gt;AB23),(D6&lt;AD23)),(ROUND((((NETWORKDAYS(C6,D6)))/AE23),2)),(IF(AND((AD23&gt;D6),(D6&gt;=AB23)),(ROUND((NETWORKDAYS(AA23,D6))/AE23,2)),(IF(AND((AB23&lt;C6),(C6&lt;AD23)),(ROUND(((NETWORKDAYS(C6,AC23))/AE23),2)),(IF(AND((AB23&lt;C6),(C6=AD23)),(ROUND((((NETWORKDAYS(C6,AC23)))/AE23),2)),0)))))))))</f>
        <v>1</v>
      </c>
      <c r="M6">
        <f>IF(AND((AB24&gt;=C6),(AD24&lt;=D6)),(B2*1),(IF(AND((C6&gt;AB24),(D6&lt;AD24)),(ROUND((((NETWORKDAYS(C6,D6)))/AE24),2)),(IF(AND((AD24&gt;D6),(D6&gt;=AB24)),(ROUND((NETWORKDAYS(AA24,D6))/AE24,2)),(IF(AND((AB24&lt;C6),(C6&lt;AD24)),(ROUND(((NETWORKDAYS(C6,AC24))/AE24),2)),(IF(AND((AB24&lt;C6),(C6=AD24)),(ROUND((((NETWORKDAYS(C6,AC24)))/AE24),2)),0)))))))))</f>
        <v>1</v>
      </c>
      <c r="N6">
        <f>IF(AND((AB25&gt;=C6),(AD25&lt;=D6)),(B2*1),(IF(AND((C6&gt;AB25),(D6&lt;AD25)),(ROUND((((NETWORKDAYS(C6,D6)))/AE25),2)),(IF(AND((AD25&gt;D6),(D6&gt;=AB25)),(ROUND((NETWORKDAYS(AA25,D6))/AE25,2)),(IF(AND((AB25&lt;C6),(C6&lt;AD25)),(ROUND(((NETWORKDAYS(C6,AC25))/AE25),2)),(IF(AND((AB25&lt;C6),(C6=AD25)),(ROUND((((NETWORKDAYS(C6,AC25)))/AE25),2)),0)))))))))</f>
        <v>1</v>
      </c>
      <c r="O6">
        <f>IF(AND((AB26&gt;=C6),(AD26&lt;=D6)),(B2*1),(IF(AND((C6&gt;AB26),(D6&lt;AD26)),(ROUND((((NETWORKDAYS(C6,D6)))/AE26),2)),(IF(AND((AD26&gt;D6),(D6&gt;=AB26)),(ROUND((NETWORKDAYS(AA26,D6))/AE26,2)),(IF(AND((AB26&lt;C6),(C6&lt;AD26)),(ROUND(((NETWORKDAYS(C6,AC26))/AE26),2)),(IF(AND((AB26&lt;C6),(C6=AD26)),(ROUND((((NETWORKDAYS(C6,AC26)))/AE26),2)),0)))))))))</f>
        <v>1</v>
      </c>
      <c r="P6">
        <f>IF(AND((AB27&gt;=C6),(AD27&lt;=D6)),(B2*1),(IF(AND((C6&gt;AB27),(D6&lt;AD27)),(ROUND((((NETWORKDAYS(C6,D6)))/AE27),2)),(IF(AND((AD27&gt;D6),(D6&gt;=AB27)),(ROUND((NETWORKDAYS(AA27,D6))/AE27,2)),(IF(AND((AB27&lt;C6),(C6&lt;AD27)),(ROUND(((NETWORKDAYS(C6,AC27))/AE27),2)),(IF(AND((AB27&lt;C6),(C6=AD27)),(ROUND((((NETWORKDAYS(C6,AC27)))/AE27),2)),0)))))))))</f>
        <v>1</v>
      </c>
      <c r="T6" t="s">
        <v>1</v>
      </c>
      <c r="Y6" s="7" t="s">
        <v>135</v>
      </c>
      <c r="Z6" s="8">
        <f>DATE(Z1,5,8)</f>
        <v>44689</v>
      </c>
      <c r="AA6">
        <f t="shared" si="1"/>
        <v>1</v>
      </c>
      <c r="AB6" s="3">
        <f t="shared" si="0"/>
        <v>44689</v>
      </c>
      <c r="AC6">
        <f t="shared" si="2"/>
        <v>0</v>
      </c>
      <c r="AD6">
        <f t="shared" si="3"/>
        <v>1</v>
      </c>
      <c r="AE6">
        <f t="shared" si="4"/>
        <v>1</v>
      </c>
      <c r="AF6" s="8"/>
    </row>
    <row r="7" spans="1:32" x14ac:dyDescent="0.3">
      <c r="A7" t="s">
        <v>136</v>
      </c>
      <c r="B7" s="1">
        <v>1</v>
      </c>
      <c r="C7" s="8">
        <v>44562</v>
      </c>
      <c r="D7" s="8">
        <v>44926</v>
      </c>
      <c r="E7">
        <f>IF(AND((AB16&gt;=C7),(AD16&lt;=D7)),(B2*1),(IF(AND((C7&gt;AB16),(D7&lt;AD16)),(ROUND((((NETWORKDAYS(C7,D7)))/AE16),2)),(IF(AND((AD16&gt;D7),(D7&gt;=AB16)),(ROUND((NETWORKDAYS(AA16,D7))/AE16,2)),(IF(AND((AB16&lt;C7),(C7&lt;AD16)),(ROUND(((NETWORKDAYS(C7,AC16))/AE16),2)),(IF(AND((AB16&lt;C7),(C7=AD16)),(ROUND((((NETWORKDAYS(C7,AC16)))/AE16),2)),0)))))))))</f>
        <v>1</v>
      </c>
      <c r="F7">
        <f>IF(AND((AB17&gt;=C7),(AD17&lt;=D7)),(B2*1),(IF(AND((C7&gt;AB17),(D7&lt;AD17)),(ROUND((((NETWORKDAYS(C7,D7)))/AE17),2)),(IF(AND((AD17&gt;D7),(D7&gt;=AB17)),(ROUND((NETWORKDAYS(AA17,D7))/AE17,2)),(IF(AND((AB17&lt;C7),(C7&lt;AD17)),(ROUND(((NETWORKDAYS(C7,AC17))/AE17),2)),(IF(AND((AB17&lt;C7),(C7=AD17)),(ROUND((((NETWORKDAYS(C7,AC17)))/AE17),2)),0)))))))))</f>
        <v>1</v>
      </c>
      <c r="G7">
        <f>IF(AND((AB18&gt;=C7),(AD18&lt;=D7)),(B2*1),(IF(AND((C7&gt;AB18),(D7&lt;AD18)),(ROUND((((NETWORKDAYS(C7,D7)))/AE18),2)),(IF(AND((AD18&gt;D7),(D7&gt;=AB18)),(ROUND((NETWORKDAYS(AA18,D7))/AE18,2)),(IF(AND((AB18&lt;C7),(C7&lt;AD18)),(ROUND(((NETWORKDAYS(C7,AC18))/AE18),2)),(IF(AND((AB18&lt;C7),(C7=AD18)),(ROUND((((NETWORKDAYS(C7,AC18)))/AE18),2)),0)))))))))</f>
        <v>1</v>
      </c>
      <c r="H7">
        <f>IF(AND((AB19&gt;=C7),(AD19&lt;=D7)),(B2*1),(IF(AND((C7&gt;AB19),(D7&lt;AD19)),(ROUND((((NETWORKDAYS(C7,D7)))/AE19),2)),(IF(AND((AD19&gt;D7),(D7&gt;=AB19)),(ROUND((NETWORKDAYS(AA19,D7))/AE19,2)),(IF(AND((AB19&lt;C7),(C7&lt;AD19)),(ROUND(((NETWORKDAYS(C7,AC19))/AE19),2)),(IF(AND((AB19&lt;C7),(C7=AD19)),(ROUND((((NETWORKDAYS(C7,AC19)))/AE19),2)),0)))))))))</f>
        <v>1</v>
      </c>
      <c r="I7">
        <f>IF(AND((AB20&gt;=C7),(AD20&lt;=D7)),(B2*1),(IF(AND((C7&gt;AB20),(D7&lt;AD20)),(ROUND((((NETWORKDAYS(C7,D7)))/AE20),2)),(IF(AND((AD20&gt;D7),(D7&gt;=AB20)),(ROUND((NETWORKDAYS(AA20,D7))/AE20,2)),(IF(AND((AB20&lt;C7),(C7&lt;AD20)),(ROUND(((NETWORKDAYS(C7,AC20))/AE20),2)),(IF(AND((AB20&lt;C7),(C7=AD20)),(ROUND((((NETWORKDAYS(C7,AC20)))/AE20),2)),0)))))))))</f>
        <v>1</v>
      </c>
      <c r="J7">
        <f>IF(AND((AB21&gt;=C7),(AD21&lt;=D7)),(B2*1),(IF(AND((C7&gt;AB21),(D7&lt;AD21)),(ROUND((((NETWORKDAYS(C7,D7)))/AE21),2)),(IF(AND((AD21&gt;D7),(D7&gt;=AB21)),(ROUND((NETWORKDAYS(AA21,D7))/AE21,2)),(IF(AND((AB21&lt;C7),(C7&lt;AD21)),(ROUND(((NETWORKDAYS(C7,AC21))/AE21),2)),(IF(AND((AB21&lt;C7),(C7=AD21)),(ROUND((((NETWORKDAYS(C7,AC21)))/AE21),2)),0)))))))))</f>
        <v>1</v>
      </c>
      <c r="K7">
        <f>IF(AND((AB22&gt;=C7),(AD22&lt;=D7)),(B2*1),(IF(AND((C7&gt;AB22),(D7&lt;AD22)),(ROUND((((NETWORKDAYS(C7,D7)))/AE22),2)),(IF(AND((AD22&gt;D7),(D7&gt;=AB22)),(ROUND((NETWORKDAYS(AA22,D7))/AE22,2)),(IF(AND((AB22&lt;C7),(C7&lt;AD22)),(ROUND(((NETWORKDAYS(C7,AC22))/AE22),2)),(IF(AND((AB22&lt;C7),(C7=AD22)),(ROUND((((NETWORKDAYS(C7,AC22)))/AE22),2)),0)))))))))</f>
        <v>1</v>
      </c>
      <c r="L7">
        <f>IF(AND((AB23&gt;=C7),(AD23&lt;=D7)),(B2*1),(IF(AND((C7&gt;AB23),(D7&lt;AD23)),(ROUND((((NETWORKDAYS(C7,D7)))/AE23),2)),(IF(AND((AD23&gt;D7),(D7&gt;=AB23)),(ROUND((NETWORKDAYS(AA23,D7))/AE23,2)),(IF(AND((AB23&lt;C7),(C7&lt;AD23)),(ROUND(((NETWORKDAYS(C7,AC23))/AE23),2)),(IF(AND((AB23&lt;C7),(C7=AD23)),(ROUND((((NETWORKDAYS(C7,AC23)))/AE23),2)),0)))))))))</f>
        <v>1</v>
      </c>
      <c r="M7">
        <f>IF(AND((AB24&gt;=C7),(AD24&lt;=D7)),(B2*1),(IF(AND((C7&gt;AB24),(D7&lt;AD24)),(ROUND((((NETWORKDAYS(C7,D7)))/AE24),2)),(IF(AND((AD24&gt;D7),(D7&gt;=AB24)),(ROUND((NETWORKDAYS(AA24,D7))/AE24,2)),(IF(AND((AB24&lt;C7),(C7&lt;AD24)),(ROUND(((NETWORKDAYS(C7,AC24))/AE24),2)),(IF(AND((AB24&lt;C7),(C7=AD24)),(ROUND((((NETWORKDAYS(C7,AC24)))/AE24),2)),0)))))))))</f>
        <v>1</v>
      </c>
      <c r="N7">
        <f>IF(AND((AB25&gt;=C7),(AD25&lt;=D7)),(B2*1),(IF(AND((C7&gt;AB25),(D7&lt;AD25)),(ROUND((((NETWORKDAYS(C7,D7)))/AE25),2)),(IF(AND((AD25&gt;D7),(D7&gt;=AB25)),(ROUND((NETWORKDAYS(AA25,D7))/AE25,2)),(IF(AND((AB25&lt;C7),(C7&lt;AD25)),(ROUND(((NETWORKDAYS(C7,AC25))/AE25),2)),(IF(AND((AB25&lt;C7),(C7=AD25)),(ROUND((((NETWORKDAYS(C7,AC25)))/AE25),2)),0)))))))))</f>
        <v>1</v>
      </c>
      <c r="O7">
        <f>IF(AND((AB26&gt;=C7),(AD26&lt;=D7)),(B2*1),(IF(AND((C7&gt;AB26),(D7&lt;AD26)),(ROUND((((NETWORKDAYS(C7,D7)))/AE26),2)),(IF(AND((AD26&gt;D7),(D7&gt;=AB26)),(ROUND((NETWORKDAYS(AA26,D7))/AE26,2)),(IF(AND((AB26&lt;C7),(C7&lt;AD26)),(ROUND(((NETWORKDAYS(C7,AC26))/AE26),2)),(IF(AND((AB26&lt;C7),(C7=AD26)),(ROUND((((NETWORKDAYS(C7,AC26)))/AE26),2)),0)))))))))</f>
        <v>1</v>
      </c>
      <c r="P7">
        <f>IF(AND((AB27&gt;=C7),(AD27&lt;=D7)),(B2*1),(IF(AND((C7&gt;AB27),(D7&lt;AD27)),(ROUND((((NETWORKDAYS(C7,D7)))/AE27),2)),(IF(AND((AD27&gt;D7),(D7&gt;=AB27)),(ROUND((NETWORKDAYS(AA27,D7))/AE27,2)),(IF(AND((AB27&lt;C7),(C7&lt;AD27)),(ROUND(((NETWORKDAYS(C7,AC27))/AE27),2)),(IF(AND((AB27&lt;C7),(C7=AD27)),(ROUND((((NETWORKDAYS(C7,AC27)))/AE27),2)),0)))))))))</f>
        <v>1</v>
      </c>
      <c r="Y7" s="7" t="s">
        <v>137</v>
      </c>
      <c r="Z7" s="8">
        <f>Z3 + 39</f>
        <v>44707</v>
      </c>
      <c r="AA7">
        <f t="shared" si="1"/>
        <v>5</v>
      </c>
      <c r="AB7" s="3">
        <f t="shared" si="0"/>
        <v>44707</v>
      </c>
      <c r="AC7">
        <f t="shared" si="2"/>
        <v>1</v>
      </c>
      <c r="AD7">
        <f t="shared" si="3"/>
        <v>1</v>
      </c>
      <c r="AE7">
        <f t="shared" si="4"/>
        <v>2</v>
      </c>
      <c r="AF7" s="8">
        <f t="shared" si="5"/>
        <v>44707</v>
      </c>
    </row>
    <row r="8" spans="1:32" x14ac:dyDescent="0.3">
      <c r="A8" t="s">
        <v>87</v>
      </c>
      <c r="B8" s="1">
        <v>1</v>
      </c>
      <c r="C8" s="8">
        <v>44562</v>
      </c>
      <c r="D8" s="8">
        <v>44926</v>
      </c>
      <c r="E8">
        <f>IF(AND((AB16&gt;=C8),(AD16&lt;=D8)),(B2*1),(IF(AND((C8&gt;AB16),(D8&lt;AD16)),(ROUND((((NETWORKDAYS(C8,D8)))/AE16),2)),(IF(AND((AD16&gt;D8),(D8&gt;=AB16)),(ROUND((NETWORKDAYS(AA16,D8))/AE16,2)),(IF(AND((AB16&lt;C8),(C8&lt;AD16)),(ROUND(((NETWORKDAYS(C8,AC16))/AE16),2)),(IF(AND((AB16&lt;C8),(C8=AD16)),(ROUND((((NETWORKDAYS(C8,AC16)))/AE16),2)),0)))))))))</f>
        <v>1</v>
      </c>
      <c r="F8">
        <f>IF(AND((AB17&gt;=C8),(AD17&lt;=D8)),(B2*1),(IF(AND((C8&gt;AB17),(D8&lt;AD17)),(ROUND((((NETWORKDAYS(C8,D8)))/AE17),2)),(IF(AND((AD17&gt;D8),(D8&gt;=AB17)),(ROUND((NETWORKDAYS(AA17,D8))/AE17,2)),(IF(AND((AB17&lt;C8),(C8&lt;AD17)),(ROUND(((NETWORKDAYS(C8,AC17))/AE17),2)),(IF(AND((AB17&lt;C8),(C8=AD17)),(ROUND((((NETWORKDAYS(C8,AC17)))/AE17),2)),0)))))))))</f>
        <v>1</v>
      </c>
      <c r="G8">
        <f>IF(AND((AB18&gt;=C8),(AD18&lt;=D8)),(B2*1),(IF(AND((C8&gt;AB18),(D8&lt;AD18)),(ROUND((((NETWORKDAYS(C8,D8)))/AE18),2)),(IF(AND((AD18&gt;D8),(D8&gt;=AB18)),(ROUND((NETWORKDAYS(AA18,D8))/AE18,2)),(IF(AND((AB18&lt;C8),(C8&lt;AD18)),(ROUND(((NETWORKDAYS(C8,AC18))/AE18),2)),(IF(AND((AB18&lt;C8),(C8=AD18)),(ROUND((((NETWORKDAYS(C8,AC18)))/AE18),2)),0)))))))))</f>
        <v>1</v>
      </c>
      <c r="H8">
        <f>IF(AND((AB19&gt;=C8),(AD19&lt;=D8)),(B2*1),(IF(AND((C8&gt;AB19),(D8&lt;AD19)),(ROUND((((NETWORKDAYS(C8,D8)))/AE19),2)),(IF(AND((AD19&gt;D8),(D8&gt;=AB19)),(ROUND((NETWORKDAYS(AA19,D8))/AE19,2)),(IF(AND((AB19&lt;C8),(C8&lt;AD19)),(ROUND(((NETWORKDAYS(C8,AC19))/AE19),2)),(IF(AND((AB19&lt;C8),(C8=AD19)),(ROUND((((NETWORKDAYS(C8,AC19)))/AE19),2)),0)))))))))</f>
        <v>1</v>
      </c>
      <c r="I8">
        <f>IF(AND((AB20&gt;=C8),(AD20&lt;=D8)),(B2*1),(IF(AND((C8&gt;AB20),(D8&lt;AD20)),(ROUND((((NETWORKDAYS(C8,D8)))/AE20),2)),(IF(AND((AD20&gt;D8),(D8&gt;=AB20)),(ROUND((NETWORKDAYS(AA20,D8))/AE20,2)),(IF(AND((AB20&lt;C8),(C8&lt;AD20)),(ROUND(((NETWORKDAYS(C8,AC20))/AE20),2)),(IF(AND((AB20&lt;C8),(C8=AD20)),(ROUND((((NETWORKDAYS(C8,AC20)))/AE20),2)),0)))))))))</f>
        <v>1</v>
      </c>
      <c r="J8">
        <f>IF(AND((AB21&gt;=C8),(AD21&lt;=D8)),(B2*1),(IF(AND((C8&gt;AB21),(D8&lt;AD21)),(ROUND((((NETWORKDAYS(C8,D8)))/AE21),2)),(IF(AND((AD21&gt;D8),(D8&gt;=AB21)),(ROUND((NETWORKDAYS(AA21,D8))/AE21,2)),(IF(AND((AB21&lt;C8),(C8&lt;AD21)),(ROUND(((NETWORKDAYS(C8,AC21))/AE21),2)),(IF(AND((AB21&lt;C8),(C8=AD21)),(ROUND((((NETWORKDAYS(C8,AC21)))/AE21),2)),0)))))))))</f>
        <v>1</v>
      </c>
      <c r="K8">
        <f>IF(AND((AB22&gt;=C8),(AD22&lt;=D8)),(B2*1),(IF(AND((C8&gt;AB22),(D8&lt;AD22)),(ROUND((((NETWORKDAYS(C8,D8)))/AE22),2)),(IF(AND((AD22&gt;D8),(D8&gt;=AB22)),(ROUND((NETWORKDAYS(AA22,D8))/AE22,2)),(IF(AND((AB22&lt;C8),(C8&lt;AD22)),(ROUND(((NETWORKDAYS(C8,AC22))/AE22),2)),(IF(AND((AB22&lt;C8),(C8=AD22)),(ROUND((((NETWORKDAYS(C8,AC22)))/AE22),2)),0)))))))))</f>
        <v>1</v>
      </c>
      <c r="L8">
        <f>IF(AND((AB23&gt;=C8),(AD23&lt;=D8)),(B2*1),(IF(AND((C8&gt;AB23),(D8&lt;AD23)),(ROUND((((NETWORKDAYS(C8,D8)))/AE23),2)),(IF(AND((AD23&gt;D8),(D8&gt;=AB23)),(ROUND((NETWORKDAYS(AA23,D8))/AE23,2)),(IF(AND((AB23&lt;C8),(C8&lt;AD23)),(ROUND(((NETWORKDAYS(C8,AC23))/AE23),2)),(IF(AND((AB23&lt;C8),(C8=AD23)),(ROUND((((NETWORKDAYS(C8,AC23)))/AE23),2)),0)))))))))</f>
        <v>1</v>
      </c>
      <c r="M8">
        <f>IF(AND((AB24&gt;=C8),(AD24&lt;=D8)),(B2*1),(IF(AND((C8&gt;AB24),(D8&lt;AD24)),(ROUND((((NETWORKDAYS(C8,D8)))/AE24),2)),(IF(AND((AD24&gt;D8),(D8&gt;=AB24)),(ROUND((NETWORKDAYS(AA24,D8))/AE24,2)),(IF(AND((AB24&lt;C8),(C8&lt;AD24)),(ROUND(((NETWORKDAYS(C8,AC24))/AE24),2)),(IF(AND((AB24&lt;C8),(C8=AD24)),(ROUND((((NETWORKDAYS(C8,AC24)))/AE24),2)),0)))))))))</f>
        <v>1</v>
      </c>
      <c r="N8">
        <f>IF(AND((AB25&gt;=C8),(AD25&lt;=D8)),(B2*1),(IF(AND((C8&gt;AB25),(D8&lt;AD25)),(ROUND((((NETWORKDAYS(C8,D8)))/AE25),2)),(IF(AND((AD25&gt;D8),(D8&gt;=AB25)),(ROUND((NETWORKDAYS(AA25,D8))/AE25,2)),(IF(AND((AB25&lt;C8),(C8&lt;AD25)),(ROUND(((NETWORKDAYS(C8,AC25))/AE25),2)),(IF(AND((AB25&lt;C8),(C8=AD25)),(ROUND((((NETWORKDAYS(C8,AC25)))/AE25),2)),0)))))))))</f>
        <v>1</v>
      </c>
      <c r="O8">
        <f>IF(AND((AB26&gt;=C8),(AD26&lt;=D8)),(B2*1),(IF(AND((C8&gt;AB26),(D8&lt;AD26)),(ROUND((((NETWORKDAYS(C8,D8)))/AE26),2)),(IF(AND((AD26&gt;D8),(D8&gt;=AB26)),(ROUND((NETWORKDAYS(AA26,D8))/AE26,2)),(IF(AND((AB26&lt;C8),(C8&lt;AD26)),(ROUND(((NETWORKDAYS(C8,AC26))/AE26),2)),(IF(AND((AB26&lt;C8),(C8=AD26)),(ROUND((((NETWORKDAYS(C8,AC26)))/AE26),2)),0)))))))))</f>
        <v>1</v>
      </c>
      <c r="P8">
        <f>IF(AND((AB27&gt;=C8),(AD27&lt;=D8)),(B2*1),(IF(AND((C8&gt;AB27),(D8&lt;AD27)),(ROUND((((NETWORKDAYS(C8,D8)))/AE27),2)),(IF(AND((AD27&gt;D8),(D8&gt;=AB27)),(ROUND((NETWORKDAYS(AA27,D8))/AE27,2)),(IF(AND((AB27&lt;C8),(C8&lt;AD27)),(ROUND(((NETWORKDAYS(C8,AC27))/AE27),2)),(IF(AND((AB27&lt;C8),(C8=AD27)),(ROUND((((NETWORKDAYS(C8,AC27)))/AE27),2)),0)))))))))</f>
        <v>1</v>
      </c>
      <c r="Y8" s="7" t="s">
        <v>138</v>
      </c>
      <c r="Z8" s="8">
        <f>Z3 + 50</f>
        <v>44718</v>
      </c>
      <c r="AA8">
        <f t="shared" si="1"/>
        <v>2</v>
      </c>
      <c r="AB8" s="3">
        <f t="shared" si="0"/>
        <v>44718</v>
      </c>
      <c r="AC8">
        <f t="shared" si="2"/>
        <v>1</v>
      </c>
      <c r="AD8">
        <f t="shared" si="3"/>
        <v>1</v>
      </c>
      <c r="AE8">
        <f t="shared" si="4"/>
        <v>2</v>
      </c>
      <c r="AF8" s="8">
        <f t="shared" si="5"/>
        <v>44718</v>
      </c>
    </row>
    <row r="9" spans="1:32" x14ac:dyDescent="0.3">
      <c r="A9" t="s">
        <v>91</v>
      </c>
      <c r="B9" s="1">
        <v>1</v>
      </c>
      <c r="C9" s="8">
        <v>44562</v>
      </c>
      <c r="D9" s="8">
        <v>44926</v>
      </c>
      <c r="E9">
        <f>IF(AND((AB16&gt;=C9),(AD16&lt;=D9)),(B2*1),(IF(AND((C9&gt;AB16),(D9&lt;AD16)),(ROUND((((NETWORKDAYS(C9,D9)))/AE16),2)),(IF(AND((AD16&gt;D9),(D9&gt;=AB16)),(ROUND((NETWORKDAYS(AA16,D9))/AE16,2)),(IF(AND((AB16&lt;C9),(C9&lt;AD16)),(ROUND(((NETWORKDAYS(C9,AC16))/AE16),2)),(IF(AND((AB16&lt;C9),(C9=AD16)),(ROUND((((NETWORKDAYS(C9,AC16)))/AE16),2)),0)))))))))</f>
        <v>1</v>
      </c>
      <c r="F9">
        <f>IF(AND((AB17&gt;=C9),(AD17&lt;=D9)),(B2*1),(IF(AND((C9&gt;AB17),(D9&lt;AD17)),(ROUND((((NETWORKDAYS(C9,D9)))/AE17),2)),(IF(AND((AD17&gt;D9),(D9&gt;=AB17)),(ROUND((NETWORKDAYS(AA17,D9))/AE17,2)),(IF(AND((AB17&lt;C9),(C9&lt;AD17)),(ROUND(((NETWORKDAYS(C9,AC17))/AE17),2)),(IF(AND((AB17&lt;C9),(C9=AD17)),(ROUND((((NETWORKDAYS(C9,AC17)))/AE17),2)),0)))))))))</f>
        <v>1</v>
      </c>
      <c r="G9">
        <f>IF(AND((AB18&gt;=C9),(AD18&lt;=D9)),(B2*1),(IF(AND((C9&gt;AB18),(D9&lt;AD18)),(ROUND((((NETWORKDAYS(C9,D9)))/AE18),2)),(IF(AND((AD18&gt;D9),(D9&gt;=AB18)),(ROUND((NETWORKDAYS(AA18,D9))/AE18,2)),(IF(AND((AB18&lt;C9),(C9&lt;AD18)),(ROUND(((NETWORKDAYS(C9,AC18))/AE18),2)),(IF(AND((AB18&lt;C9),(C9=AD18)),(ROUND((((NETWORKDAYS(C9,AC18)))/AE18),2)),0)))))))))</f>
        <v>1</v>
      </c>
      <c r="H9">
        <f>IF(AND((AB19&gt;=C9),(AD19&lt;=D9)),(B2*1),(IF(AND((C9&gt;AB19),(D9&lt;AD19)),(ROUND((((NETWORKDAYS(C9,D9)))/AE19),2)),(IF(AND((AD19&gt;D9),(D9&gt;=AB19)),(ROUND((NETWORKDAYS(AA19,D9))/AE19,2)),(IF(AND((AB19&lt;C9),(C9&lt;AD19)),(ROUND(((NETWORKDAYS(C9,AC19))/AE19),2)),(IF(AND((AB19&lt;C9),(C9=AD19)),(ROUND((((NETWORKDAYS(C9,AC19)))/AE19),2)),0)))))))))</f>
        <v>1</v>
      </c>
      <c r="I9">
        <f>IF(AND((AB20&gt;=C9),(AD20&lt;=D9)),(B2*1),(IF(AND((C9&gt;AB20),(D9&lt;AD20)),(ROUND((((NETWORKDAYS(C9,D9)))/AE20),2)),(IF(AND((AD20&gt;D9),(D9&gt;=AB20)),(ROUND((NETWORKDAYS(AA20,D9))/AE20,2)),(IF(AND((AB20&lt;C9),(C9&lt;AD20)),(ROUND(((NETWORKDAYS(C9,AC20))/AE20),2)),(IF(AND((AB20&lt;C9),(C9=AD20)),(ROUND((((NETWORKDAYS(C9,AC20)))/AE20),2)),0)))))))))</f>
        <v>1</v>
      </c>
      <c r="J9">
        <f>IF(AND((AB21&gt;=C9),(AD21&lt;=D9)),(B2*1),(IF(AND((C9&gt;AB21),(D9&lt;AD21)),(ROUND((((NETWORKDAYS(C9,D9)))/AE21),2)),(IF(AND((AD21&gt;D9),(D9&gt;=AB21)),(ROUND((NETWORKDAYS(AA21,D9))/AE21,2)),(IF(AND((AB21&lt;C9),(C9&lt;AD21)),(ROUND(((NETWORKDAYS(C9,AC21))/AE21),2)),(IF(AND((AB21&lt;C9),(C9=AD21)),(ROUND((((NETWORKDAYS(C9,AC21)))/AE21),2)),0)))))))))</f>
        <v>1</v>
      </c>
      <c r="K9">
        <f>IF(AND((AB22&gt;=C9),(AD22&lt;=D9)),(B2*1),(IF(AND((C9&gt;AB22),(D9&lt;AD22)),(ROUND((((NETWORKDAYS(C9,D9)))/AE22),2)),(IF(AND((AD22&gt;D9),(D9&gt;=AB22)),(ROUND((NETWORKDAYS(AA22,D9))/AE22,2)),(IF(AND((AB22&lt;C9),(C9&lt;AD22)),(ROUND(((NETWORKDAYS(C9,AC22))/AE22),2)),(IF(AND((AB22&lt;C9),(C9=AD22)),(ROUND((((NETWORKDAYS(C9,AC22)))/AE22),2)),0)))))))))</f>
        <v>1</v>
      </c>
      <c r="L9">
        <f>IF(AND((AB23&gt;=C9),(AD23&lt;=D9)),(B2*1),(IF(AND((C9&gt;AB23),(D9&lt;AD23)),(ROUND((((NETWORKDAYS(C9,D9)))/AE23),2)),(IF(AND((AD23&gt;D9),(D9&gt;=AB23)),(ROUND((NETWORKDAYS(AA23,D9))/AE23,2)),(IF(AND((AB23&lt;C9),(C9&lt;AD23)),(ROUND(((NETWORKDAYS(C9,AC23))/AE23),2)),(IF(AND((AB23&lt;C9),(C9=AD23)),(ROUND((((NETWORKDAYS(C9,AC23)))/AE23),2)),0)))))))))</f>
        <v>1</v>
      </c>
      <c r="M9">
        <f>IF(AND((AB24&gt;=C9),(AD24&lt;=D9)),(B2*1),(IF(AND((C9&gt;AB24),(D9&lt;AD24)),(ROUND((((NETWORKDAYS(C9,D9)))/AE24),2)),(IF(AND((AD24&gt;D9),(D9&gt;=AB24)),(ROUND((NETWORKDAYS(AA24,D9))/AE24,2)),(IF(AND((AB24&lt;C9),(C9&lt;AD24)),(ROUND(((NETWORKDAYS(C9,AC24))/AE24),2)),(IF(AND((AB24&lt;C9),(C9=AD24)),(ROUND((((NETWORKDAYS(C9,AC24)))/AE24),2)),0)))))))))</f>
        <v>1</v>
      </c>
      <c r="N9">
        <f>IF(AND((AB25&gt;=C9),(AD25&lt;=D9)),(B2*1),(IF(AND((C9&gt;AB25),(D9&lt;AD25)),(ROUND((((NETWORKDAYS(C9,D9)))/AE25),2)),(IF(AND((AD25&gt;D9),(D9&gt;=AB25)),(ROUND((NETWORKDAYS(AA25,D9))/AE25,2)),(IF(AND((AB25&lt;C9),(C9&lt;AD25)),(ROUND(((NETWORKDAYS(C9,AC25))/AE25),2)),(IF(AND((AB25&lt;C9),(C9=AD25)),(ROUND((((NETWORKDAYS(C9,AC25)))/AE25),2)),0)))))))))</f>
        <v>1</v>
      </c>
      <c r="O9">
        <f>IF(AND((AB26&gt;=C9),(AD26&lt;=D9)),(B2*1),(IF(AND((C9&gt;AB26),(D9&lt;AD26)),(ROUND((((NETWORKDAYS(C9,D9)))/AE26),2)),(IF(AND((AD26&gt;D9),(D9&gt;=AB26)),(ROUND((NETWORKDAYS(AA26,D9))/AE26,2)),(IF(AND((AB26&lt;C9),(C9&lt;AD26)),(ROUND(((NETWORKDAYS(C9,AC26))/AE26),2)),(IF(AND((AB26&lt;C9),(C9=AD26)),(ROUND((((NETWORKDAYS(C9,AC26)))/AE26),2)),0)))))))))</f>
        <v>1</v>
      </c>
      <c r="P9">
        <f>IF(AND((AB27&gt;=C9),(AD27&lt;=D9)),(B2*1),(IF(AND((C9&gt;AB27),(D9&lt;AD27)),(ROUND((((NETWORKDAYS(C9,D9)))/AE27),2)),(IF(AND((AD27&gt;D9),(D9&gt;=AB27)),(ROUND((NETWORKDAYS(AA27,D9))/AE27,2)),(IF(AND((AB27&lt;C9),(C9&lt;AD27)),(ROUND(((NETWORKDAYS(C9,AC27))/AE27),2)),(IF(AND((AB27&lt;C9),(C9=AD27)),(ROUND((((NETWORKDAYS(C9,AC27)))/AE27),2)),0)))))))))</f>
        <v>1</v>
      </c>
      <c r="Y9" s="7" t="s">
        <v>139</v>
      </c>
      <c r="Z9" s="8">
        <f>DATE(Z1,7,14)</f>
        <v>44756</v>
      </c>
      <c r="AA9">
        <f t="shared" si="1"/>
        <v>5</v>
      </c>
      <c r="AB9" s="3">
        <f t="shared" si="0"/>
        <v>44756</v>
      </c>
      <c r="AC9">
        <f t="shared" si="2"/>
        <v>1</v>
      </c>
      <c r="AD9">
        <f t="shared" si="3"/>
        <v>1</v>
      </c>
      <c r="AE9">
        <f t="shared" si="4"/>
        <v>2</v>
      </c>
      <c r="AF9" s="8">
        <f t="shared" si="5"/>
        <v>44756</v>
      </c>
    </row>
    <row r="10" spans="1:32" x14ac:dyDescent="0.3">
      <c r="A10" t="s">
        <v>90</v>
      </c>
      <c r="B10" s="1">
        <v>1</v>
      </c>
      <c r="C10" s="8">
        <v>44562</v>
      </c>
      <c r="D10" s="8">
        <v>44926</v>
      </c>
      <c r="E10">
        <f>IF(AND((AB16&gt;=C10),(AD16&lt;=D10)),(B2*1),(IF(AND((C10&gt;AB16),(D10&lt;AD16)),(ROUND((((NETWORKDAYS(C10,D10)))/AE16),2)),(IF(AND((AD16&gt;D10),(D10&gt;=AB16)),(ROUND((NETWORKDAYS(AA16,D10))/AE16,2)),(IF(AND((AB16&lt;C10),(C10&lt;AD16)),(ROUND(((NETWORKDAYS(C10,AC16))/AE16),2)),(IF(AND((AB16&lt;C10),(C10=AD16)),(ROUND((((NETWORKDAYS(C10,AC16)))/AE16),2)),0)))))))))</f>
        <v>1</v>
      </c>
      <c r="F10">
        <f>IF(AND((AB17&gt;=C10),(AD17&lt;=D10)),(B2*1),(IF(AND((C10&gt;AB17),(D10&lt;AD17)),(ROUND((((NETWORKDAYS(C10,D10)))/AE17),2)),(IF(AND((AD17&gt;D10),(D10&gt;=AB17)),(ROUND((NETWORKDAYS(AA17,D10))/AE17,2)),(IF(AND((AB17&lt;C10),(C10&lt;AD17)),(ROUND(((NETWORKDAYS(C10,AC17))/AE17),2)),(IF(AND((AB17&lt;C10),(C10=AD17)),(ROUND((((NETWORKDAYS(C10,AC17)))/AE17),2)),0)))))))))</f>
        <v>1</v>
      </c>
      <c r="G10">
        <f>IF(AND((AB18&gt;=C10),(AD18&lt;=D10)),(B2*1),(IF(AND((C10&gt;AB18),(D10&lt;AD18)),(ROUND((((NETWORKDAYS(C10,D10)))/AE18),2)),(IF(AND((AD18&gt;D10),(D10&gt;=AB18)),(ROUND((NETWORKDAYS(AA18,D10))/AE18,2)),(IF(AND((AB18&lt;C10),(C10&lt;AD18)),(ROUND(((NETWORKDAYS(C10,AC18))/AE18),2)),(IF(AND((AB18&lt;C10),(C10=AD18)),(ROUND((((NETWORKDAYS(C10,AC18)))/AE18),2)),0)))))))))</f>
        <v>1</v>
      </c>
      <c r="H10">
        <f>IF(AND((AB19&gt;=C10),(AD19&lt;=D10)),(B2*1),(IF(AND((C10&gt;AB19),(D10&lt;AD19)),(ROUND((((NETWORKDAYS(C10,D10)))/AE19),2)),(IF(AND((AD19&gt;D10),(D10&gt;=AB19)),(ROUND((NETWORKDAYS(AA19,D10))/AE19,2)),(IF(AND((AB19&lt;C10),(C10&lt;AD19)),(ROUND(((NETWORKDAYS(C10,AC19))/AE19),2)),(IF(AND((AB19&lt;C10),(C10=AD19)),(ROUND((((NETWORKDAYS(C10,AC19)))/AE19),2)),0)))))))))</f>
        <v>1</v>
      </c>
      <c r="I10">
        <f>IF(AND((AB20&gt;=C10),(AD20&lt;=D10)),(B2*1),(IF(AND((C10&gt;AB20),(D10&lt;AD20)),(ROUND((((NETWORKDAYS(C10,D10)))/AE20),2)),(IF(AND((AD20&gt;D10),(D10&gt;=AB20)),(ROUND((NETWORKDAYS(AA20,D10))/AE20,2)),(IF(AND((AB20&lt;C10),(C10&lt;AD20)),(ROUND(((NETWORKDAYS(C10,AC20))/AE20),2)),(IF(AND((AB20&lt;C10),(C10=AD20)),(ROUND((((NETWORKDAYS(C10,AC20)))/AE20),2)),0)))))))))</f>
        <v>1</v>
      </c>
      <c r="J10">
        <f>IF(AND((AB21&gt;=C10),(AD21&lt;=D10)),(B2*1),(IF(AND((C10&gt;AB21),(D10&lt;AD21)),(ROUND((((NETWORKDAYS(C10,D10)))/AE21),2)),(IF(AND((AD21&gt;D10),(D10&gt;=AB21)),(ROUND((NETWORKDAYS(AA21,D10))/AE21,2)),(IF(AND((AB21&lt;C10),(C10&lt;AD21)),(ROUND(((NETWORKDAYS(C10,AC21))/AE21),2)),(IF(AND((AB21&lt;C10),(C10=AD21)),(ROUND((((NETWORKDAYS(C10,AC21)))/AE21),2)),0)))))))))</f>
        <v>1</v>
      </c>
      <c r="K10">
        <f>IF(AND((AB22&gt;=C10),(AD22&lt;=D10)),(B2*1),(IF(AND((C10&gt;AB22),(D10&lt;AD22)),(ROUND((((NETWORKDAYS(C10,D10)))/AE22),2)),(IF(AND((AD22&gt;D10),(D10&gt;=AB22)),(ROUND((NETWORKDAYS(AA22,D10))/AE22,2)),(IF(AND((AB22&lt;C10),(C10&lt;AD22)),(ROUND(((NETWORKDAYS(C10,AC22))/AE22),2)),(IF(AND((AB22&lt;C10),(C10=AD22)),(ROUND((((NETWORKDAYS(C10,AC22)))/AE22),2)),0)))))))))</f>
        <v>1</v>
      </c>
      <c r="L10">
        <f>IF(AND((AB23&gt;=C10),(AD23&lt;=D10)),(B2*1),(IF(AND((C10&gt;AB23),(D10&lt;AD23)),(ROUND((((NETWORKDAYS(C10,D10)))/AE23),2)),(IF(AND((AD23&gt;D10),(D10&gt;=AB23)),(ROUND((NETWORKDAYS(AA23,D10))/AE23,2)),(IF(AND((AB23&lt;C10),(C10&lt;AD23)),(ROUND(((NETWORKDAYS(C10,AC23))/AE23),2)),(IF(AND((AB23&lt;C10),(C10=AD23)),(ROUND((((NETWORKDAYS(C10,AC23)))/AE23),2)),0)))))))))</f>
        <v>1</v>
      </c>
      <c r="M10">
        <f>IF(AND((AB24&gt;=C10),(AD24&lt;=D10)),(B2*1),(IF(AND((C10&gt;AB24),(D10&lt;AD24)),(ROUND((((NETWORKDAYS(C10,D10)))/AE24),2)),(IF(AND((AD24&gt;D10),(D10&gt;=AB24)),(ROUND((NETWORKDAYS(AA24,D10))/AE24,2)),(IF(AND((AB24&lt;C10),(C10&lt;AD24)),(ROUND(((NETWORKDAYS(C10,AC24))/AE24),2)),(IF(AND((AB24&lt;C10),(C10=AD24)),(ROUND((((NETWORKDAYS(C10,AC24)))/AE24),2)),0)))))))))</f>
        <v>1</v>
      </c>
      <c r="N10">
        <f>IF(AND((AB25&gt;=C10),(AD25&lt;=D10)),(B2*1),(IF(AND((C10&gt;AB25),(D10&lt;AD25)),(ROUND((((NETWORKDAYS(C10,D10)))/AE25),2)),(IF(AND((AD25&gt;D10),(D10&gt;=AB25)),(ROUND((NETWORKDAYS(AA25,D10))/AE25,2)),(IF(AND((AB25&lt;C10),(C10&lt;AD25)),(ROUND(((NETWORKDAYS(C10,AC25))/AE25),2)),(IF(AND((AB25&lt;C10),(C10=AD25)),(ROUND((((NETWORKDAYS(C10,AC25)))/AE25),2)),0)))))))))</f>
        <v>1</v>
      </c>
      <c r="O10">
        <f>IF(AND((AB26&gt;=C10),(AD26&lt;=D10)),(B2*1),(IF(AND((C10&gt;AB26),(D10&lt;AD26)),(ROUND((((NETWORKDAYS(C10,D10)))/AE26),2)),(IF(AND((AD26&gt;D10),(D10&gt;=AB26)),(ROUND((NETWORKDAYS(AA26,D10))/AE26,2)),(IF(AND((AB26&lt;C10),(C10&lt;AD26)),(ROUND(((NETWORKDAYS(C10,AC26))/AE26),2)),(IF(AND((AB26&lt;C10),(C10=AD26)),(ROUND((((NETWORKDAYS(C10,AC26)))/AE26),2)),0)))))))))</f>
        <v>1</v>
      </c>
      <c r="P10">
        <f>IF(AND((AB27&gt;=C10),(AD27&lt;=D10)),(B2*1),(IF(AND((C10&gt;AB27),(D10&lt;AD27)),(ROUND((((NETWORKDAYS(C10,D10)))/AE27),2)),(IF(AND((AD27&gt;D10),(D10&gt;=AB27)),(ROUND((NETWORKDAYS(AA27,D10))/AE27,2)),(IF(AND((AB27&lt;C10),(C10&lt;AD27)),(ROUND(((NETWORKDAYS(C10,AC27))/AE27),2)),(IF(AND((AB27&lt;C10),(C10=AD27)),(ROUND((((NETWORKDAYS(C10,AC27)))/AE27),2)),0)))))))))</f>
        <v>1</v>
      </c>
      <c r="Y10" s="7" t="s">
        <v>140</v>
      </c>
      <c r="Z10" s="8">
        <f>DATE(Z1,8,15)</f>
        <v>44788</v>
      </c>
      <c r="AA10">
        <f t="shared" si="1"/>
        <v>2</v>
      </c>
      <c r="AB10" s="3">
        <f t="shared" si="0"/>
        <v>44788</v>
      </c>
      <c r="AC10">
        <f t="shared" si="2"/>
        <v>1</v>
      </c>
      <c r="AD10">
        <f t="shared" si="3"/>
        <v>1</v>
      </c>
      <c r="AE10">
        <f t="shared" si="4"/>
        <v>2</v>
      </c>
      <c r="AF10" s="8"/>
    </row>
    <row r="11" spans="1:32" x14ac:dyDescent="0.3">
      <c r="A11" t="s">
        <v>92</v>
      </c>
      <c r="B11" s="1">
        <v>1</v>
      </c>
      <c r="C11" s="8">
        <v>44562</v>
      </c>
      <c r="D11" s="8">
        <v>44575</v>
      </c>
      <c r="E11">
        <f>IF(AND((AB16&gt;=C11),(AD16&lt;=D11)),(B2*1),(IF(AND((C11&gt;AB16),(D11&lt;AD16)),(ROUND((((NETWORKDAYS(C11,D11)))/AE16),2)),(IF(AND((AD16&gt;D11),(D11&gt;=AB16)),(ROUND((NETWORKDAYS(AA16,D11))/AE16,2)),(IF(AND((AB16&lt;C11),(C11&lt;AD16)),(ROUND(((NETWORKDAYS(C11,AC16))/AE16),2)),(IF(AND((AB16&lt;C11),(C11=AD16)),(ROUND((((NETWORKDAYS(C11,AC16)))/AE16),2)),0)))))))))</f>
        <v>0.48</v>
      </c>
      <c r="F11">
        <f>IF(AND((AB17&gt;=C11),(AD17&lt;=D11)),(B2*1),(IF(AND((C11&gt;AB17),(D11&lt;AD17)),(ROUND((((NETWORKDAYS(C11,D11)))/AE17),2)),(IF(AND((AD17&gt;D11),(D11&gt;=AB17)),(ROUND((NETWORKDAYS(AA17,D11))/AE17,2)),(IF(AND((AB17&lt;C11),(C11&lt;AD17)),(ROUND(((NETWORKDAYS(C11,AC17))/AE17),2)),(IF(AND((AB17&lt;C11),(C11=AD17)),(ROUND((((NETWORKDAYS(C11,AC17)))/AE17),2)),0)))))))))</f>
        <v>0</v>
      </c>
      <c r="G11">
        <f>IF(AND((AB18&gt;=C11),(AD18&lt;=D11)),(B2*1),(IF(AND((C11&gt;AB18),(D11&lt;AD18)),(ROUND((((NETWORKDAYS(C11,D11)))/AE18),2)),(IF(AND((AD18&gt;D11),(D11&gt;=AB18)),(ROUND((NETWORKDAYS(AA18,D11))/AE18,2)),(IF(AND((AB18&lt;C11),(C11&lt;AD18)),(ROUND(((NETWORKDAYS(C11,AC18))/AE18),2)),(IF(AND((AB18&lt;C11),(C11=AD18)),(ROUND((((NETWORKDAYS(C11,AC18)))/AE18),2)),0)))))))))</f>
        <v>0</v>
      </c>
      <c r="H11">
        <f>IF(AND((AB19&gt;=C11),(AD19&lt;=D11)),(B2*1),(IF(AND((C11&gt;AB19),(D11&lt;AD19)),(ROUND((((NETWORKDAYS(C11,D11)))/AE19),2)),(IF(AND((AD19&gt;D11),(D11&gt;=AB19)),(ROUND((NETWORKDAYS(AA19,D11))/AE19,2)),(IF(AND((AB19&lt;C11),(C11&lt;AD19)),(ROUND(((NETWORKDAYS(C11,AC19))/AE19),2)),(IF(AND((AB19&lt;C11),(C11=AD19)),(ROUND((((NETWORKDAYS(C11,AC19)))/AE19),2)),0)))))))))</f>
        <v>0</v>
      </c>
      <c r="I11">
        <f>IF(AND((AB20&gt;=C11),(AD20&lt;=D11)),(B2*1),(IF(AND((C11&gt;AB20),(D11&lt;AD20)),(ROUND((((NETWORKDAYS(C11,D11)))/AE20),2)),(IF(AND((AD20&gt;D11),(D11&gt;=AB20)),(ROUND((NETWORKDAYS(AA20,D11))/AE20,2)),(IF(AND((AB20&lt;C11),(C11&lt;AD20)),(ROUND(((NETWORKDAYS(C11,AC20))/AE20),2)),(IF(AND((AB20&lt;C11),(C11=AD20)),(ROUND((((NETWORKDAYS(C11,AC20)))/AE20),2)),0)))))))))</f>
        <v>0</v>
      </c>
      <c r="J11">
        <f>IF(AND((AB21&gt;=C11),(AD21&lt;=D11)),(B2*1),(IF(AND((C11&gt;AB21),(D11&lt;AD21)),(ROUND((((NETWORKDAYS(C11,D11)))/AE21),2)),(IF(AND((AD21&gt;D11),(D11&gt;=AB21)),(ROUND((NETWORKDAYS(AA21,D11))/AE21,2)),(IF(AND((AB21&lt;C11),(C11&lt;AD21)),(ROUND(((NETWORKDAYS(C11,AC21))/AE21),2)),(IF(AND((AB21&lt;C11),(C11=AD21)),(ROUND((((NETWORKDAYS(C11,AC21)))/AE21),2)),0)))))))))</f>
        <v>0</v>
      </c>
      <c r="K11">
        <f>IF(AND((AB22&gt;=C11),(AD22&lt;=D11)),(B2*1),(IF(AND((C11&gt;AB22),(D11&lt;AD22)),(ROUND((((NETWORKDAYS(C11,D11)))/AE22),2)),(IF(AND((AD22&gt;D11),(D11&gt;=AB22)),(ROUND((NETWORKDAYS(AA22,D11))/AE22,2)),(IF(AND((AB22&lt;C11),(C11&lt;AD22)),(ROUND(((NETWORKDAYS(C11,AC22))/AE22),2)),(IF(AND((AB22&lt;C11),(C11=AD22)),(ROUND((((NETWORKDAYS(C11,AC22)))/AE22),2)),0)))))))))</f>
        <v>0</v>
      </c>
      <c r="L11">
        <f>IF(AND((AB23&gt;=C11),(AD23&lt;=D11)),(B2*1),(IF(AND((C11&gt;AB23),(D11&lt;AD23)),(ROUND((((NETWORKDAYS(C11,D11)))/AE23),2)),(IF(AND((AD23&gt;D11),(D11&gt;=AB23)),(ROUND((NETWORKDAYS(AA23,D11))/AE23,2)),(IF(AND((AB23&lt;C11),(C11&lt;AD23)),(ROUND(((NETWORKDAYS(C11,AC23))/AE23),2)),(IF(AND((AB23&lt;C11),(C11=AD23)),(ROUND((((NETWORKDAYS(C11,AC23)))/AE23),2)),0)))))))))</f>
        <v>0</v>
      </c>
      <c r="M11">
        <f>IF(AND((AB24&gt;=C11),(AD24&lt;=D11)),(B2*1),(IF(AND((C11&gt;AB24),(D11&lt;AD24)),(ROUND((((NETWORKDAYS(C11,D11)))/AE24),2)),(IF(AND((AD24&gt;D11),(D11&gt;=AB24)),(ROUND((NETWORKDAYS(AA24,D11))/AE24,2)),(IF(AND((AB24&lt;C11),(C11&lt;AD24)),(ROUND(((NETWORKDAYS(C11,AC24))/AE24),2)),(IF(AND((AB24&lt;C11),(C11=AD24)),(ROUND((((NETWORKDAYS(C11,AC24)))/AE24),2)),0)))))))))</f>
        <v>0</v>
      </c>
      <c r="N11">
        <f>IF(AND((AB25&gt;=C11),(AD25&lt;=D11)),(B2*1),(IF(AND((C11&gt;AB25),(D11&lt;AD25)),(ROUND((((NETWORKDAYS(C11,D11)))/AE25),2)),(IF(AND((AD25&gt;D11),(D11&gt;=AB25)),(ROUND((NETWORKDAYS(AA25,D11))/AE25,2)),(IF(AND((AB25&lt;C11),(C11&lt;AD25)),(ROUND(((NETWORKDAYS(C11,AC25))/AE25),2)),(IF(AND((AB25&lt;C11),(C11=AD25)),(ROUND((((NETWORKDAYS(C11,AC25)))/AE25),2)),0)))))))))</f>
        <v>0</v>
      </c>
      <c r="O11">
        <f>IF(AND((AB26&gt;=C11),(AD26&lt;=D11)),(B2*1),(IF(AND((C11&gt;AB26),(D11&lt;AD26)),(ROUND((((NETWORKDAYS(C11,D11)))/AE26),2)),(IF(AND((AD26&gt;D11),(D11&gt;=AB26)),(ROUND((NETWORKDAYS(AA26,D11))/AE26,2)),(IF(AND((AB26&lt;C11),(C11&lt;AD26)),(ROUND(((NETWORKDAYS(C11,AC26))/AE26),2)),(IF(AND((AB26&lt;C11),(C11=AD26)),(ROUND((((NETWORKDAYS(C11,AC26)))/AE26),2)),0)))))))))</f>
        <v>0</v>
      </c>
      <c r="P11">
        <f>IF(AND((AB27&gt;=C11),(AD27&lt;=D11)),(B2*1),(IF(AND((C11&gt;AB27),(D11&lt;AD27)),(ROUND((((NETWORKDAYS(C11,D11)))/AE27),2)),(IF(AND((AD27&gt;D11),(D11&gt;=AB27)),(ROUND((NETWORKDAYS(AA27,D11))/AE27,2)),(IF(AND((AB27&lt;C11),(C11&lt;AD27)),(ROUND(((NETWORKDAYS(C11,AC27))/AE27),2)),(IF(AND((AB27&lt;C11),(C11=AD27)),(ROUND((((NETWORKDAYS(C11,AC27)))/AE27),2)),0)))))))))</f>
        <v>0</v>
      </c>
      <c r="Y11" s="7" t="s">
        <v>141</v>
      </c>
      <c r="Z11" s="8">
        <f xml:space="preserve"> DATE(Z1,11,1)</f>
        <v>44866</v>
      </c>
      <c r="AA11">
        <f t="shared" si="1"/>
        <v>3</v>
      </c>
      <c r="AB11" s="3">
        <f t="shared" si="0"/>
        <v>44866</v>
      </c>
      <c r="AC11">
        <f t="shared" si="2"/>
        <v>1</v>
      </c>
      <c r="AD11">
        <f t="shared" si="3"/>
        <v>1</v>
      </c>
      <c r="AE11">
        <f t="shared" si="4"/>
        <v>2</v>
      </c>
      <c r="AF11" s="8">
        <f t="shared" si="5"/>
        <v>44866</v>
      </c>
    </row>
    <row r="12" spans="1:32" x14ac:dyDescent="0.3">
      <c r="A12" t="s">
        <v>86</v>
      </c>
      <c r="B12" s="1">
        <v>1</v>
      </c>
      <c r="C12" s="8">
        <v>44571</v>
      </c>
      <c r="D12" s="8">
        <v>44926</v>
      </c>
      <c r="E12">
        <f>IF(AND((AB16&gt;=C12),(AD16&lt;=D12)),(B2*1),(IF(AND((C12&gt;AB16),(D12&lt;AD16)),(ROUND((((NETWORKDAYS(C12,D12)))/AE16),2)),(IF(AND((AD16&gt;D12),(D12&gt;=AB16)),(ROUND((NETWORKDAYS(AA16,D12))/AE16,2)),(IF(AND((AB16&lt;C12),(C12&lt;AD16)),(ROUND(((NETWORKDAYS(C12,AC16))/AE16),2)),(IF(AND((AB16&lt;C12),(C12=AD16)),(ROUND((((NETWORKDAYS(C12,AC16)))/AE16),2)),0)))))))))</f>
        <v>0.76</v>
      </c>
      <c r="F12">
        <f>IF(AND((AB17&gt;=C12),(AD17&lt;=D12)),(B2*1),(IF(AND((C12&gt;AB17),(D12&lt;AD17)),(ROUND((((NETWORKDAYS(C12,D12)))/AE17),2)),(IF(AND((AD17&gt;D12),(D12&gt;=AB17)),(ROUND((NETWORKDAYS(AA17,D12))/AE17,2)),(IF(AND((AB17&lt;C12),(C12&lt;AD17)),(ROUND(((NETWORKDAYS(C12,AC17))/AE17),2)),(IF(AND((AB17&lt;C12),(C12=AD17)),(ROUND((((NETWORKDAYS(C12,AC17)))/AE17),2)),0)))))))))</f>
        <v>1</v>
      </c>
      <c r="G12">
        <f>IF(AND((AB18&gt;=C12),(AD18&lt;=D12)),(B2*1),(IF(AND((C12&gt;AB18),(D12&lt;AD18)),(ROUND((((NETWORKDAYS(C12,D12)))/AE18),2)),(IF(AND((AD18&gt;D12),(D12&gt;=AB18)),(ROUND((NETWORKDAYS(AA18,D12))/AE18,2)),(IF(AND((AB18&lt;C12),(C12&lt;AD18)),(ROUND(((NETWORKDAYS(C12,AC18))/AE18),2)),(IF(AND((AB18&lt;C12),(C12=AD18)),(ROUND((((NETWORKDAYS(C12,AC18)))/AE18),2)),0)))))))))</f>
        <v>1</v>
      </c>
      <c r="H12">
        <f>IF(AND((AB19&gt;=C12),(AD19&lt;=D12)),(B2*1),(IF(AND((C12&gt;AB19),(D12&lt;AD19)),(ROUND((((NETWORKDAYS(C12,D12)))/AE19),2)),(IF(AND((AD19&gt;D12),(D12&gt;=AB19)),(ROUND((NETWORKDAYS(AA19,D12))/AE19,2)),(IF(AND((AB19&lt;C12),(C12&lt;AD19)),(ROUND(((NETWORKDAYS(C12,AC19))/AE19),2)),(IF(AND((AB19&lt;C12),(C12=AD19)),(ROUND((((NETWORKDAYS(C12,AC19)))/AE19),2)),0)))))))))</f>
        <v>1</v>
      </c>
      <c r="I12">
        <f>IF(AND((AB20&gt;=C12),(AD20&lt;=D12)),(B2*1),(IF(AND((C12&gt;AB20),(D12&lt;AD20)),(ROUND((((NETWORKDAYS(C12,D12)))/AE20),2)),(IF(AND((AD20&gt;D12),(D12&gt;=AB20)),(ROUND((NETWORKDAYS(AA20,D12))/AE20,2)),(IF(AND((AB20&lt;C12),(C12&lt;AD20)),(ROUND(((NETWORKDAYS(C12,AC20))/AE20),2)),(IF(AND((AB20&lt;C12),(C12=AD20)),(ROUND((((NETWORKDAYS(C12,AC20)))/AE20),2)),0)))))))))</f>
        <v>1</v>
      </c>
      <c r="J12">
        <f>IF(AND((AB21&gt;=C12),(AD21&lt;=D12)),(B2*1),(IF(AND((C12&gt;AB21),(D12&lt;AD21)),(ROUND((((NETWORKDAYS(C12,D12)))/AE21),2)),(IF(AND((AD21&gt;D12),(D12&gt;=AB21)),(ROUND((NETWORKDAYS(AA21,D12))/AE21,2)),(IF(AND((AB21&lt;C12),(C12&lt;AD21)),(ROUND(((NETWORKDAYS(C12,AC21))/AE21),2)),(IF(AND((AB21&lt;C12),(C12=AD21)),(ROUND((((NETWORKDAYS(C12,AC21)))/AE21),2)),0)))))))))</f>
        <v>1</v>
      </c>
      <c r="K12">
        <f>IF(AND((AB22&gt;=C12),(AD22&lt;=D12)),(B2*1),(IF(AND((C12&gt;AB22),(D12&lt;AD22)),(ROUND((((NETWORKDAYS(C12,D12)))/AE22),2)),(IF(AND((AD22&gt;D12),(D12&gt;=AB22)),(ROUND((NETWORKDAYS(AA22,D12))/AE22,2)),(IF(AND((AB22&lt;C12),(C12&lt;AD22)),(ROUND(((NETWORKDAYS(C12,AC22))/AE22),2)),(IF(AND((AB22&lt;C12),(C12=AD22)),(ROUND((((NETWORKDAYS(C12,AC22)))/AE22),2)),0)))))))))</f>
        <v>1</v>
      </c>
      <c r="L12">
        <f>IF(AND((AB23&gt;=C12),(AD23&lt;=D12)),(B2*1),(IF(AND((C12&gt;AB23),(D12&lt;AD23)),(ROUND((((NETWORKDAYS(C12,D12)))/AE23),2)),(IF(AND((AD23&gt;D12),(D12&gt;=AB23)),(ROUND((NETWORKDAYS(AA23,D12))/AE23,2)),(IF(AND((AB23&lt;C12),(C12&lt;AD23)),(ROUND(((NETWORKDAYS(C12,AC23))/AE23),2)),(IF(AND((AB23&lt;C12),(C12=AD23)),(ROUND((((NETWORKDAYS(C12,AC23)))/AE23),2)),0)))))))))</f>
        <v>1</v>
      </c>
      <c r="M12">
        <f>IF(AND((AB24&gt;=C12),(AD24&lt;=D12)),(B2*1),(IF(AND((C12&gt;AB24),(D12&lt;AD24)),(ROUND((((NETWORKDAYS(C12,D12)))/AE24),2)),(IF(AND((AD24&gt;D12),(D12&gt;=AB24)),(ROUND((NETWORKDAYS(AA24,D12))/AE24,2)),(IF(AND((AB24&lt;C12),(C12&lt;AD24)),(ROUND(((NETWORKDAYS(C12,AC24))/AE24),2)),(IF(AND((AB24&lt;C12),(C12=AD24)),(ROUND((((NETWORKDAYS(C12,AC24)))/AE24),2)),0)))))))))</f>
        <v>1</v>
      </c>
      <c r="N12">
        <f>IF(AND((AB25&gt;=C12),(AD25&lt;=D12)),(B2*1),(IF(AND((C12&gt;AB25),(D12&lt;AD25)),(ROUND((((NETWORKDAYS(C12,D12)))/AE25),2)),(IF(AND((AD25&gt;D12),(D12&gt;=AB25)),(ROUND((NETWORKDAYS(AA25,D12))/AE25,2)),(IF(AND((AB25&lt;C12),(C12&lt;AD25)),(ROUND(((NETWORKDAYS(C12,AC25))/AE25),2)),(IF(AND((AB25&lt;C12),(C12=AD25)),(ROUND((((NETWORKDAYS(C12,AC25)))/AE25),2)),0)))))))))</f>
        <v>1</v>
      </c>
      <c r="O12">
        <f>IF(AND((AB26&gt;=C12),(AD26&lt;=D12)),(B2*1),(IF(AND((C12&gt;AB26),(D12&lt;AD26)),(ROUND((((NETWORKDAYS(C12,D12)))/AE26),2)),(IF(AND((AD26&gt;D12),(D12&gt;=AB26)),(ROUND((NETWORKDAYS(AA26,D12))/AE26,2)),(IF(AND((AB26&lt;C12),(C12&lt;AD26)),(ROUND(((NETWORKDAYS(C12,AC26))/AE26),2)),(IF(AND((AB26&lt;C12),(C12=AD26)),(ROUND((((NETWORKDAYS(C12,AC26)))/AE26),2)),0)))))))))</f>
        <v>1</v>
      </c>
      <c r="P12">
        <f>IF(AND((AB27&gt;=C12),(AD27&lt;=D12)),(B2*1),(IF(AND((C12&gt;AB27),(D12&lt;AD27)),(ROUND((((NETWORKDAYS(C12,D12)))/AE27),2)),(IF(AND((AD27&gt;D12),(D12&gt;=AB27)),(ROUND((NETWORKDAYS(AA27,D12))/AE27,2)),(IF(AND((AB27&lt;C12),(C12&lt;AD27)),(ROUND(((NETWORKDAYS(C12,AC27))/AE27),2)),(IF(AND((AB27&lt;C12),(C12=AD27)),(ROUND((((NETWORKDAYS(C12,AC27)))/AE27),2)),0)))))))))</f>
        <v>1</v>
      </c>
      <c r="Y12" s="7" t="s">
        <v>142</v>
      </c>
      <c r="Z12" s="8">
        <f>DATE(Z1,11,11)</f>
        <v>44876</v>
      </c>
      <c r="AA12">
        <f t="shared" si="1"/>
        <v>6</v>
      </c>
      <c r="AB12" s="3">
        <f t="shared" si="0"/>
        <v>44876</v>
      </c>
      <c r="AC12">
        <f t="shared" si="2"/>
        <v>1</v>
      </c>
      <c r="AD12">
        <f t="shared" si="3"/>
        <v>1</v>
      </c>
      <c r="AE12">
        <f t="shared" si="4"/>
        <v>2</v>
      </c>
      <c r="AF12" s="8">
        <f t="shared" si="5"/>
        <v>44876</v>
      </c>
    </row>
    <row r="13" spans="1:32" x14ac:dyDescent="0.3">
      <c r="B13" s="1"/>
      <c r="C13" s="8"/>
      <c r="D13" s="8"/>
      <c r="Y13" s="7" t="s">
        <v>143</v>
      </c>
      <c r="Z13" s="8">
        <f>DATE(Z1,12,25)</f>
        <v>44920</v>
      </c>
      <c r="AA13">
        <f t="shared" si="1"/>
        <v>1</v>
      </c>
      <c r="AB13" s="3">
        <f t="shared" si="0"/>
        <v>44920</v>
      </c>
      <c r="AC13">
        <f t="shared" si="2"/>
        <v>0</v>
      </c>
      <c r="AD13">
        <f t="shared" si="3"/>
        <v>1</v>
      </c>
      <c r="AE13">
        <f t="shared" si="4"/>
        <v>1</v>
      </c>
      <c r="AF13" s="8"/>
    </row>
    <row r="14" spans="1:32" x14ac:dyDescent="0.3">
      <c r="B14" s="1"/>
      <c r="C14" s="8"/>
      <c r="D14" s="8"/>
    </row>
    <row r="15" spans="1:32" x14ac:dyDescent="0.3">
      <c r="B15" s="1"/>
      <c r="C15" s="8"/>
      <c r="D15" s="8"/>
    </row>
    <row r="16" spans="1:32" x14ac:dyDescent="0.3">
      <c r="B16" s="1"/>
      <c r="C16" s="8"/>
      <c r="D16" s="8"/>
      <c r="Y16" s="7" t="s">
        <v>144</v>
      </c>
      <c r="Z16">
        <f>AE2-1</f>
        <v>0</v>
      </c>
      <c r="AA16" s="8">
        <f>DATE(Z1,1,1)</f>
        <v>44562</v>
      </c>
      <c r="AB16" s="23">
        <f>AA16</f>
        <v>44562</v>
      </c>
      <c r="AC16" s="8">
        <f>DATE(Z1,1,31)</f>
        <v>44592</v>
      </c>
      <c r="AD16" s="23">
        <f>AC16</f>
        <v>44592</v>
      </c>
      <c r="AE16" s="23">
        <f>NETWORKDAYS(AB16,AD16,Z2)</f>
        <v>21</v>
      </c>
    </row>
    <row r="17" spans="2:31" x14ac:dyDescent="0.3">
      <c r="B17" s="1"/>
      <c r="C17" s="8"/>
      <c r="D17" s="8"/>
      <c r="Y17" s="7" t="s">
        <v>3</v>
      </c>
      <c r="Z17">
        <v>0</v>
      </c>
      <c r="AA17" s="8">
        <f>DATE(Z1,2,1)</f>
        <v>44593</v>
      </c>
      <c r="AB17" s="23">
        <f t="shared" ref="AB17:AD31" si="6">AA17</f>
        <v>44593</v>
      </c>
      <c r="AC17" s="8">
        <f>IF((OR(MOD(Z1,400)=0,(AND(MOD(Z1,4)=0,(MOD(Z1,100)&lt;&gt;0))))),(DATE(Z1,2,29)),(DATE(Z1,2,28)))</f>
        <v>44620</v>
      </c>
      <c r="AD17" s="23">
        <f t="shared" si="6"/>
        <v>44620</v>
      </c>
      <c r="AE17" s="23">
        <f>NETWORKDAYS(AB17,AD17)</f>
        <v>20</v>
      </c>
    </row>
    <row r="18" spans="2:31" x14ac:dyDescent="0.3">
      <c r="B18" s="1"/>
      <c r="C18" s="8"/>
      <c r="D18" s="8"/>
      <c r="Y18" s="7" t="s">
        <v>4</v>
      </c>
      <c r="Z18">
        <v>0</v>
      </c>
      <c r="AA18" s="8">
        <f>DATE(Z1,3,1)</f>
        <v>44621</v>
      </c>
      <c r="AB18" s="23">
        <f t="shared" si="6"/>
        <v>44621</v>
      </c>
      <c r="AC18" s="8">
        <f>DATE(Z1,3,31)</f>
        <v>44651</v>
      </c>
      <c r="AD18" s="23">
        <f t="shared" si="6"/>
        <v>44651</v>
      </c>
      <c r="AE18" s="23">
        <f>NETWORKDAYS(AB18,AD18)</f>
        <v>23</v>
      </c>
    </row>
    <row r="19" spans="2:31" x14ac:dyDescent="0.3">
      <c r="C19" s="8"/>
      <c r="D19" s="8"/>
      <c r="Y19" s="7" t="s">
        <v>5</v>
      </c>
      <c r="Z19">
        <f>AE3-1+AE4-1</f>
        <v>1</v>
      </c>
      <c r="AA19" s="8">
        <f>DATE(Z1,4,1)</f>
        <v>44652</v>
      </c>
      <c r="AB19" s="23">
        <f t="shared" si="6"/>
        <v>44652</v>
      </c>
      <c r="AC19" s="8">
        <f>DATE(Z1,4,30)</f>
        <v>44681</v>
      </c>
      <c r="AD19" s="23">
        <f t="shared" si="6"/>
        <v>44681</v>
      </c>
      <c r="AE19" s="23">
        <f>NETWORKDAYS(AB19,AD19,Z4)</f>
        <v>20</v>
      </c>
    </row>
    <row r="20" spans="2:31" x14ac:dyDescent="0.3">
      <c r="D20" s="2" t="s">
        <v>109</v>
      </c>
      <c r="E20">
        <f t="shared" ref="E20:P20" si="7">SUM(E2:E19)</f>
        <v>10.24</v>
      </c>
      <c r="F20">
        <f t="shared" si="7"/>
        <v>10</v>
      </c>
      <c r="G20">
        <f t="shared" si="7"/>
        <v>10</v>
      </c>
      <c r="H20">
        <f t="shared" si="7"/>
        <v>10</v>
      </c>
      <c r="I20">
        <f t="shared" si="7"/>
        <v>10</v>
      </c>
      <c r="J20">
        <f t="shared" si="7"/>
        <v>10</v>
      </c>
      <c r="K20">
        <f t="shared" si="7"/>
        <v>10</v>
      </c>
      <c r="L20">
        <f t="shared" si="7"/>
        <v>10</v>
      </c>
      <c r="M20">
        <f t="shared" si="7"/>
        <v>10</v>
      </c>
      <c r="N20">
        <f t="shared" si="7"/>
        <v>10</v>
      </c>
      <c r="O20">
        <f t="shared" si="7"/>
        <v>10</v>
      </c>
      <c r="P20">
        <f t="shared" si="7"/>
        <v>10</v>
      </c>
      <c r="Y20" s="7" t="s">
        <v>6</v>
      </c>
      <c r="Z20">
        <f>AE5-1+AE6-1+AE7-1+AE8-1</f>
        <v>2</v>
      </c>
      <c r="AA20" s="8">
        <f>DATE(Z1,5,1)</f>
        <v>44682</v>
      </c>
      <c r="AB20" s="23">
        <f t="shared" si="6"/>
        <v>44682</v>
      </c>
      <c r="AC20" s="8">
        <f>DATE(Z1,5,31)</f>
        <v>44712</v>
      </c>
      <c r="AD20" s="23">
        <f t="shared" si="6"/>
        <v>44712</v>
      </c>
      <c r="AE20" s="23">
        <f>NETWORKDAYS(AB20,AD20,Z7:Z8)</f>
        <v>21</v>
      </c>
    </row>
    <row r="21" spans="2:31" x14ac:dyDescent="0.3">
      <c r="Y21" s="7" t="s">
        <v>7</v>
      </c>
      <c r="Z21">
        <v>0</v>
      </c>
      <c r="AA21" s="8">
        <f>DATE(Z1,6,1)</f>
        <v>44713</v>
      </c>
      <c r="AB21" s="23">
        <f t="shared" si="6"/>
        <v>44713</v>
      </c>
      <c r="AC21" s="8">
        <f>DATE(Z1,6,30)</f>
        <v>44742</v>
      </c>
      <c r="AD21" s="23">
        <f t="shared" si="6"/>
        <v>44742</v>
      </c>
      <c r="AE21" s="23">
        <f>NETWORKDAYS(AB21,AD21)</f>
        <v>22</v>
      </c>
    </row>
    <row r="22" spans="2:31" x14ac:dyDescent="0.3">
      <c r="D22" s="23">
        <f>IF((31/1/2021&lt;D2),(B2*1),0)</f>
        <v>1</v>
      </c>
      <c r="Y22" s="7" t="s">
        <v>8</v>
      </c>
      <c r="Z22">
        <f>AE9-1</f>
        <v>1</v>
      </c>
      <c r="AA22" s="8">
        <f>DATE(Z1,7,1)</f>
        <v>44743</v>
      </c>
      <c r="AB22" s="23">
        <f t="shared" si="6"/>
        <v>44743</v>
      </c>
      <c r="AC22" s="8">
        <f>DATE(Z1,7,31)</f>
        <v>44773</v>
      </c>
      <c r="AD22" s="23">
        <f t="shared" si="6"/>
        <v>44773</v>
      </c>
      <c r="AE22" s="23">
        <f>NETWORKDAYS(AB22,AD22,Z9)</f>
        <v>20</v>
      </c>
    </row>
    <row r="23" spans="2:31" x14ac:dyDescent="0.3">
      <c r="Y23" s="7" t="s">
        <v>9</v>
      </c>
      <c r="AA23" s="8">
        <f>DATE(Z1,8,1)</f>
        <v>44774</v>
      </c>
      <c r="AB23" s="23">
        <f t="shared" si="6"/>
        <v>44774</v>
      </c>
      <c r="AC23" s="8">
        <f>DATE(Z1,8,31)</f>
        <v>44804</v>
      </c>
      <c r="AD23" s="23">
        <f t="shared" si="6"/>
        <v>44804</v>
      </c>
      <c r="AE23" s="23">
        <f>NETWORKDAYS(AB23,AD23,Z10)</f>
        <v>22</v>
      </c>
    </row>
    <row r="24" spans="2:31" x14ac:dyDescent="0.3">
      <c r="Y24" s="7" t="s">
        <v>10</v>
      </c>
      <c r="Z24">
        <v>0</v>
      </c>
      <c r="AA24" s="8">
        <f>DATE(Z1,9,1)</f>
        <v>44805</v>
      </c>
      <c r="AB24" s="23">
        <f t="shared" si="6"/>
        <v>44805</v>
      </c>
      <c r="AC24" s="8">
        <f>DATE(Z1,9,30)</f>
        <v>44834</v>
      </c>
      <c r="AD24" s="23">
        <f t="shared" si="6"/>
        <v>44834</v>
      </c>
      <c r="AE24" s="23">
        <f>NETWORKDAYS(AB24,AD24)</f>
        <v>22</v>
      </c>
    </row>
    <row r="25" spans="2:31" x14ac:dyDescent="0.3">
      <c r="F25" s="3"/>
      <c r="Y25" s="7" t="s">
        <v>11</v>
      </c>
      <c r="Z25">
        <v>0</v>
      </c>
      <c r="AA25" s="8">
        <f>DATE(Z1,10,1)</f>
        <v>44835</v>
      </c>
      <c r="AB25" s="23">
        <f t="shared" si="6"/>
        <v>44835</v>
      </c>
      <c r="AC25" s="8">
        <f>DATE(Z1,10,31)</f>
        <v>44865</v>
      </c>
      <c r="AD25" s="23">
        <f t="shared" si="6"/>
        <v>44865</v>
      </c>
      <c r="AE25" s="23">
        <f>NETWORKDAYS(AB25,AD25)</f>
        <v>21</v>
      </c>
    </row>
    <row r="26" spans="2:31" x14ac:dyDescent="0.3">
      <c r="Y26" s="7" t="s">
        <v>12</v>
      </c>
      <c r="Z26">
        <f>AE11-1+AE12-1</f>
        <v>2</v>
      </c>
      <c r="AA26" s="8">
        <f>DATE(Z1,11,1)</f>
        <v>44866</v>
      </c>
      <c r="AB26" s="23">
        <f t="shared" si="6"/>
        <v>44866</v>
      </c>
      <c r="AC26" s="8">
        <f>DATE(Z1,11,30)</f>
        <v>44895</v>
      </c>
      <c r="AD26" s="23">
        <f t="shared" si="6"/>
        <v>44895</v>
      </c>
      <c r="AE26" s="23">
        <f>NETWORKDAYS(AB26,AD26,Z11:Z12)</f>
        <v>20</v>
      </c>
    </row>
    <row r="27" spans="2:31" x14ac:dyDescent="0.3">
      <c r="Y27" s="7" t="s">
        <v>13</v>
      </c>
      <c r="Z27">
        <f>AE13-1</f>
        <v>0</v>
      </c>
      <c r="AA27" s="8">
        <f>DATE(Z1,12,1)</f>
        <v>44896</v>
      </c>
      <c r="AB27" s="23">
        <f t="shared" si="6"/>
        <v>44896</v>
      </c>
      <c r="AC27" s="8">
        <f>DATE(Z1,12,31)</f>
        <v>44926</v>
      </c>
      <c r="AD27" s="23">
        <f t="shared" si="6"/>
        <v>44926</v>
      </c>
      <c r="AE27" s="23">
        <f>NETWORKDAYS(AB27,AD27)</f>
        <v>22</v>
      </c>
    </row>
    <row r="28" spans="2:31" x14ac:dyDescent="0.3">
      <c r="AA28" s="8">
        <f>DATE(Z1+1,1,1)</f>
        <v>44927</v>
      </c>
      <c r="AB28" s="23">
        <f t="shared" si="6"/>
        <v>44927</v>
      </c>
      <c r="AC28" s="8">
        <f>DATE(Z1+1,1,31)</f>
        <v>44957</v>
      </c>
      <c r="AD28" s="23">
        <f t="shared" si="6"/>
        <v>44957</v>
      </c>
      <c r="AE28" s="23">
        <f>NETWORKDAYS(AB28,AD28)</f>
        <v>22</v>
      </c>
    </row>
    <row r="29" spans="2:31" x14ac:dyDescent="0.3">
      <c r="AA29" s="8">
        <f>DATE(Z1+1,2,1)</f>
        <v>44958</v>
      </c>
      <c r="AB29" s="23">
        <f t="shared" si="6"/>
        <v>44958</v>
      </c>
      <c r="AC29" s="8">
        <f>IF((OR(MOD(Z1+1,400)=0,(AND(MOD(Z1+1,4)=0,(MOD(Z1+1,100)&lt;&gt;0))))),(DATE(Z1+1,2,29)),(DATE(Z1+1,2,28)))</f>
        <v>44985</v>
      </c>
      <c r="AD29" s="23">
        <f t="shared" si="6"/>
        <v>44985</v>
      </c>
      <c r="AE29" s="23">
        <f>NETWORKDAYS(AB29,AD29)</f>
        <v>20</v>
      </c>
    </row>
    <row r="30" spans="2:31" x14ac:dyDescent="0.3">
      <c r="AA30" s="8">
        <f>DATE(Z1+1,3,1)</f>
        <v>44986</v>
      </c>
      <c r="AB30" s="23">
        <f t="shared" si="6"/>
        <v>44986</v>
      </c>
      <c r="AC30" s="8">
        <f>DATE(Z1+1,3,31)</f>
        <v>45016</v>
      </c>
      <c r="AD30" s="23">
        <f t="shared" si="6"/>
        <v>45016</v>
      </c>
      <c r="AE30" s="23">
        <f>NETWORKDAYS(AB30,AD30)</f>
        <v>23</v>
      </c>
    </row>
    <row r="31" spans="2:31" x14ac:dyDescent="0.3">
      <c r="AA31" s="8">
        <f>DATE(Z1+1,4,1)</f>
        <v>45017</v>
      </c>
      <c r="AB31" s="23">
        <f t="shared" si="6"/>
        <v>45017</v>
      </c>
      <c r="AC31" s="8">
        <f>DATE(Z1+1,4,30)</f>
        <v>45046</v>
      </c>
      <c r="AD31" s="23">
        <f t="shared" si="6"/>
        <v>45046</v>
      </c>
      <c r="AE31" s="23">
        <f>NETWORKDAYS(AB31,AD31,AC35)</f>
        <v>19</v>
      </c>
    </row>
    <row r="35" spans="29:29" x14ac:dyDescent="0.3">
      <c r="AC35" s="10">
        <f>(FLOOR(DAY(MINUTE(Z1+1/38)/2+56)&amp;"/5/"&amp;Z1+1,7)-34)+1</f>
        <v>45026</v>
      </c>
    </row>
  </sheetData>
  <phoneticPr fontId="2" type="noConversion"/>
  <pageMargins left="0.7" right="0.7" top="0.75" bottom="0.75" header="0.3" footer="0.3"/>
  <pageSetup orientation="portrait" r:id="rId1"/>
  <headerFooter>
    <oddFooter>&amp;R&amp;1#&amp;"Calibri"&amp;10&amp;K0000FFClassification : Internal</oddFooter>
  </headerFooter>
  <ignoredErrors>
    <ignoredError sqref="AC16:AC22 AE17 AE22 AE26 AC24:AC27" formula="1"/>
    <ignoredError xmlns:x16r3="http://schemas.microsoft.com/office/spreadsheetml/2018/08/main" sqref="AB2:AB13 AB16:AB22 AD16:AD22 AB24:AB31 AD24:AD27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B7D6-8F49-44B4-837C-90DC6151067F}">
  <sheetPr filterMode="1">
    <tabColor rgb="FF00B050"/>
  </sheetPr>
  <dimension ref="A1:BQ96"/>
  <sheetViews>
    <sheetView tabSelected="1" topLeftCell="C1" zoomScale="80" zoomScaleNormal="80" workbookViewId="0">
      <pane xSplit="7" ySplit="2" topLeftCell="J3" activePane="bottomRight" state="frozen"/>
      <selection pane="topRight" activeCell="M1" sqref="M1"/>
      <selection pane="bottomLeft" activeCell="G2" sqref="G2"/>
      <selection pane="bottomRight" activeCell="K103" sqref="K103"/>
    </sheetView>
  </sheetViews>
  <sheetFormatPr baseColWidth="10" defaultColWidth="11.44140625" defaultRowHeight="14.4" outlineLevelCol="1" x14ac:dyDescent="0.3"/>
  <cols>
    <col min="1" max="1" width="23.6640625" style="15" bestFit="1" customWidth="1"/>
    <col min="2" max="2" width="69.5546875" style="15" customWidth="1"/>
    <col min="3" max="3" width="14.44140625" style="15" customWidth="1" outlineLevel="1"/>
    <col min="4" max="4" width="47.33203125" style="17" customWidth="1"/>
    <col min="5" max="5" width="18.88671875" style="15" customWidth="1"/>
    <col min="6" max="6" width="15.109375" style="15" hidden="1" customWidth="1"/>
    <col min="7" max="7" width="11.6640625" style="15" hidden="1" customWidth="1"/>
    <col min="8" max="8" width="12.5546875" style="15" hidden="1" customWidth="1"/>
    <col min="9" max="9" width="29.44140625" style="15" bestFit="1" customWidth="1"/>
    <col min="10" max="10" width="18" style="15" customWidth="1"/>
    <col min="11" max="11" width="12.33203125" style="15" customWidth="1"/>
    <col min="12" max="12" width="11.5546875" style="15" customWidth="1"/>
    <col min="13" max="13" width="11.109375" style="15" bestFit="1" customWidth="1"/>
    <col min="14" max="14" width="11.44140625" style="15" bestFit="1" customWidth="1"/>
    <col min="15" max="15" width="14" style="15" customWidth="1"/>
    <col min="16" max="16" width="10.44140625" style="15" bestFit="1" customWidth="1"/>
    <col min="17" max="17" width="11.109375" style="15" bestFit="1" customWidth="1"/>
    <col min="18" max="18" width="10.44140625" style="15" bestFit="1" customWidth="1"/>
    <col min="19" max="20" width="15" style="15" customWidth="1"/>
    <col min="21" max="22" width="10.6640625" style="15" customWidth="1"/>
    <col min="23" max="23" width="11.109375" style="15" customWidth="1"/>
    <col min="24" max="25" width="11.5546875" style="15" customWidth="1"/>
    <col min="26" max="16384" width="11.44140625" style="15"/>
  </cols>
  <sheetData>
    <row r="1" spans="1:69" ht="15" thickBot="1" x14ac:dyDescent="0.35">
      <c r="J1" s="49" t="s">
        <v>2</v>
      </c>
      <c r="K1" s="49"/>
      <c r="L1" s="49"/>
      <c r="M1" s="49"/>
      <c r="N1" s="49"/>
      <c r="O1" s="49" t="s">
        <v>14</v>
      </c>
      <c r="P1" s="49"/>
      <c r="Q1" s="49"/>
      <c r="R1" s="49"/>
      <c r="S1" s="49"/>
      <c r="T1" s="49" t="s">
        <v>15</v>
      </c>
      <c r="U1" s="49"/>
      <c r="V1" s="49"/>
      <c r="W1" s="49"/>
      <c r="X1" s="50"/>
      <c r="Y1" s="51" t="s">
        <v>16</v>
      </c>
      <c r="Z1" s="52"/>
      <c r="AA1" s="52"/>
      <c r="AB1" s="52"/>
      <c r="AC1" s="53"/>
      <c r="AD1" s="54" t="s">
        <v>17</v>
      </c>
      <c r="AE1" s="55"/>
      <c r="AF1" s="55"/>
      <c r="AG1" s="55"/>
      <c r="AH1" s="56"/>
      <c r="AI1" s="46" t="s">
        <v>18</v>
      </c>
      <c r="AJ1" s="47"/>
      <c r="AK1" s="47"/>
      <c r="AL1" s="47"/>
      <c r="AM1" s="48"/>
      <c r="AN1" s="46" t="s">
        <v>19</v>
      </c>
      <c r="AO1" s="47"/>
      <c r="AP1" s="47"/>
      <c r="AQ1" s="47"/>
      <c r="AR1" s="48"/>
      <c r="AS1" s="46" t="s">
        <v>20</v>
      </c>
      <c r="AT1" s="47"/>
      <c r="AU1" s="47"/>
      <c r="AV1" s="47"/>
      <c r="AW1" s="48"/>
      <c r="AX1" s="46" t="s">
        <v>21</v>
      </c>
      <c r="AY1" s="47"/>
      <c r="AZ1" s="47"/>
      <c r="BA1" s="47"/>
      <c r="BB1" s="48"/>
      <c r="BC1" s="46" t="s">
        <v>145</v>
      </c>
      <c r="BD1" s="47"/>
      <c r="BE1" s="47"/>
      <c r="BF1" s="47"/>
      <c r="BG1" s="48"/>
      <c r="BH1" s="46" t="s">
        <v>146</v>
      </c>
      <c r="BI1" s="47"/>
      <c r="BJ1" s="47"/>
      <c r="BK1" s="47"/>
      <c r="BL1" s="48"/>
      <c r="BM1" s="57" t="s">
        <v>147</v>
      </c>
      <c r="BN1" s="58"/>
      <c r="BO1" s="58"/>
      <c r="BP1" s="58"/>
      <c r="BQ1" s="58"/>
    </row>
    <row r="2" spans="1:69" ht="28.8" x14ac:dyDescent="0.3">
      <c r="A2" s="13" t="s">
        <v>148</v>
      </c>
      <c r="B2" s="13" t="s">
        <v>149</v>
      </c>
      <c r="C2" s="14" t="s">
        <v>150</v>
      </c>
      <c r="D2" s="22" t="s">
        <v>151</v>
      </c>
      <c r="E2" s="14" t="s">
        <v>110</v>
      </c>
      <c r="F2" s="14" t="s">
        <v>111</v>
      </c>
      <c r="G2" s="13" t="s">
        <v>152</v>
      </c>
      <c r="H2" s="13" t="s">
        <v>153</v>
      </c>
      <c r="I2" s="30" t="s">
        <v>22</v>
      </c>
      <c r="J2" s="41" t="s">
        <v>23</v>
      </c>
      <c r="K2" s="42" t="s">
        <v>24</v>
      </c>
      <c r="L2" s="42" t="s">
        <v>25</v>
      </c>
      <c r="M2" s="42" t="s">
        <v>26</v>
      </c>
      <c r="N2" s="43" t="s">
        <v>27</v>
      </c>
      <c r="O2" s="41" t="s">
        <v>28</v>
      </c>
      <c r="P2" s="42" t="s">
        <v>29</v>
      </c>
      <c r="Q2" s="42" t="s">
        <v>30</v>
      </c>
      <c r="R2" s="42" t="s">
        <v>31</v>
      </c>
      <c r="S2" s="43" t="s">
        <v>32</v>
      </c>
      <c r="T2" s="44" t="s">
        <v>33</v>
      </c>
      <c r="U2" s="42" t="s">
        <v>34</v>
      </c>
      <c r="V2" s="42" t="s">
        <v>35</v>
      </c>
      <c r="W2" s="42" t="s">
        <v>36</v>
      </c>
      <c r="X2" s="42" t="s">
        <v>37</v>
      </c>
      <c r="Y2" s="42" t="s">
        <v>38</v>
      </c>
      <c r="Z2" s="42" t="s">
        <v>39</v>
      </c>
      <c r="AA2" s="42" t="s">
        <v>40</v>
      </c>
      <c r="AB2" s="42" t="s">
        <v>41</v>
      </c>
      <c r="AC2" s="42" t="s">
        <v>42</v>
      </c>
      <c r="AD2" s="42" t="s">
        <v>43</v>
      </c>
      <c r="AE2" s="42" t="s">
        <v>44</v>
      </c>
      <c r="AF2" s="42" t="s">
        <v>45</v>
      </c>
      <c r="AG2" s="42" t="s">
        <v>46</v>
      </c>
      <c r="AH2" s="42" t="s">
        <v>47</v>
      </c>
      <c r="AI2" s="42" t="s">
        <v>48</v>
      </c>
      <c r="AJ2" s="42" t="s">
        <v>49</v>
      </c>
      <c r="AK2" s="42" t="s">
        <v>50</v>
      </c>
      <c r="AL2" s="42" t="s">
        <v>51</v>
      </c>
      <c r="AM2" s="42" t="s">
        <v>52</v>
      </c>
      <c r="AN2" s="42" t="s">
        <v>53</v>
      </c>
      <c r="AO2" s="42" t="s">
        <v>54</v>
      </c>
      <c r="AP2" s="42" t="s">
        <v>55</v>
      </c>
      <c r="AQ2" s="42" t="s">
        <v>56</v>
      </c>
      <c r="AR2" s="42" t="s">
        <v>57</v>
      </c>
      <c r="AS2" s="42" t="s">
        <v>58</v>
      </c>
      <c r="AT2" s="42" t="s">
        <v>59</v>
      </c>
      <c r="AU2" s="42" t="s">
        <v>60</v>
      </c>
      <c r="AV2" s="42" t="s">
        <v>61</v>
      </c>
      <c r="AW2" s="42" t="s">
        <v>62</v>
      </c>
      <c r="AX2" s="42" t="s">
        <v>63</v>
      </c>
      <c r="AY2" s="42" t="s">
        <v>64</v>
      </c>
      <c r="AZ2" s="42" t="s">
        <v>65</v>
      </c>
      <c r="BA2" s="42" t="s">
        <v>66</v>
      </c>
      <c r="BB2" s="42" t="s">
        <v>67</v>
      </c>
      <c r="BC2" s="42" t="s">
        <v>68</v>
      </c>
      <c r="BD2" s="42" t="s">
        <v>69</v>
      </c>
      <c r="BE2" s="42" t="s">
        <v>70</v>
      </c>
      <c r="BF2" s="42" t="s">
        <v>71</v>
      </c>
      <c r="BG2" s="42" t="s">
        <v>72</v>
      </c>
      <c r="BH2" s="42" t="s">
        <v>73</v>
      </c>
      <c r="BI2" s="42" t="s">
        <v>74</v>
      </c>
      <c r="BJ2" s="42" t="s">
        <v>75</v>
      </c>
      <c r="BK2" s="42" t="s">
        <v>76</v>
      </c>
      <c r="BL2" s="42" t="s">
        <v>77</v>
      </c>
      <c r="BM2" s="27" t="s">
        <v>78</v>
      </c>
      <c r="BN2" s="27" t="s">
        <v>79</v>
      </c>
      <c r="BO2" s="27" t="s">
        <v>80</v>
      </c>
      <c r="BP2" s="27" t="s">
        <v>81</v>
      </c>
      <c r="BQ2" s="27" t="s">
        <v>82</v>
      </c>
    </row>
    <row r="3" spans="1:69" x14ac:dyDescent="0.3">
      <c r="A3" s="12"/>
      <c r="B3" s="12"/>
      <c r="C3" s="28">
        <f t="shared" ref="C3:C11" si="0">SUM(J3:BQ3)</f>
        <v>45.5</v>
      </c>
      <c r="D3" s="18" t="s">
        <v>154</v>
      </c>
      <c r="E3" s="12" t="s">
        <v>117</v>
      </c>
      <c r="F3" s="12"/>
      <c r="G3" s="16"/>
      <c r="H3" s="16"/>
      <c r="I3" s="38" t="s">
        <v>83</v>
      </c>
      <c r="J3" s="24"/>
      <c r="K3" s="24"/>
      <c r="L3" s="24"/>
      <c r="M3" s="24"/>
      <c r="N3" s="24"/>
      <c r="O3" s="24">
        <f>5</f>
        <v>5</v>
      </c>
      <c r="P3" s="24"/>
      <c r="Q3" s="24"/>
      <c r="R3" s="24"/>
      <c r="S3" s="34"/>
      <c r="T3" s="31">
        <f>0.5</f>
        <v>0.5</v>
      </c>
      <c r="U3" s="24"/>
      <c r="V3" s="24"/>
      <c r="W3" s="24"/>
      <c r="X3" s="24"/>
      <c r="Y3" s="39">
        <v>7</v>
      </c>
      <c r="Z3" s="39"/>
      <c r="AA3" s="39"/>
      <c r="AB3" s="39"/>
      <c r="AC3" s="39"/>
      <c r="AD3" s="24"/>
      <c r="AE3" s="24"/>
      <c r="AF3" s="24">
        <v>2.5</v>
      </c>
      <c r="AG3" s="24">
        <v>4</v>
      </c>
      <c r="AH3" s="24"/>
      <c r="AI3" s="40">
        <f>2.5</f>
        <v>2.5</v>
      </c>
      <c r="AJ3" s="40"/>
      <c r="AK3" s="40" t="s">
        <v>155</v>
      </c>
      <c r="AL3" s="40"/>
      <c r="AM3" s="40"/>
      <c r="AN3" s="24" t="s">
        <v>155</v>
      </c>
      <c r="AO3" s="24">
        <v>1</v>
      </c>
      <c r="AP3" s="24">
        <v>4</v>
      </c>
      <c r="AQ3" s="24">
        <v>5</v>
      </c>
      <c r="AR3" s="24">
        <v>5</v>
      </c>
      <c r="AS3" s="24">
        <v>5</v>
      </c>
      <c r="AT3" s="24"/>
      <c r="AU3" s="24">
        <v>4</v>
      </c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  <row r="4" spans="1:69" ht="14.4" hidden="1" customHeight="1" x14ac:dyDescent="0.3">
      <c r="A4" s="12"/>
      <c r="B4" s="12"/>
      <c r="C4" s="28">
        <f t="shared" si="0"/>
        <v>61.4375</v>
      </c>
      <c r="D4" s="18" t="s">
        <v>154</v>
      </c>
      <c r="E4" s="12" t="s">
        <v>121</v>
      </c>
      <c r="F4" s="12"/>
      <c r="G4" s="16"/>
      <c r="H4" s="16"/>
      <c r="I4" s="38" t="s">
        <v>83</v>
      </c>
      <c r="J4" s="33">
        <f>1.3125+11.375-4-0.125-0.125</f>
        <v>8.4375</v>
      </c>
      <c r="K4" s="24"/>
      <c r="L4" s="24"/>
      <c r="M4" s="24"/>
      <c r="N4" s="34"/>
      <c r="O4" s="24">
        <f>0.875+12.6875-2-0.1875</f>
        <v>11.375</v>
      </c>
      <c r="P4" s="24"/>
      <c r="Q4" s="24"/>
      <c r="R4" s="24"/>
      <c r="S4" s="34"/>
      <c r="T4" s="31">
        <f>22.5625-7-0.25+2.8125</f>
        <v>18.125</v>
      </c>
      <c r="U4" s="24"/>
      <c r="V4" s="24"/>
      <c r="W4" s="24"/>
      <c r="X4" s="24"/>
      <c r="Y4" s="39">
        <v>9</v>
      </c>
      <c r="Z4" s="39"/>
      <c r="AA4" s="39"/>
      <c r="AB4" s="39"/>
      <c r="AC4" s="39"/>
      <c r="AD4" s="24">
        <f>1.25+0.375+3.375</f>
        <v>5</v>
      </c>
      <c r="AE4" s="24"/>
      <c r="AF4" s="24"/>
      <c r="AG4" s="24"/>
      <c r="AH4" s="24"/>
      <c r="AI4" s="40">
        <f>2.375+2.9375+4.1875</f>
        <v>9.5</v>
      </c>
      <c r="AJ4" s="40" t="s">
        <v>155</v>
      </c>
      <c r="AK4" s="40" t="s">
        <v>155</v>
      </c>
      <c r="AL4" s="40" t="s">
        <v>155</v>
      </c>
      <c r="AM4" s="40" t="s">
        <v>155</v>
      </c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</row>
    <row r="5" spans="1:69" ht="14.4" hidden="1" customHeight="1" x14ac:dyDescent="0.3">
      <c r="A5" s="12"/>
      <c r="B5" s="12"/>
      <c r="C5" s="28">
        <f t="shared" si="0"/>
        <v>0.75</v>
      </c>
      <c r="D5" s="18" t="s">
        <v>154</v>
      </c>
      <c r="E5" s="12" t="s">
        <v>131</v>
      </c>
      <c r="F5" s="12"/>
      <c r="G5" s="16"/>
      <c r="H5" s="16"/>
      <c r="I5" s="38" t="s">
        <v>83</v>
      </c>
      <c r="J5" s="33">
        <f>0.25+0.5</f>
        <v>0.75</v>
      </c>
      <c r="K5" s="24"/>
      <c r="L5" s="24"/>
      <c r="M5" s="24"/>
      <c r="N5" s="34"/>
      <c r="O5" s="24"/>
      <c r="P5" s="24"/>
      <c r="Q5" s="24"/>
      <c r="R5" s="24"/>
      <c r="S5" s="34"/>
      <c r="T5" s="31"/>
      <c r="U5" s="24"/>
      <c r="V5" s="24"/>
      <c r="W5" s="24"/>
      <c r="X5" s="24"/>
      <c r="Y5" s="39"/>
      <c r="Z5" s="39"/>
      <c r="AA5" s="39"/>
      <c r="AB5" s="39"/>
      <c r="AC5" s="39"/>
      <c r="AD5" s="24"/>
      <c r="AE5" s="24"/>
      <c r="AF5" s="24"/>
      <c r="AG5" s="24"/>
      <c r="AH5" s="24"/>
      <c r="AI5" s="40"/>
      <c r="AJ5" s="40"/>
      <c r="AK5" s="40"/>
      <c r="AL5" s="40"/>
      <c r="AM5" s="40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</row>
    <row r="6" spans="1:69" ht="14.4" hidden="1" customHeight="1" x14ac:dyDescent="0.3">
      <c r="A6" s="12"/>
      <c r="B6" s="12"/>
      <c r="C6" s="28">
        <f t="shared" si="0"/>
        <v>14.1875</v>
      </c>
      <c r="D6" s="18"/>
      <c r="E6" s="12" t="s">
        <v>126</v>
      </c>
      <c r="F6" s="12"/>
      <c r="G6" s="16"/>
      <c r="H6" s="16"/>
      <c r="I6" s="38" t="s">
        <v>83</v>
      </c>
      <c r="J6" s="33">
        <f>7+4.3125</f>
        <v>11.3125</v>
      </c>
      <c r="K6" s="24"/>
      <c r="L6" s="24"/>
      <c r="M6" s="24"/>
      <c r="N6" s="34"/>
      <c r="O6" s="24">
        <f>2.875</f>
        <v>2.875</v>
      </c>
      <c r="P6" s="24"/>
      <c r="Q6" s="24"/>
      <c r="R6" s="24"/>
      <c r="S6" s="34"/>
      <c r="T6" s="31"/>
      <c r="U6" s="24"/>
      <c r="V6" s="24"/>
      <c r="W6" s="24"/>
      <c r="X6" s="24"/>
      <c r="Y6" s="39"/>
      <c r="Z6" s="39"/>
      <c r="AA6" s="39"/>
      <c r="AB6" s="39"/>
      <c r="AC6" s="39"/>
      <c r="AD6" s="24"/>
      <c r="AE6" s="24"/>
      <c r="AF6" s="24"/>
      <c r="AG6" s="24"/>
      <c r="AH6" s="24"/>
      <c r="AI6" s="40"/>
      <c r="AJ6" s="40"/>
      <c r="AK6" s="40"/>
      <c r="AL6" s="40"/>
      <c r="AM6" s="40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</row>
    <row r="7" spans="1:69" ht="14.4" hidden="1" customHeight="1" x14ac:dyDescent="0.3">
      <c r="A7" s="12"/>
      <c r="B7" s="12"/>
      <c r="C7" s="28">
        <f t="shared" si="0"/>
        <v>73.5</v>
      </c>
      <c r="D7" s="18" t="s">
        <v>156</v>
      </c>
      <c r="E7" s="12" t="s">
        <v>126</v>
      </c>
      <c r="F7" s="12" t="s">
        <v>118</v>
      </c>
      <c r="G7" s="16"/>
      <c r="H7" s="16"/>
      <c r="I7" s="38" t="s">
        <v>83</v>
      </c>
      <c r="J7" s="33"/>
      <c r="K7" s="24"/>
      <c r="L7" s="24"/>
      <c r="M7" s="24"/>
      <c r="N7" s="34"/>
      <c r="O7" s="24"/>
      <c r="P7" s="24"/>
      <c r="Q7" s="24"/>
      <c r="R7" s="24"/>
      <c r="S7" s="34"/>
      <c r="T7" s="31">
        <f>2</f>
        <v>2</v>
      </c>
      <c r="U7" s="24"/>
      <c r="V7" s="24"/>
      <c r="W7" s="24"/>
      <c r="X7" s="24"/>
      <c r="Y7" s="39">
        <v>1</v>
      </c>
      <c r="Z7" s="39"/>
      <c r="AA7" s="39"/>
      <c r="AB7" s="39"/>
      <c r="AC7" s="39"/>
      <c r="AD7" s="24">
        <f>7.5</f>
        <v>7.5</v>
      </c>
      <c r="AE7" s="24"/>
      <c r="AF7" s="24"/>
      <c r="AG7" s="24"/>
      <c r="AH7" s="24"/>
      <c r="AI7" s="40">
        <v>9</v>
      </c>
      <c r="AJ7" s="40" t="s">
        <v>155</v>
      </c>
      <c r="AK7" s="40" t="s">
        <v>155</v>
      </c>
      <c r="AL7" s="40" t="s">
        <v>155</v>
      </c>
      <c r="AM7" s="40" t="s">
        <v>155</v>
      </c>
      <c r="AN7" s="24">
        <v>1</v>
      </c>
      <c r="AO7" s="24">
        <v>3</v>
      </c>
      <c r="AP7" s="24"/>
      <c r="AQ7" s="24"/>
      <c r="AR7" s="24"/>
      <c r="AS7" s="24"/>
      <c r="AT7" s="24"/>
      <c r="AU7" s="24"/>
      <c r="AV7" s="24">
        <v>3</v>
      </c>
      <c r="AW7" s="24">
        <v>2</v>
      </c>
      <c r="AX7" s="24">
        <v>2</v>
      </c>
      <c r="AY7" s="24">
        <v>2</v>
      </c>
      <c r="AZ7" s="24">
        <v>3</v>
      </c>
      <c r="BA7" s="24">
        <v>3</v>
      </c>
      <c r="BB7" s="24">
        <v>3</v>
      </c>
      <c r="BC7" s="24">
        <v>3</v>
      </c>
      <c r="BD7" s="24">
        <v>3</v>
      </c>
      <c r="BE7" s="24">
        <v>3</v>
      </c>
      <c r="BF7" s="24">
        <v>3</v>
      </c>
      <c r="BG7" s="24"/>
      <c r="BH7" s="24">
        <v>3</v>
      </c>
      <c r="BI7" s="24">
        <v>3</v>
      </c>
      <c r="BJ7" s="24">
        <v>3</v>
      </c>
      <c r="BK7" s="24">
        <v>3</v>
      </c>
      <c r="BL7" s="24">
        <v>3</v>
      </c>
      <c r="BM7" s="24">
        <v>2</v>
      </c>
      <c r="BN7" s="24">
        <v>3</v>
      </c>
      <c r="BO7" s="24"/>
      <c r="BP7" s="24"/>
      <c r="BQ7" s="24"/>
    </row>
    <row r="8" spans="1:69" ht="14.4" hidden="1" customHeight="1" x14ac:dyDescent="0.3">
      <c r="A8" s="12"/>
      <c r="B8" s="12"/>
      <c r="C8" s="28">
        <f t="shared" si="0"/>
        <v>0</v>
      </c>
      <c r="D8" s="18" t="s">
        <v>157</v>
      </c>
      <c r="E8" s="12" t="s">
        <v>126</v>
      </c>
      <c r="F8" s="12"/>
      <c r="G8" s="16"/>
      <c r="H8" s="16"/>
      <c r="I8" s="38" t="s">
        <v>83</v>
      </c>
      <c r="J8" s="33"/>
      <c r="K8" s="24"/>
      <c r="L8" s="24"/>
      <c r="M8" s="24"/>
      <c r="N8" s="34"/>
      <c r="O8" s="24"/>
      <c r="P8" s="24"/>
      <c r="Q8" s="24"/>
      <c r="R8" s="24"/>
      <c r="S8" s="34"/>
      <c r="T8" s="31"/>
      <c r="U8" s="24"/>
      <c r="V8" s="24"/>
      <c r="W8" s="24"/>
      <c r="X8" s="24"/>
      <c r="Y8" s="39"/>
      <c r="Z8" s="39"/>
      <c r="AA8" s="39"/>
      <c r="AB8" s="39"/>
      <c r="AC8" s="39"/>
      <c r="AD8" s="24"/>
      <c r="AE8" s="24"/>
      <c r="AF8" s="24"/>
      <c r="AG8" s="24"/>
      <c r="AH8" s="24"/>
      <c r="AI8" s="40"/>
      <c r="AJ8" s="40"/>
      <c r="AK8" s="40"/>
      <c r="AL8" s="40"/>
      <c r="AM8" s="40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</row>
    <row r="9" spans="1:69" ht="14.4" hidden="1" customHeight="1" x14ac:dyDescent="0.3">
      <c r="A9" s="12"/>
      <c r="B9" s="12"/>
      <c r="C9" s="28">
        <f t="shared" si="0"/>
        <v>0.5625</v>
      </c>
      <c r="D9" s="18" t="s">
        <v>158</v>
      </c>
      <c r="E9" s="12" t="s">
        <v>126</v>
      </c>
      <c r="F9" s="12"/>
      <c r="G9" s="16"/>
      <c r="H9" s="16"/>
      <c r="I9" s="38" t="s">
        <v>83</v>
      </c>
      <c r="J9" s="33"/>
      <c r="K9" s="24"/>
      <c r="L9" s="24"/>
      <c r="M9" s="24"/>
      <c r="N9" s="34"/>
      <c r="O9" s="24"/>
      <c r="P9" s="24"/>
      <c r="Q9" s="24"/>
      <c r="R9" s="24"/>
      <c r="S9" s="34"/>
      <c r="T9" s="31">
        <f>0.5625</f>
        <v>0.5625</v>
      </c>
      <c r="U9" s="24"/>
      <c r="V9" s="24"/>
      <c r="W9" s="24"/>
      <c r="X9" s="24"/>
      <c r="Y9" s="39"/>
      <c r="Z9" s="39"/>
      <c r="AA9" s="39"/>
      <c r="AB9" s="39"/>
      <c r="AC9" s="39"/>
      <c r="AD9" s="24"/>
      <c r="AE9" s="24"/>
      <c r="AF9" s="24"/>
      <c r="AG9" s="24"/>
      <c r="AH9" s="24"/>
      <c r="AI9" s="40"/>
      <c r="AJ9" s="40"/>
      <c r="AK9" s="40"/>
      <c r="AL9" s="40"/>
      <c r="AM9" s="40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</row>
    <row r="10" spans="1:69" ht="14.4" hidden="1" customHeight="1" x14ac:dyDescent="0.3">
      <c r="A10" s="12"/>
      <c r="B10" s="12"/>
      <c r="C10" s="28">
        <f t="shared" si="0"/>
        <v>4.5</v>
      </c>
      <c r="D10" s="18" t="s">
        <v>159</v>
      </c>
      <c r="E10" s="12" t="s">
        <v>126</v>
      </c>
      <c r="F10" s="12" t="s">
        <v>118</v>
      </c>
      <c r="G10" s="16"/>
      <c r="H10" s="16"/>
      <c r="I10" s="38" t="s">
        <v>83</v>
      </c>
      <c r="J10" s="33"/>
      <c r="K10" s="24"/>
      <c r="L10" s="24"/>
      <c r="M10" s="24"/>
      <c r="N10" s="34"/>
      <c r="O10" s="24"/>
      <c r="P10" s="24"/>
      <c r="Q10" s="24"/>
      <c r="R10" s="24"/>
      <c r="S10" s="34"/>
      <c r="T10" s="31"/>
      <c r="U10" s="24"/>
      <c r="V10" s="24"/>
      <c r="W10" s="24"/>
      <c r="X10" s="24"/>
      <c r="Y10" s="39">
        <v>2.5</v>
      </c>
      <c r="Z10" s="39"/>
      <c r="AA10" s="39"/>
      <c r="AB10" s="39"/>
      <c r="AC10" s="39"/>
      <c r="AD10" s="24">
        <v>1</v>
      </c>
      <c r="AE10" s="24">
        <v>1</v>
      </c>
      <c r="AF10" s="24"/>
      <c r="AG10" s="24"/>
      <c r="AH10" s="24"/>
      <c r="AI10" s="40"/>
      <c r="AJ10" s="40"/>
      <c r="AK10" s="40"/>
      <c r="AL10" s="40"/>
      <c r="AM10" s="40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</row>
    <row r="11" spans="1:69" ht="14.4" hidden="1" customHeight="1" x14ac:dyDescent="0.3">
      <c r="A11" s="12"/>
      <c r="B11" s="12"/>
      <c r="C11" s="28">
        <f t="shared" si="0"/>
        <v>4.3125</v>
      </c>
      <c r="D11" s="18" t="s">
        <v>154</v>
      </c>
      <c r="E11" s="12" t="s">
        <v>1</v>
      </c>
      <c r="F11" s="12"/>
      <c r="G11" s="16"/>
      <c r="H11" s="16"/>
      <c r="I11" s="38" t="s">
        <v>83</v>
      </c>
      <c r="J11" s="33">
        <v>0.5</v>
      </c>
      <c r="K11" s="24"/>
      <c r="L11" s="24"/>
      <c r="M11" s="24"/>
      <c r="N11" s="34"/>
      <c r="O11" s="24">
        <f>0.75</f>
        <v>0.75</v>
      </c>
      <c r="P11" s="24"/>
      <c r="Q11" s="24"/>
      <c r="R11" s="24"/>
      <c r="S11" s="34"/>
      <c r="T11" s="31">
        <f>2.5625</f>
        <v>2.5625</v>
      </c>
      <c r="U11" s="24"/>
      <c r="V11" s="24"/>
      <c r="W11" s="24"/>
      <c r="X11" s="24"/>
      <c r="Y11" s="39">
        <f>0.5</f>
        <v>0.5</v>
      </c>
      <c r="Z11" s="39"/>
      <c r="AA11" s="39"/>
      <c r="AB11" s="39"/>
      <c r="AC11" s="39"/>
      <c r="AD11" s="24"/>
      <c r="AE11" s="24"/>
      <c r="AF11" s="24"/>
      <c r="AG11" s="24"/>
      <c r="AH11" s="24"/>
      <c r="AI11" s="40"/>
      <c r="AJ11" s="40"/>
      <c r="AK11" s="40"/>
      <c r="AL11" s="40"/>
      <c r="AM11" s="40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</row>
    <row r="12" spans="1:69" x14ac:dyDescent="0.3">
      <c r="A12" s="12" t="s">
        <v>160</v>
      </c>
      <c r="B12" s="19" t="s">
        <v>161</v>
      </c>
      <c r="C12" s="28">
        <f t="shared" ref="C12:C35" si="1">SUM(J12:BQ12)</f>
        <v>19</v>
      </c>
      <c r="D12" s="18" t="s">
        <v>154</v>
      </c>
      <c r="E12" s="12" t="s">
        <v>117</v>
      </c>
      <c r="F12" s="12"/>
      <c r="G12" s="16">
        <v>44562</v>
      </c>
      <c r="H12" s="16">
        <v>44926</v>
      </c>
      <c r="I12" s="38" t="s">
        <v>84</v>
      </c>
      <c r="J12" s="24"/>
      <c r="K12" s="24"/>
      <c r="L12" s="24"/>
      <c r="M12" s="24"/>
      <c r="N12" s="24"/>
      <c r="O12" s="24"/>
      <c r="P12" s="24"/>
      <c r="Q12" s="24"/>
      <c r="R12" s="24"/>
      <c r="S12" s="34"/>
      <c r="T12" s="31">
        <f>1</f>
        <v>1</v>
      </c>
      <c r="U12" s="24"/>
      <c r="V12" s="24"/>
      <c r="W12" s="24"/>
      <c r="X12" s="24"/>
      <c r="Y12" s="39"/>
      <c r="Z12" s="39"/>
      <c r="AA12" s="39"/>
      <c r="AB12" s="39"/>
      <c r="AC12" s="39"/>
      <c r="AD12" s="24">
        <v>4</v>
      </c>
      <c r="AE12" s="24">
        <v>3</v>
      </c>
      <c r="AF12" s="24">
        <v>1</v>
      </c>
      <c r="AG12" s="24"/>
      <c r="AH12" s="24"/>
      <c r="AI12" s="40"/>
      <c r="AJ12" s="40"/>
      <c r="AK12" s="40"/>
      <c r="AL12" s="40"/>
      <c r="AM12" s="40"/>
      <c r="AN12" s="24"/>
      <c r="AO12" s="24"/>
      <c r="AP12" s="24"/>
      <c r="AQ12" s="24"/>
      <c r="AR12" s="24"/>
      <c r="AS12" s="24"/>
      <c r="AT12" s="24"/>
      <c r="AU12" s="24"/>
      <c r="AV12" s="24"/>
      <c r="AW12" s="24">
        <v>3</v>
      </c>
      <c r="AX12" s="24">
        <v>2</v>
      </c>
      <c r="AY12" s="24">
        <v>5</v>
      </c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</row>
    <row r="13" spans="1:69" ht="14.4" hidden="1" customHeight="1" x14ac:dyDescent="0.3">
      <c r="A13" s="12" t="s">
        <v>162</v>
      </c>
      <c r="B13" s="20" t="s">
        <v>121</v>
      </c>
      <c r="C13" s="28">
        <f t="shared" si="1"/>
        <v>76.1875</v>
      </c>
      <c r="D13" s="18" t="s">
        <v>154</v>
      </c>
      <c r="E13" s="12" t="s">
        <v>121</v>
      </c>
      <c r="F13" s="12"/>
      <c r="G13" s="16">
        <v>44562</v>
      </c>
      <c r="H13" s="16">
        <v>44926</v>
      </c>
      <c r="I13" s="38" t="s">
        <v>84</v>
      </c>
      <c r="J13" s="33">
        <f>1.6875+0.5+6.25+0.5+1.125</f>
        <v>10.0625</v>
      </c>
      <c r="K13" s="25"/>
      <c r="L13" s="25"/>
      <c r="M13" s="24"/>
      <c r="N13" s="34"/>
      <c r="O13" s="24">
        <f>1.15625+9.84375-0.25-0.25</f>
        <v>10.5</v>
      </c>
      <c r="P13" s="24"/>
      <c r="Q13" s="24"/>
      <c r="R13" s="24"/>
      <c r="S13" s="34"/>
      <c r="T13" s="31">
        <f>1.5625+24.28125-7-0.4375-0.28125</f>
        <v>18.125</v>
      </c>
      <c r="U13" s="24"/>
      <c r="V13" s="24"/>
      <c r="W13" s="24"/>
      <c r="X13" s="24"/>
      <c r="Y13" s="39">
        <f>22.53125-7-0.375-0.34375-0.25</f>
        <v>14.5625</v>
      </c>
      <c r="Z13" s="39"/>
      <c r="AA13" s="39"/>
      <c r="AB13" s="39"/>
      <c r="AC13" s="39"/>
      <c r="AD13" s="24">
        <f>0.4375+6</f>
        <v>6.4375</v>
      </c>
      <c r="AE13" s="24"/>
      <c r="AF13" s="24"/>
      <c r="AG13" s="24" t="s">
        <v>155</v>
      </c>
      <c r="AH13" s="24"/>
      <c r="AI13" s="40">
        <f>2.28125+4.625+0.125+2.46875</f>
        <v>9.5</v>
      </c>
      <c r="AJ13" s="40" t="s">
        <v>155</v>
      </c>
      <c r="AK13" s="40" t="s">
        <v>155</v>
      </c>
      <c r="AL13" s="40" t="s">
        <v>155</v>
      </c>
      <c r="AM13" s="40" t="s">
        <v>155</v>
      </c>
      <c r="AN13" s="24"/>
      <c r="AO13" s="24">
        <v>1</v>
      </c>
      <c r="AP13" s="24">
        <v>2</v>
      </c>
      <c r="AQ13" s="24">
        <v>2</v>
      </c>
      <c r="AR13" s="24">
        <v>2</v>
      </c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</row>
    <row r="14" spans="1:69" hidden="1" x14ac:dyDescent="0.3">
      <c r="A14" s="12"/>
      <c r="B14" s="12"/>
      <c r="C14" s="28">
        <f t="shared" si="1"/>
        <v>4.53125</v>
      </c>
      <c r="D14" s="18" t="s">
        <v>163</v>
      </c>
      <c r="E14" s="12" t="s">
        <v>131</v>
      </c>
      <c r="F14" s="12"/>
      <c r="G14" s="16"/>
      <c r="H14" s="16"/>
      <c r="I14" s="38" t="s">
        <v>84</v>
      </c>
      <c r="J14" s="33">
        <f>1.875+0.90625+0.6875</f>
        <v>3.46875</v>
      </c>
      <c r="K14" s="24"/>
      <c r="L14" s="24"/>
      <c r="M14" s="24"/>
      <c r="N14" s="34"/>
      <c r="O14" s="24"/>
      <c r="P14" s="24"/>
      <c r="Q14" s="24"/>
      <c r="R14" s="24"/>
      <c r="S14" s="34"/>
      <c r="T14" s="31"/>
      <c r="U14" s="24"/>
      <c r="V14" s="24"/>
      <c r="W14" s="24"/>
      <c r="X14" s="24"/>
      <c r="Y14" s="39"/>
      <c r="Z14" s="39"/>
      <c r="AA14" s="39"/>
      <c r="AB14" s="39"/>
      <c r="AC14" s="39"/>
      <c r="AD14" s="24">
        <v>1.0625</v>
      </c>
      <c r="AE14" s="24"/>
      <c r="AF14" s="24"/>
      <c r="AG14" s="24"/>
      <c r="AH14" s="24"/>
      <c r="AI14" s="40"/>
      <c r="AJ14" s="40"/>
      <c r="AK14" s="40"/>
      <c r="AL14" s="40" t="s">
        <v>155</v>
      </c>
      <c r="AM14" s="40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</row>
    <row r="15" spans="1:69" hidden="1" x14ac:dyDescent="0.3">
      <c r="A15" s="12"/>
      <c r="B15" s="12"/>
      <c r="C15" s="28">
        <f t="shared" si="1"/>
        <v>24.5</v>
      </c>
      <c r="D15" s="18" t="s">
        <v>164</v>
      </c>
      <c r="E15" s="12" t="s">
        <v>126</v>
      </c>
      <c r="F15" s="12" t="s">
        <v>118</v>
      </c>
      <c r="G15" s="16"/>
      <c r="H15" s="16"/>
      <c r="I15" s="38" t="s">
        <v>84</v>
      </c>
      <c r="J15" s="33">
        <f>4.5</f>
        <v>4.5</v>
      </c>
      <c r="K15" s="24"/>
      <c r="L15" s="24"/>
      <c r="M15" s="24"/>
      <c r="N15" s="34"/>
      <c r="O15" s="24">
        <f>6.5+0.5+2.5</f>
        <v>9.5</v>
      </c>
      <c r="P15" s="24"/>
      <c r="Q15" s="24"/>
      <c r="R15" s="24"/>
      <c r="S15" s="34"/>
      <c r="T15" s="31">
        <f>3</f>
        <v>3</v>
      </c>
      <c r="U15" s="24"/>
      <c r="V15" s="24"/>
      <c r="W15" s="24"/>
      <c r="X15" s="24"/>
      <c r="Y15" s="39">
        <f>5.5</f>
        <v>5.5</v>
      </c>
      <c r="Z15" s="39"/>
      <c r="AA15" s="39"/>
      <c r="AB15" s="39"/>
      <c r="AC15" s="39"/>
      <c r="AD15" s="24"/>
      <c r="AE15" s="24"/>
      <c r="AF15" s="24"/>
      <c r="AG15" s="24"/>
      <c r="AH15" s="24"/>
      <c r="AI15" s="40">
        <v>1</v>
      </c>
      <c r="AJ15" s="40"/>
      <c r="AK15" s="40"/>
      <c r="AL15" s="40"/>
      <c r="AM15" s="40"/>
      <c r="AN15" s="24"/>
      <c r="AO15" s="24">
        <v>1</v>
      </c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</row>
    <row r="16" spans="1:69" hidden="1" x14ac:dyDescent="0.3">
      <c r="A16" s="12"/>
      <c r="B16" s="12"/>
      <c r="C16" s="28">
        <f t="shared" si="1"/>
        <v>2.5625</v>
      </c>
      <c r="D16" s="18" t="s">
        <v>165</v>
      </c>
      <c r="E16" s="12" t="s">
        <v>126</v>
      </c>
      <c r="F16" s="12" t="s">
        <v>127</v>
      </c>
      <c r="G16" s="16"/>
      <c r="H16" s="16"/>
      <c r="I16" s="38" t="s">
        <v>84</v>
      </c>
      <c r="J16" s="33"/>
      <c r="K16" s="24"/>
      <c r="L16" s="24"/>
      <c r="M16" s="24"/>
      <c r="N16" s="34"/>
      <c r="O16" s="24"/>
      <c r="P16" s="24"/>
      <c r="Q16" s="24"/>
      <c r="R16" s="24"/>
      <c r="S16" s="34"/>
      <c r="T16" s="31">
        <f>0.0625</f>
        <v>6.25E-2</v>
      </c>
      <c r="U16" s="24"/>
      <c r="V16" s="24"/>
      <c r="W16" s="24"/>
      <c r="X16" s="24"/>
      <c r="Y16" s="39"/>
      <c r="Z16" s="39"/>
      <c r="AA16" s="39"/>
      <c r="AB16" s="39"/>
      <c r="AC16" s="39"/>
      <c r="AD16" s="24"/>
      <c r="AE16" s="24"/>
      <c r="AF16" s="24"/>
      <c r="AG16" s="24"/>
      <c r="AH16" s="24"/>
      <c r="AI16" s="40">
        <f>2.5</f>
        <v>2.5</v>
      </c>
      <c r="AJ16" s="40"/>
      <c r="AK16" s="40"/>
      <c r="AL16" s="40"/>
      <c r="AM16" s="40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</row>
    <row r="17" spans="1:69" hidden="1" x14ac:dyDescent="0.3">
      <c r="A17" s="12"/>
      <c r="B17" s="12"/>
      <c r="C17" s="28">
        <f t="shared" si="1"/>
        <v>2.96875</v>
      </c>
      <c r="D17" s="18" t="s">
        <v>166</v>
      </c>
      <c r="E17" s="12" t="s">
        <v>126</v>
      </c>
      <c r="F17" s="12" t="s">
        <v>127</v>
      </c>
      <c r="G17" s="16"/>
      <c r="H17" s="16"/>
      <c r="I17" s="38" t="s">
        <v>84</v>
      </c>
      <c r="J17" s="33">
        <v>2.96875</v>
      </c>
      <c r="K17" s="24"/>
      <c r="L17" s="24"/>
      <c r="M17" s="24"/>
      <c r="N17" s="34"/>
      <c r="O17" s="24"/>
      <c r="P17" s="24"/>
      <c r="Q17" s="24"/>
      <c r="R17" s="24"/>
      <c r="S17" s="34"/>
      <c r="T17" s="31"/>
      <c r="U17" s="24"/>
      <c r="V17" s="24"/>
      <c r="W17" s="24"/>
      <c r="X17" s="24"/>
      <c r="Y17" s="39"/>
      <c r="Z17" s="39"/>
      <c r="AA17" s="39"/>
      <c r="AB17" s="39"/>
      <c r="AC17" s="39"/>
      <c r="AD17" s="24"/>
      <c r="AE17" s="24"/>
      <c r="AF17" s="24"/>
      <c r="AG17" s="24"/>
      <c r="AH17" s="24"/>
      <c r="AI17" s="40"/>
      <c r="AJ17" s="40"/>
      <c r="AK17" s="40"/>
      <c r="AL17" s="40"/>
      <c r="AM17" s="40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</row>
    <row r="18" spans="1:69" hidden="1" x14ac:dyDescent="0.3">
      <c r="A18" s="12"/>
      <c r="B18" s="12"/>
      <c r="C18" s="28">
        <f t="shared" si="1"/>
        <v>64</v>
      </c>
      <c r="D18" s="18" t="s">
        <v>167</v>
      </c>
      <c r="E18" s="12" t="s">
        <v>126</v>
      </c>
      <c r="F18" s="12" t="s">
        <v>118</v>
      </c>
      <c r="G18" s="16"/>
      <c r="H18" s="16"/>
      <c r="I18" s="38" t="s">
        <v>84</v>
      </c>
      <c r="J18" s="33">
        <v>0</v>
      </c>
      <c r="K18" s="24"/>
      <c r="L18" s="24"/>
      <c r="M18" s="24"/>
      <c r="N18" s="34"/>
      <c r="O18" s="24">
        <v>0</v>
      </c>
      <c r="P18" s="24"/>
      <c r="Q18" s="24"/>
      <c r="R18" s="24"/>
      <c r="S18" s="34"/>
      <c r="T18" s="31"/>
      <c r="U18" s="24"/>
      <c r="V18" s="24"/>
      <c r="W18" s="24"/>
      <c r="X18" s="24"/>
      <c r="Y18" s="39"/>
      <c r="Z18" s="39"/>
      <c r="AA18" s="39"/>
      <c r="AB18" s="39"/>
      <c r="AC18" s="39"/>
      <c r="AD18" s="24">
        <f>5.5</f>
        <v>5.5</v>
      </c>
      <c r="AE18" s="24"/>
      <c r="AF18" s="24"/>
      <c r="AG18" s="24"/>
      <c r="AH18" s="24"/>
      <c r="AI18" s="40">
        <v>7.5</v>
      </c>
      <c r="AJ18" s="40" t="s">
        <v>155</v>
      </c>
      <c r="AK18" s="40" t="s">
        <v>155</v>
      </c>
      <c r="AL18" s="40" t="s">
        <v>155</v>
      </c>
      <c r="AM18" s="40" t="s">
        <v>155</v>
      </c>
      <c r="AN18" s="24">
        <v>1</v>
      </c>
      <c r="AO18" s="24">
        <v>3</v>
      </c>
      <c r="AP18" s="24">
        <v>3</v>
      </c>
      <c r="AQ18" s="24">
        <v>2</v>
      </c>
      <c r="AR18" s="24">
        <v>2</v>
      </c>
      <c r="AS18" s="24">
        <v>2</v>
      </c>
      <c r="AT18" s="24">
        <v>2</v>
      </c>
      <c r="AU18" s="24">
        <v>3</v>
      </c>
      <c r="AV18" s="24">
        <v>3</v>
      </c>
      <c r="AW18" s="24"/>
      <c r="AX18" s="24"/>
      <c r="AY18" s="24"/>
      <c r="AZ18" s="24">
        <v>2</v>
      </c>
      <c r="BA18" s="24">
        <v>3</v>
      </c>
      <c r="BB18" s="24">
        <v>3</v>
      </c>
      <c r="BC18" s="24">
        <v>3</v>
      </c>
      <c r="BD18" s="24">
        <v>3</v>
      </c>
      <c r="BE18" s="24">
        <v>3</v>
      </c>
      <c r="BF18" s="24">
        <v>2</v>
      </c>
      <c r="BG18" s="24"/>
      <c r="BH18" s="24">
        <v>3</v>
      </c>
      <c r="BI18" s="24">
        <v>1</v>
      </c>
      <c r="BJ18" s="24">
        <v>2</v>
      </c>
      <c r="BK18" s="24">
        <v>1</v>
      </c>
      <c r="BL18" s="24">
        <v>1</v>
      </c>
      <c r="BM18" s="24">
        <v>2</v>
      </c>
      <c r="BN18" s="24">
        <v>1</v>
      </c>
      <c r="BO18" s="24"/>
      <c r="BP18" s="24"/>
      <c r="BQ18" s="24"/>
    </row>
    <row r="19" spans="1:69" hidden="1" x14ac:dyDescent="0.3">
      <c r="A19" s="12"/>
      <c r="B19" s="12"/>
      <c r="C19" s="28">
        <f t="shared" si="1"/>
        <v>0.375</v>
      </c>
      <c r="D19" s="18" t="s">
        <v>168</v>
      </c>
      <c r="E19" s="12" t="s">
        <v>126</v>
      </c>
      <c r="F19" s="12" t="s">
        <v>122</v>
      </c>
      <c r="G19" s="16"/>
      <c r="H19" s="16"/>
      <c r="I19" s="38" t="s">
        <v>84</v>
      </c>
      <c r="J19" s="33"/>
      <c r="K19" s="24"/>
      <c r="L19" s="24"/>
      <c r="M19" s="24"/>
      <c r="N19" s="34"/>
      <c r="O19" s="24"/>
      <c r="P19" s="24"/>
      <c r="Q19" s="24"/>
      <c r="R19" s="24"/>
      <c r="S19" s="34"/>
      <c r="T19" s="31"/>
      <c r="U19" s="24"/>
      <c r="V19" s="24"/>
      <c r="W19" s="24"/>
      <c r="X19" s="24"/>
      <c r="Y19" s="39">
        <f>0.375</f>
        <v>0.375</v>
      </c>
      <c r="Z19" s="39"/>
      <c r="AA19" s="39"/>
      <c r="AB19" s="39"/>
      <c r="AC19" s="39"/>
      <c r="AD19" s="24"/>
      <c r="AE19" s="24"/>
      <c r="AF19" s="24"/>
      <c r="AG19" s="24"/>
      <c r="AH19" s="24"/>
      <c r="AI19" s="40"/>
      <c r="AJ19" s="40"/>
      <c r="AK19" s="40"/>
      <c r="AL19" s="40"/>
      <c r="AM19" s="40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</row>
    <row r="20" spans="1:69" hidden="1" x14ac:dyDescent="0.3">
      <c r="A20" s="12"/>
      <c r="B20" s="12"/>
      <c r="C20" s="28">
        <f t="shared" si="1"/>
        <v>1.3125</v>
      </c>
      <c r="D20" s="18" t="s">
        <v>154</v>
      </c>
      <c r="E20" s="12" t="s">
        <v>1</v>
      </c>
      <c r="F20" s="12"/>
      <c r="G20" s="16"/>
      <c r="H20" s="16"/>
      <c r="I20" s="38" t="s">
        <v>84</v>
      </c>
      <c r="J20" s="33"/>
      <c r="K20" s="24"/>
      <c r="L20" s="24"/>
      <c r="M20" s="24"/>
      <c r="N20" s="34"/>
      <c r="O20" s="24"/>
      <c r="P20" s="24"/>
      <c r="Q20" s="24"/>
      <c r="R20" s="24"/>
      <c r="S20" s="34"/>
      <c r="T20" s="31">
        <f>0.8125</f>
        <v>0.8125</v>
      </c>
      <c r="U20" s="24"/>
      <c r="V20" s="24"/>
      <c r="W20" s="24"/>
      <c r="X20" s="24"/>
      <c r="Y20" s="39"/>
      <c r="Z20" s="39"/>
      <c r="AA20" s="39"/>
      <c r="AB20" s="39"/>
      <c r="AC20" s="39"/>
      <c r="AD20" s="24"/>
      <c r="AE20" s="24"/>
      <c r="AF20" s="24"/>
      <c r="AG20" s="24"/>
      <c r="AH20" s="24"/>
      <c r="AI20" s="40">
        <f>0.5</f>
        <v>0.5</v>
      </c>
      <c r="AJ20" s="40"/>
      <c r="AK20" s="40"/>
      <c r="AL20" s="40"/>
      <c r="AM20" s="4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</row>
    <row r="21" spans="1:69" x14ac:dyDescent="0.3">
      <c r="A21" s="12"/>
      <c r="B21" s="12"/>
      <c r="C21" s="28">
        <f t="shared" si="1"/>
        <v>32.5</v>
      </c>
      <c r="D21" s="18" t="s">
        <v>154</v>
      </c>
      <c r="E21" s="12" t="s">
        <v>117</v>
      </c>
      <c r="F21" s="12"/>
      <c r="G21" s="16"/>
      <c r="H21" s="16"/>
      <c r="I21" s="38" t="s">
        <v>85</v>
      </c>
      <c r="J21" s="24"/>
      <c r="K21" s="24"/>
      <c r="L21" s="24"/>
      <c r="M21" s="24"/>
      <c r="N21" s="24"/>
      <c r="O21" s="24">
        <f>2</f>
        <v>2</v>
      </c>
      <c r="P21" s="24"/>
      <c r="Q21" s="24"/>
      <c r="R21" s="24"/>
      <c r="S21" s="34"/>
      <c r="T21" s="31">
        <v>8</v>
      </c>
      <c r="U21" s="24"/>
      <c r="V21" s="24"/>
      <c r="W21" s="24"/>
      <c r="X21" s="24"/>
      <c r="Y21" s="39">
        <f>1.5</f>
        <v>1.5</v>
      </c>
      <c r="Z21" s="39"/>
      <c r="AA21" s="39"/>
      <c r="AB21" s="39"/>
      <c r="AC21" s="39"/>
      <c r="AD21" s="24">
        <v>1</v>
      </c>
      <c r="AE21" s="24">
        <v>0.5</v>
      </c>
      <c r="AF21" s="24"/>
      <c r="AG21" s="24">
        <v>3</v>
      </c>
      <c r="AH21" s="24"/>
      <c r="AI21" s="40">
        <f>4.5</f>
        <v>4.5</v>
      </c>
      <c r="AJ21" s="40" t="s">
        <v>155</v>
      </c>
      <c r="AK21" s="40"/>
      <c r="AL21" s="40"/>
      <c r="AM21" s="40" t="s">
        <v>155</v>
      </c>
      <c r="AN21" s="24">
        <v>1</v>
      </c>
      <c r="AO21" s="24">
        <v>5</v>
      </c>
      <c r="AP21" s="24">
        <v>4</v>
      </c>
      <c r="AQ21" s="24">
        <v>2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</row>
    <row r="22" spans="1:69" ht="14.4" hidden="1" customHeight="1" x14ac:dyDescent="0.3">
      <c r="A22" s="12"/>
      <c r="B22" s="12"/>
      <c r="C22" s="28">
        <f t="shared" si="1"/>
        <v>24.5</v>
      </c>
      <c r="D22" s="18" t="s">
        <v>154</v>
      </c>
      <c r="E22" s="12" t="s">
        <v>121</v>
      </c>
      <c r="F22" s="12"/>
      <c r="G22" s="16"/>
      <c r="H22" s="16"/>
      <c r="I22" s="38" t="s">
        <v>85</v>
      </c>
      <c r="J22" s="33">
        <f>1.1875</f>
        <v>1.1875</v>
      </c>
      <c r="K22" s="24"/>
      <c r="L22" s="24"/>
      <c r="M22" s="24"/>
      <c r="N22" s="34"/>
      <c r="O22" s="24">
        <f>1.0625+5.875-4</f>
        <v>2.9375</v>
      </c>
      <c r="P22" s="24"/>
      <c r="Q22" s="24"/>
      <c r="R22" s="24"/>
      <c r="S22" s="34"/>
      <c r="T22" s="31">
        <f>0.3125+2.125+6.9375-3</f>
        <v>6.375</v>
      </c>
      <c r="U22" s="24"/>
      <c r="V22" s="24"/>
      <c r="W22" s="24"/>
      <c r="X22" s="24"/>
      <c r="Y22" s="39">
        <f>0.3125+3+0.9375</f>
        <v>4.25</v>
      </c>
      <c r="Z22" s="39"/>
      <c r="AA22" s="39"/>
      <c r="AB22" s="39"/>
      <c r="AC22" s="39"/>
      <c r="AD22" s="24">
        <f>0.4375+0.4375+3.75-2</f>
        <v>2.625</v>
      </c>
      <c r="AE22" s="24"/>
      <c r="AF22" s="24"/>
      <c r="AG22" s="24"/>
      <c r="AH22" s="24"/>
      <c r="AI22" s="40">
        <f>3.1875+0.25+1.6875</f>
        <v>5.125</v>
      </c>
      <c r="AJ22" s="40"/>
      <c r="AK22" s="40" t="s">
        <v>155</v>
      </c>
      <c r="AL22" s="40" t="s">
        <v>155</v>
      </c>
      <c r="AM22" s="40"/>
      <c r="AN22" s="24"/>
      <c r="AO22" s="24"/>
      <c r="AP22" s="24"/>
      <c r="AQ22" s="24"/>
      <c r="AR22" s="24">
        <v>2</v>
      </c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</row>
    <row r="23" spans="1:69" ht="14.4" hidden="1" customHeight="1" x14ac:dyDescent="0.3">
      <c r="A23" s="12"/>
      <c r="B23" s="12"/>
      <c r="C23" s="28">
        <f t="shared" si="1"/>
        <v>4.5</v>
      </c>
      <c r="D23" s="18" t="s">
        <v>154</v>
      </c>
      <c r="E23" s="12" t="s">
        <v>131</v>
      </c>
      <c r="F23" s="12"/>
      <c r="G23" s="16"/>
      <c r="H23" s="16"/>
      <c r="I23" s="38" t="s">
        <v>85</v>
      </c>
      <c r="J23" s="33"/>
      <c r="K23" s="24"/>
      <c r="L23" s="24"/>
      <c r="M23" s="24"/>
      <c r="N23" s="34"/>
      <c r="O23" s="24">
        <f>0.4375</f>
        <v>0.4375</v>
      </c>
      <c r="P23" s="24"/>
      <c r="Q23" s="24"/>
      <c r="R23" s="24"/>
      <c r="S23" s="34"/>
      <c r="T23" s="31">
        <f>1.1875</f>
        <v>1.1875</v>
      </c>
      <c r="U23" s="24"/>
      <c r="V23" s="24"/>
      <c r="W23" s="24"/>
      <c r="X23" s="24"/>
      <c r="Y23" s="39">
        <f>2.4375</f>
        <v>2.4375</v>
      </c>
      <c r="Z23" s="39"/>
      <c r="AA23" s="39"/>
      <c r="AB23" s="39"/>
      <c r="AC23" s="39"/>
      <c r="AD23" s="24">
        <f>0.4375</f>
        <v>0.4375</v>
      </c>
      <c r="AE23" s="24"/>
      <c r="AF23" s="24"/>
      <c r="AG23" s="24"/>
      <c r="AH23" s="24"/>
      <c r="AI23" s="40"/>
      <c r="AJ23" s="40"/>
      <c r="AK23" s="40"/>
      <c r="AL23" s="40"/>
      <c r="AM23" s="40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</row>
    <row r="24" spans="1:69" ht="14.4" hidden="1" customHeight="1" x14ac:dyDescent="0.3">
      <c r="A24" s="12"/>
      <c r="B24" s="12"/>
      <c r="C24" s="28">
        <f t="shared" si="1"/>
        <v>8.5625</v>
      </c>
      <c r="D24" s="18" t="s">
        <v>169</v>
      </c>
      <c r="E24" s="12" t="s">
        <v>126</v>
      </c>
      <c r="F24" s="12"/>
      <c r="G24" s="16"/>
      <c r="H24" s="16"/>
      <c r="I24" s="38" t="s">
        <v>85</v>
      </c>
      <c r="J24" s="33">
        <f>8.5625</f>
        <v>8.5625</v>
      </c>
      <c r="K24" s="24"/>
      <c r="L24" s="24"/>
      <c r="M24" s="24"/>
      <c r="N24" s="34"/>
      <c r="O24" s="24"/>
      <c r="P24" s="24"/>
      <c r="Q24" s="24"/>
      <c r="R24" s="24"/>
      <c r="S24" s="34"/>
      <c r="T24" s="31"/>
      <c r="U24" s="24"/>
      <c r="V24" s="24"/>
      <c r="W24" s="24"/>
      <c r="X24" s="24"/>
      <c r="Y24" s="39"/>
      <c r="Z24" s="39"/>
      <c r="AA24" s="39"/>
      <c r="AB24" s="39"/>
      <c r="AC24" s="39"/>
      <c r="AD24" s="24"/>
      <c r="AE24" s="24"/>
      <c r="AF24" s="24"/>
      <c r="AG24" s="24"/>
      <c r="AH24" s="24"/>
      <c r="AI24" s="40"/>
      <c r="AJ24" s="40"/>
      <c r="AK24" s="40"/>
      <c r="AL24" s="40"/>
      <c r="AM24" s="40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</row>
    <row r="25" spans="1:69" ht="14.4" hidden="1" customHeight="1" x14ac:dyDescent="0.3">
      <c r="A25" s="12"/>
      <c r="B25" s="12"/>
      <c r="C25" s="28">
        <f t="shared" si="1"/>
        <v>16.6875</v>
      </c>
      <c r="D25" s="18" t="s">
        <v>170</v>
      </c>
      <c r="E25" s="12" t="s">
        <v>126</v>
      </c>
      <c r="F25" s="12"/>
      <c r="G25" s="16"/>
      <c r="H25" s="16"/>
      <c r="I25" s="38" t="s">
        <v>85</v>
      </c>
      <c r="J25" s="33">
        <f>6.75</f>
        <v>6.75</v>
      </c>
      <c r="K25" s="24"/>
      <c r="L25" s="24"/>
      <c r="M25" s="24"/>
      <c r="N25" s="34"/>
      <c r="O25" s="24">
        <f>3.1875</f>
        <v>3.1875</v>
      </c>
      <c r="P25" s="24"/>
      <c r="Q25" s="24"/>
      <c r="R25" s="24"/>
      <c r="S25" s="34"/>
      <c r="T25" s="31">
        <f>0.4375</f>
        <v>0.4375</v>
      </c>
      <c r="U25" s="24"/>
      <c r="V25" s="24"/>
      <c r="W25" s="24"/>
      <c r="X25" s="24"/>
      <c r="Y25" s="39">
        <f>2.1875</f>
        <v>2.1875</v>
      </c>
      <c r="Z25" s="39"/>
      <c r="AA25" s="39"/>
      <c r="AB25" s="39"/>
      <c r="AC25" s="39"/>
      <c r="AD25" s="24">
        <f>4.125</f>
        <v>4.125</v>
      </c>
      <c r="AE25" s="24"/>
      <c r="AF25" s="24"/>
      <c r="AG25" s="24"/>
      <c r="AH25" s="24"/>
      <c r="AI25" s="40"/>
      <c r="AJ25" s="40"/>
      <c r="AK25" s="40"/>
      <c r="AL25" s="40"/>
      <c r="AM25" s="40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</row>
    <row r="26" spans="1:69" ht="14.4" hidden="1" customHeight="1" x14ac:dyDescent="0.3">
      <c r="A26" s="12"/>
      <c r="B26" s="12"/>
      <c r="C26" s="28">
        <f t="shared" si="1"/>
        <v>2.5</v>
      </c>
      <c r="D26" s="45" t="s">
        <v>171</v>
      </c>
      <c r="E26" s="12" t="s">
        <v>126</v>
      </c>
      <c r="F26" s="12"/>
      <c r="G26" s="16"/>
      <c r="H26" s="16"/>
      <c r="I26" s="38" t="s">
        <v>85</v>
      </c>
      <c r="J26" s="33">
        <f>2.5</f>
        <v>2.5</v>
      </c>
      <c r="K26" s="24"/>
      <c r="L26" s="24"/>
      <c r="M26" s="24"/>
      <c r="N26" s="34"/>
      <c r="O26" s="24"/>
      <c r="P26" s="24"/>
      <c r="Q26" s="24"/>
      <c r="R26" s="24"/>
      <c r="S26" s="34"/>
      <c r="T26" s="31"/>
      <c r="U26" s="24"/>
      <c r="V26" s="24"/>
      <c r="W26" s="24"/>
      <c r="X26" s="24"/>
      <c r="Y26" s="39"/>
      <c r="Z26" s="39"/>
      <c r="AA26" s="39"/>
      <c r="AB26" s="39"/>
      <c r="AC26" s="39"/>
      <c r="AD26" s="24"/>
      <c r="AE26" s="24"/>
      <c r="AF26" s="24"/>
      <c r="AG26" s="24"/>
      <c r="AH26" s="24"/>
      <c r="AI26" s="40"/>
      <c r="AJ26" s="40"/>
      <c r="AK26" s="40"/>
      <c r="AL26" s="40"/>
      <c r="AM26" s="40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</row>
    <row r="27" spans="1:69" ht="14.4" hidden="1" customHeight="1" x14ac:dyDescent="0.3">
      <c r="A27" s="12"/>
      <c r="B27" s="12"/>
      <c r="C27" s="28">
        <f t="shared" si="1"/>
        <v>72.9375</v>
      </c>
      <c r="D27" s="18" t="s">
        <v>172</v>
      </c>
      <c r="E27" s="12" t="s">
        <v>126</v>
      </c>
      <c r="F27" s="12"/>
      <c r="G27" s="16"/>
      <c r="H27" s="16"/>
      <c r="I27" s="38" t="s">
        <v>85</v>
      </c>
      <c r="J27" s="33"/>
      <c r="K27" s="24"/>
      <c r="L27" s="24"/>
      <c r="M27" s="24"/>
      <c r="N27" s="34"/>
      <c r="O27" s="24"/>
      <c r="P27" s="24"/>
      <c r="Q27" s="24"/>
      <c r="R27" s="24"/>
      <c r="S27" s="34"/>
      <c r="T27" s="31"/>
      <c r="U27" s="24"/>
      <c r="V27" s="24"/>
      <c r="W27" s="24"/>
      <c r="X27" s="24"/>
      <c r="Y27" s="39">
        <v>1.75</v>
      </c>
      <c r="Z27" s="39"/>
      <c r="AA27" s="39"/>
      <c r="AB27" s="39"/>
      <c r="AC27" s="39"/>
      <c r="AD27" s="24">
        <f>1.5625</f>
        <v>1.5625</v>
      </c>
      <c r="AE27" s="24"/>
      <c r="AF27" s="24"/>
      <c r="AG27" s="24"/>
      <c r="AH27" s="24"/>
      <c r="AI27" s="40">
        <f>8.625</f>
        <v>8.625</v>
      </c>
      <c r="AJ27" s="40"/>
      <c r="AK27" s="40"/>
      <c r="AL27" s="40"/>
      <c r="AM27" s="40"/>
      <c r="AN27" s="24"/>
      <c r="AO27" s="24"/>
      <c r="AP27" s="24"/>
      <c r="AQ27" s="24">
        <v>2</v>
      </c>
      <c r="AR27" s="24">
        <v>2</v>
      </c>
      <c r="AS27" s="24">
        <v>3</v>
      </c>
      <c r="AT27" s="24">
        <v>3</v>
      </c>
      <c r="AU27" s="24">
        <v>3</v>
      </c>
      <c r="AV27" s="24">
        <v>3</v>
      </c>
      <c r="AW27" s="24">
        <v>3</v>
      </c>
      <c r="AX27" s="24">
        <v>3</v>
      </c>
      <c r="AY27" s="24">
        <v>3</v>
      </c>
      <c r="AZ27" s="24">
        <v>3</v>
      </c>
      <c r="BA27" s="24">
        <v>3</v>
      </c>
      <c r="BB27" s="24">
        <v>3</v>
      </c>
      <c r="BC27" s="24">
        <v>3</v>
      </c>
      <c r="BD27" s="24">
        <v>3</v>
      </c>
      <c r="BE27" s="24">
        <v>3</v>
      </c>
      <c r="BF27" s="24">
        <v>3</v>
      </c>
      <c r="BG27" s="24">
        <v>1</v>
      </c>
      <c r="BH27" s="24">
        <v>2</v>
      </c>
      <c r="BI27" s="24">
        <v>3</v>
      </c>
      <c r="BJ27" s="24">
        <v>3</v>
      </c>
      <c r="BK27" s="24">
        <v>3</v>
      </c>
      <c r="BL27" s="24">
        <v>3</v>
      </c>
      <c r="BM27" s="24"/>
      <c r="BN27" s="24"/>
      <c r="BO27" s="24"/>
      <c r="BP27" s="24"/>
      <c r="BQ27" s="24"/>
    </row>
    <row r="28" spans="1:69" ht="14.4" hidden="1" customHeight="1" x14ac:dyDescent="0.3">
      <c r="A28" s="12"/>
      <c r="B28" s="12" t="s">
        <v>173</v>
      </c>
      <c r="C28" s="28">
        <f t="shared" si="1"/>
        <v>2.25</v>
      </c>
      <c r="D28" s="45" t="s">
        <v>174</v>
      </c>
      <c r="E28" s="12" t="s">
        <v>126</v>
      </c>
      <c r="F28" s="12"/>
      <c r="G28" s="16"/>
      <c r="H28" s="16"/>
      <c r="I28" s="38" t="s">
        <v>85</v>
      </c>
      <c r="J28" s="33"/>
      <c r="K28" s="24"/>
      <c r="L28" s="24"/>
      <c r="M28" s="24"/>
      <c r="N28" s="34"/>
      <c r="O28" s="24"/>
      <c r="P28" s="24"/>
      <c r="Q28" s="24"/>
      <c r="R28" s="24"/>
      <c r="S28" s="34"/>
      <c r="T28" s="31"/>
      <c r="U28" s="24"/>
      <c r="V28" s="24"/>
      <c r="W28" s="24"/>
      <c r="X28" s="24"/>
      <c r="Y28" s="39"/>
      <c r="Z28" s="39"/>
      <c r="AA28" s="39"/>
      <c r="AB28" s="39"/>
      <c r="AC28" s="39"/>
      <c r="AD28" s="24">
        <f>2.25</f>
        <v>2.25</v>
      </c>
      <c r="AE28" s="24"/>
      <c r="AF28" s="24"/>
      <c r="AG28" s="24"/>
      <c r="AH28" s="24"/>
      <c r="AI28" s="40"/>
      <c r="AJ28" s="40"/>
      <c r="AK28" s="40"/>
      <c r="AL28" s="40"/>
      <c r="AM28" s="40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</row>
    <row r="29" spans="1:69" ht="14.4" hidden="1" customHeight="1" x14ac:dyDescent="0.3">
      <c r="A29" s="12"/>
      <c r="B29" s="12"/>
      <c r="C29" s="28">
        <f t="shared" si="1"/>
        <v>4.3125</v>
      </c>
      <c r="D29" s="18" t="s">
        <v>175</v>
      </c>
      <c r="E29" s="12" t="s">
        <v>126</v>
      </c>
      <c r="F29" s="12"/>
      <c r="G29" s="16"/>
      <c r="H29" s="16"/>
      <c r="I29" s="38" t="s">
        <v>85</v>
      </c>
      <c r="J29" s="33"/>
      <c r="K29" s="24"/>
      <c r="L29" s="24"/>
      <c r="M29" s="24"/>
      <c r="N29" s="34"/>
      <c r="O29" s="24"/>
      <c r="P29" s="24"/>
      <c r="Q29" s="24"/>
      <c r="R29" s="24"/>
      <c r="S29" s="34"/>
      <c r="T29" s="31">
        <f>2.8125</f>
        <v>2.8125</v>
      </c>
      <c r="U29" s="24"/>
      <c r="V29" s="24"/>
      <c r="W29" s="24"/>
      <c r="X29" s="24"/>
      <c r="Y29" s="39">
        <f>1.5</f>
        <v>1.5</v>
      </c>
      <c r="Z29" s="39"/>
      <c r="AA29" s="39"/>
      <c r="AB29" s="39"/>
      <c r="AC29" s="39"/>
      <c r="AD29" s="24"/>
      <c r="AE29" s="24"/>
      <c r="AF29" s="24"/>
      <c r="AG29" s="24"/>
      <c r="AH29" s="24"/>
      <c r="AI29" s="40"/>
      <c r="AJ29" s="40"/>
      <c r="AK29" s="40"/>
      <c r="AL29" s="40"/>
      <c r="AM29" s="40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</row>
    <row r="30" spans="1:69" hidden="1" x14ac:dyDescent="0.3">
      <c r="A30" s="12"/>
      <c r="B30" s="12"/>
      <c r="C30" s="28">
        <f t="shared" si="1"/>
        <v>11.125</v>
      </c>
      <c r="D30" s="18" t="s">
        <v>176</v>
      </c>
      <c r="E30" s="12" t="s">
        <v>126</v>
      </c>
      <c r="F30" s="12"/>
      <c r="G30" s="16"/>
      <c r="H30" s="16"/>
      <c r="I30" s="38" t="s">
        <v>85</v>
      </c>
      <c r="J30" s="33"/>
      <c r="K30" s="24"/>
      <c r="L30" s="24"/>
      <c r="M30" s="24"/>
      <c r="N30" s="34"/>
      <c r="O30" s="24">
        <f>9.5625</f>
        <v>9.5625</v>
      </c>
      <c r="P30" s="24"/>
      <c r="Q30" s="24"/>
      <c r="R30" s="24"/>
      <c r="S30" s="34"/>
      <c r="T30" s="31"/>
      <c r="U30" s="24"/>
      <c r="V30" s="24"/>
      <c r="W30" s="24"/>
      <c r="X30" s="24"/>
      <c r="Y30" s="39">
        <v>0.1875</v>
      </c>
      <c r="Z30" s="39"/>
      <c r="AA30" s="39"/>
      <c r="AB30" s="39"/>
      <c r="AC30" s="39"/>
      <c r="AD30" s="24">
        <f>1.0625</f>
        <v>1.0625</v>
      </c>
      <c r="AE30" s="24"/>
      <c r="AF30" s="24"/>
      <c r="AG30" s="24"/>
      <c r="AH30" s="24"/>
      <c r="AI30" s="40">
        <f>0.3125</f>
        <v>0.3125</v>
      </c>
      <c r="AJ30" s="40"/>
      <c r="AK30" s="40"/>
      <c r="AL30" s="40"/>
      <c r="AM30" s="40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</row>
    <row r="31" spans="1:69" hidden="1" x14ac:dyDescent="0.3">
      <c r="A31" s="12"/>
      <c r="B31" s="12"/>
      <c r="C31" s="28">
        <f t="shared" si="1"/>
        <v>3.8125</v>
      </c>
      <c r="D31" s="18" t="s">
        <v>177</v>
      </c>
      <c r="E31" s="12" t="s">
        <v>126</v>
      </c>
      <c r="F31" s="12"/>
      <c r="G31" s="16"/>
      <c r="H31" s="16"/>
      <c r="I31" s="38" t="s">
        <v>85</v>
      </c>
      <c r="J31" s="33"/>
      <c r="K31" s="24"/>
      <c r="L31" s="24"/>
      <c r="M31" s="24"/>
      <c r="N31" s="34"/>
      <c r="O31" s="24">
        <f>0.875</f>
        <v>0.875</v>
      </c>
      <c r="P31" s="24"/>
      <c r="Q31" s="24"/>
      <c r="R31" s="24"/>
      <c r="S31" s="34"/>
      <c r="T31" s="31"/>
      <c r="U31" s="24"/>
      <c r="V31" s="24"/>
      <c r="W31" s="24"/>
      <c r="X31" s="24"/>
      <c r="Y31" s="39">
        <v>0.75</v>
      </c>
      <c r="Z31" s="39"/>
      <c r="AA31" s="39"/>
      <c r="AB31" s="39"/>
      <c r="AC31" s="39"/>
      <c r="AD31" s="24">
        <f>2.1875</f>
        <v>2.1875</v>
      </c>
      <c r="AE31" s="24"/>
      <c r="AF31" s="24"/>
      <c r="AG31" s="24"/>
      <c r="AH31" s="24"/>
      <c r="AI31" s="40"/>
      <c r="AJ31" s="40"/>
      <c r="AK31" s="40"/>
      <c r="AL31" s="40"/>
      <c r="AM31" s="40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</row>
    <row r="32" spans="1:69" hidden="1" x14ac:dyDescent="0.3">
      <c r="A32" s="12"/>
      <c r="B32" s="12"/>
      <c r="C32" s="28">
        <f t="shared" si="1"/>
        <v>1.75</v>
      </c>
      <c r="D32" s="18" t="s">
        <v>178</v>
      </c>
      <c r="E32" s="12" t="s">
        <v>126</v>
      </c>
      <c r="F32" s="12"/>
      <c r="G32" s="16"/>
      <c r="H32" s="16"/>
      <c r="I32" s="38" t="s">
        <v>85</v>
      </c>
      <c r="J32" s="33"/>
      <c r="K32" s="24"/>
      <c r="L32" s="24"/>
      <c r="M32" s="24"/>
      <c r="N32" s="34"/>
      <c r="O32" s="24"/>
      <c r="P32" s="24"/>
      <c r="Q32" s="24"/>
      <c r="R32" s="24"/>
      <c r="S32" s="34"/>
      <c r="T32" s="31"/>
      <c r="U32" s="24"/>
      <c r="V32" s="24"/>
      <c r="W32" s="24"/>
      <c r="X32" s="24"/>
      <c r="Y32" s="39"/>
      <c r="Z32" s="39"/>
      <c r="AA32" s="39"/>
      <c r="AB32" s="39"/>
      <c r="AC32" s="39"/>
      <c r="AD32" s="24">
        <f>1.75</f>
        <v>1.75</v>
      </c>
      <c r="AE32" s="24"/>
      <c r="AF32" s="24"/>
      <c r="AG32" s="24"/>
      <c r="AH32" s="24"/>
      <c r="AI32" s="40"/>
      <c r="AJ32" s="40"/>
      <c r="AK32" s="40"/>
      <c r="AL32" s="40"/>
      <c r="AM32" s="40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</row>
    <row r="33" spans="1:69" hidden="1" x14ac:dyDescent="0.3">
      <c r="A33" s="12"/>
      <c r="B33" s="12"/>
      <c r="C33" s="28">
        <f t="shared" si="1"/>
        <v>1.75</v>
      </c>
      <c r="D33" s="18" t="s">
        <v>179</v>
      </c>
      <c r="E33" s="12" t="s">
        <v>126</v>
      </c>
      <c r="F33" s="12"/>
      <c r="G33" s="16"/>
      <c r="H33" s="16"/>
      <c r="I33" s="38" t="s">
        <v>85</v>
      </c>
      <c r="J33" s="33"/>
      <c r="K33" s="24"/>
      <c r="L33" s="24"/>
      <c r="M33" s="24"/>
      <c r="N33" s="34"/>
      <c r="O33" s="24"/>
      <c r="P33" s="24"/>
      <c r="Q33" s="24"/>
      <c r="R33" s="24"/>
      <c r="S33" s="34"/>
      <c r="T33" s="31">
        <v>1.75</v>
      </c>
      <c r="U33" s="24"/>
      <c r="V33" s="24"/>
      <c r="W33" s="24"/>
      <c r="X33" s="24"/>
      <c r="Y33" s="39"/>
      <c r="Z33" s="39"/>
      <c r="AA33" s="39"/>
      <c r="AB33" s="39"/>
      <c r="AC33" s="39"/>
      <c r="AD33" s="24"/>
      <c r="AE33" s="24"/>
      <c r="AF33" s="24"/>
      <c r="AG33" s="24"/>
      <c r="AH33" s="24"/>
      <c r="AI33" s="40"/>
      <c r="AJ33" s="40"/>
      <c r="AK33" s="40"/>
      <c r="AL33" s="40"/>
      <c r="AM33" s="40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</row>
    <row r="34" spans="1:69" hidden="1" x14ac:dyDescent="0.3">
      <c r="A34" s="12"/>
      <c r="B34" s="12"/>
      <c r="C34" s="28">
        <f t="shared" si="1"/>
        <v>1.5</v>
      </c>
      <c r="D34" s="18" t="s">
        <v>180</v>
      </c>
      <c r="E34" s="12" t="s">
        <v>126</v>
      </c>
      <c r="F34" s="12"/>
      <c r="G34" s="16"/>
      <c r="H34" s="16"/>
      <c r="I34" s="38" t="s">
        <v>85</v>
      </c>
      <c r="J34" s="33"/>
      <c r="K34" s="24"/>
      <c r="L34" s="24"/>
      <c r="M34" s="24"/>
      <c r="N34" s="34"/>
      <c r="O34" s="24"/>
      <c r="P34" s="24"/>
      <c r="Q34" s="24"/>
      <c r="R34" s="24"/>
      <c r="S34" s="34"/>
      <c r="T34" s="31"/>
      <c r="U34" s="24"/>
      <c r="V34" s="24"/>
      <c r="W34" s="24"/>
      <c r="X34" s="24"/>
      <c r="Y34" s="39"/>
      <c r="Z34" s="39"/>
      <c r="AA34" s="39"/>
      <c r="AB34" s="39"/>
      <c r="AC34" s="39"/>
      <c r="AD34" s="24">
        <f>0.5</f>
        <v>0.5</v>
      </c>
      <c r="AE34" s="24"/>
      <c r="AF34" s="24"/>
      <c r="AG34" s="24"/>
      <c r="AH34" s="24"/>
      <c r="AI34" s="40">
        <v>1</v>
      </c>
      <c r="AJ34" s="40"/>
      <c r="AK34" s="40"/>
      <c r="AL34" s="40"/>
      <c r="AM34" s="40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</row>
    <row r="35" spans="1:69" hidden="1" x14ac:dyDescent="0.3">
      <c r="A35" s="12"/>
      <c r="B35" s="12"/>
      <c r="C35" s="28">
        <f t="shared" si="1"/>
        <v>10.5</v>
      </c>
      <c r="D35" s="18" t="s">
        <v>154</v>
      </c>
      <c r="E35" s="12" t="s">
        <v>1</v>
      </c>
      <c r="F35" s="12"/>
      <c r="G35" s="16"/>
      <c r="H35" s="16"/>
      <c r="I35" s="38" t="s">
        <v>85</v>
      </c>
      <c r="J35" s="33"/>
      <c r="K35" s="24"/>
      <c r="L35" s="24"/>
      <c r="M35" s="24"/>
      <c r="N35" s="34"/>
      <c r="O35" s="24">
        <f>1</f>
        <v>1</v>
      </c>
      <c r="P35" s="24"/>
      <c r="Q35" s="24"/>
      <c r="R35" s="24"/>
      <c r="S35" s="34"/>
      <c r="T35" s="31">
        <f>2.5</f>
        <v>2.5</v>
      </c>
      <c r="U35" s="24"/>
      <c r="V35" s="24"/>
      <c r="W35" s="24"/>
      <c r="X35" s="24"/>
      <c r="Y35" s="39">
        <f>5.5625</f>
        <v>5.5625</v>
      </c>
      <c r="Z35" s="39"/>
      <c r="AA35" s="39"/>
      <c r="AB35" s="39"/>
      <c r="AC35" s="39"/>
      <c r="AD35" s="24"/>
      <c r="AE35" s="24"/>
      <c r="AF35" s="24"/>
      <c r="AG35" s="24"/>
      <c r="AH35" s="24"/>
      <c r="AI35" s="40">
        <f>1.4375</f>
        <v>1.4375</v>
      </c>
      <c r="AJ35" s="40"/>
      <c r="AK35" s="40"/>
      <c r="AL35" s="40"/>
      <c r="AM35" s="40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</row>
    <row r="36" spans="1:69" x14ac:dyDescent="0.3">
      <c r="A36" s="12"/>
      <c r="B36" s="12"/>
      <c r="C36" s="28">
        <f t="shared" ref="C36:C39" si="2">SUM(J36:BQ36)</f>
        <v>19</v>
      </c>
      <c r="D36" s="18" t="s">
        <v>154</v>
      </c>
      <c r="E36" s="12" t="s">
        <v>117</v>
      </c>
      <c r="F36" s="12"/>
      <c r="G36" s="16"/>
      <c r="H36" s="16"/>
      <c r="I36" s="38" t="s">
        <v>86</v>
      </c>
      <c r="J36" s="24"/>
      <c r="K36" s="24"/>
      <c r="L36" s="24"/>
      <c r="M36" s="24"/>
      <c r="N36" s="24"/>
      <c r="O36" s="24"/>
      <c r="P36" s="24"/>
      <c r="Q36" s="24"/>
      <c r="R36" s="24"/>
      <c r="S36" s="34"/>
      <c r="T36" s="31"/>
      <c r="U36" s="24"/>
      <c r="V36" s="24"/>
      <c r="W36" s="24"/>
      <c r="X36" s="24"/>
      <c r="Y36" s="39"/>
      <c r="Z36" s="39"/>
      <c r="AA36" s="39"/>
      <c r="AB36" s="39"/>
      <c r="AC36" s="39"/>
      <c r="AD36" s="24">
        <v>3</v>
      </c>
      <c r="AE36" s="24"/>
      <c r="AF36" s="24"/>
      <c r="AG36" s="24"/>
      <c r="AH36" s="24"/>
      <c r="AI36" s="40"/>
      <c r="AJ36" s="40"/>
      <c r="AK36" s="40"/>
      <c r="AL36" s="40"/>
      <c r="AM36" s="40"/>
      <c r="AN36" s="24"/>
      <c r="AO36" s="24"/>
      <c r="AP36" s="24"/>
      <c r="AQ36" s="24"/>
      <c r="AR36" s="24">
        <v>1</v>
      </c>
      <c r="AS36" s="24">
        <v>5</v>
      </c>
      <c r="AT36" s="24">
        <v>5</v>
      </c>
      <c r="AU36" s="24">
        <v>5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</row>
    <row r="37" spans="1:69" hidden="1" x14ac:dyDescent="0.3">
      <c r="A37" s="4"/>
      <c r="B37" s="4"/>
      <c r="C37" s="28">
        <f t="shared" si="2"/>
        <v>86.75</v>
      </c>
      <c r="D37" s="18" t="s">
        <v>154</v>
      </c>
      <c r="E37" s="12" t="s">
        <v>121</v>
      </c>
      <c r="F37" s="12"/>
      <c r="G37" s="16"/>
      <c r="H37" s="16"/>
      <c r="I37" s="38" t="s">
        <v>86</v>
      </c>
      <c r="J37" s="33">
        <f>0.5</f>
        <v>0.5</v>
      </c>
      <c r="K37" s="24"/>
      <c r="L37" s="24"/>
      <c r="M37" s="24"/>
      <c r="N37" s="34"/>
      <c r="O37" s="24">
        <f>7</f>
        <v>7</v>
      </c>
      <c r="P37" s="24"/>
      <c r="Q37" s="24"/>
      <c r="R37" s="24"/>
      <c r="S37" s="34"/>
      <c r="T37" s="31">
        <f>15.5</f>
        <v>15.5</v>
      </c>
      <c r="U37" s="24"/>
      <c r="V37" s="24"/>
      <c r="W37" s="24"/>
      <c r="X37" s="24"/>
      <c r="Y37" s="39">
        <f>12+1.25</f>
        <v>13.25</v>
      </c>
      <c r="Z37" s="39"/>
      <c r="AA37" s="39"/>
      <c r="AB37" s="39"/>
      <c r="AC37" s="39"/>
      <c r="AD37" s="24">
        <v>3</v>
      </c>
      <c r="AE37" s="24">
        <v>1</v>
      </c>
      <c r="AF37" s="24">
        <v>4.5</v>
      </c>
      <c r="AG37" s="24">
        <v>5</v>
      </c>
      <c r="AH37" s="24">
        <v>2</v>
      </c>
      <c r="AI37" s="40">
        <f>19</f>
        <v>19</v>
      </c>
      <c r="AJ37" s="40"/>
      <c r="AK37" s="40"/>
      <c r="AL37" s="40"/>
      <c r="AM37" s="40"/>
      <c r="AN37" s="24"/>
      <c r="AO37" s="24">
        <v>4</v>
      </c>
      <c r="AP37" s="24">
        <v>4</v>
      </c>
      <c r="AQ37" s="24">
        <v>4</v>
      </c>
      <c r="AR37" s="24">
        <v>4</v>
      </c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</row>
    <row r="38" spans="1:69" hidden="1" x14ac:dyDescent="0.3">
      <c r="A38" s="26"/>
      <c r="B38" s="4"/>
      <c r="C38" s="28">
        <f t="shared" si="2"/>
        <v>4</v>
      </c>
      <c r="D38" s="18" t="s">
        <v>154</v>
      </c>
      <c r="E38" s="12" t="s">
        <v>131</v>
      </c>
      <c r="F38" s="12"/>
      <c r="G38" s="16"/>
      <c r="H38" s="37"/>
      <c r="I38" s="38" t="s">
        <v>86</v>
      </c>
      <c r="J38" s="35"/>
      <c r="K38" s="28"/>
      <c r="L38" s="28"/>
      <c r="M38" s="28"/>
      <c r="N38" s="36"/>
      <c r="O38" s="28"/>
      <c r="P38" s="29"/>
      <c r="Q38" s="28"/>
      <c r="R38" s="28"/>
      <c r="S38" s="36"/>
      <c r="T38" s="32"/>
      <c r="U38" s="28"/>
      <c r="V38" s="28"/>
      <c r="W38" s="28"/>
      <c r="X38" s="24"/>
      <c r="Y38" s="39">
        <f>4</f>
        <v>4</v>
      </c>
      <c r="Z38" s="39"/>
      <c r="AA38" s="39"/>
      <c r="AB38" s="39"/>
      <c r="AC38" s="39"/>
      <c r="AD38" s="24"/>
      <c r="AE38" s="24"/>
      <c r="AF38" s="24"/>
      <c r="AG38" s="24"/>
      <c r="AH38" s="24"/>
      <c r="AI38" s="40"/>
      <c r="AJ38" s="40"/>
      <c r="AK38" s="40"/>
      <c r="AL38" s="40"/>
      <c r="AM38" s="40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</row>
    <row r="39" spans="1:69" hidden="1" x14ac:dyDescent="0.3">
      <c r="A39" s="4"/>
      <c r="B39" s="4"/>
      <c r="C39" s="28">
        <f t="shared" si="2"/>
        <v>4.75</v>
      </c>
      <c r="D39" s="18" t="s">
        <v>181</v>
      </c>
      <c r="E39" s="12" t="s">
        <v>126</v>
      </c>
      <c r="F39" s="12"/>
      <c r="G39" s="16"/>
      <c r="H39" s="12"/>
      <c r="I39" s="38" t="s">
        <v>86</v>
      </c>
      <c r="J39" s="35"/>
      <c r="K39" s="28"/>
      <c r="L39" s="28"/>
      <c r="M39" s="28"/>
      <c r="N39" s="36"/>
      <c r="O39" s="28">
        <v>0.25</v>
      </c>
      <c r="P39" s="29"/>
      <c r="Q39" s="28"/>
      <c r="R39" s="28"/>
      <c r="S39" s="36"/>
      <c r="T39" s="32"/>
      <c r="U39" s="28"/>
      <c r="V39" s="28"/>
      <c r="W39" s="28"/>
      <c r="X39" s="24"/>
      <c r="Y39" s="39"/>
      <c r="Z39" s="39"/>
      <c r="AA39" s="39"/>
      <c r="AB39" s="39"/>
      <c r="AC39" s="39"/>
      <c r="AD39" s="24">
        <f>2.5</f>
        <v>2.5</v>
      </c>
      <c r="AE39" s="24"/>
      <c r="AF39" s="24"/>
      <c r="AG39" s="24"/>
      <c r="AH39" s="24"/>
      <c r="AI39" s="40">
        <f>2</f>
        <v>2</v>
      </c>
      <c r="AJ39" s="40"/>
      <c r="AK39" s="40"/>
      <c r="AL39" s="40"/>
      <c r="AM39" s="40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</row>
    <row r="40" spans="1:69" hidden="1" x14ac:dyDescent="0.3">
      <c r="A40" s="4"/>
      <c r="B40" s="4"/>
      <c r="C40" s="28">
        <f t="shared" ref="C40:C66" si="3">SUM(J40:BQ40)</f>
        <v>38.5</v>
      </c>
      <c r="D40" s="18" t="s">
        <v>154</v>
      </c>
      <c r="E40" s="12" t="s">
        <v>1</v>
      </c>
      <c r="F40" s="12"/>
      <c r="G40" s="16"/>
      <c r="H40" s="16"/>
      <c r="I40" s="38" t="s">
        <v>86</v>
      </c>
      <c r="J40" s="35">
        <f>15.5</f>
        <v>15.5</v>
      </c>
      <c r="K40" s="28"/>
      <c r="L40" s="28"/>
      <c r="M40" s="28"/>
      <c r="N40" s="36"/>
      <c r="O40" s="28">
        <f>12.75</f>
        <v>12.75</v>
      </c>
      <c r="P40" s="29"/>
      <c r="Q40" s="28"/>
      <c r="R40" s="28"/>
      <c r="S40" s="36"/>
      <c r="T40" s="32">
        <f>7.5</f>
        <v>7.5</v>
      </c>
      <c r="U40" s="28"/>
      <c r="V40" s="28"/>
      <c r="W40" s="28"/>
      <c r="X40" s="24"/>
      <c r="Y40" s="39">
        <f>2.75</f>
        <v>2.75</v>
      </c>
      <c r="Z40" s="39"/>
      <c r="AA40" s="39"/>
      <c r="AB40" s="39"/>
      <c r="AC40" s="39"/>
      <c r="AD40" s="24"/>
      <c r="AE40" s="24"/>
      <c r="AF40" s="24"/>
      <c r="AG40" s="24"/>
      <c r="AH40" s="24"/>
      <c r="AI40" s="40"/>
      <c r="AJ40" s="40"/>
      <c r="AK40" s="40"/>
      <c r="AL40" s="40"/>
      <c r="AM40" s="40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</row>
    <row r="41" spans="1:69" x14ac:dyDescent="0.3">
      <c r="A41" s="12"/>
      <c r="B41" s="12"/>
      <c r="C41" s="28">
        <f t="shared" si="3"/>
        <v>28.5</v>
      </c>
      <c r="D41" s="18" t="s">
        <v>154</v>
      </c>
      <c r="E41" s="12" t="s">
        <v>117</v>
      </c>
      <c r="F41" s="12"/>
      <c r="G41" s="16"/>
      <c r="H41" s="16"/>
      <c r="I41" s="38" t="s">
        <v>136</v>
      </c>
      <c r="J41" s="24">
        <v>2</v>
      </c>
      <c r="K41" s="24">
        <v>2</v>
      </c>
      <c r="L41" s="24">
        <v>2</v>
      </c>
      <c r="M41" s="24">
        <v>2</v>
      </c>
      <c r="N41" s="24"/>
      <c r="O41" s="24">
        <f>1</f>
        <v>1</v>
      </c>
      <c r="P41" s="24"/>
      <c r="Q41" s="24"/>
      <c r="R41" s="24"/>
      <c r="S41" s="34"/>
      <c r="T41" s="31">
        <v>2</v>
      </c>
      <c r="U41" s="24"/>
      <c r="V41" s="24"/>
      <c r="W41" s="24"/>
      <c r="X41" s="24"/>
      <c r="Y41" s="39"/>
      <c r="Z41" s="39"/>
      <c r="AA41" s="39"/>
      <c r="AB41" s="39"/>
      <c r="AC41" s="39"/>
      <c r="AD41" s="24"/>
      <c r="AE41" s="24"/>
      <c r="AF41" s="24">
        <v>1</v>
      </c>
      <c r="AG41" s="24">
        <v>1</v>
      </c>
      <c r="AH41" s="24"/>
      <c r="AI41" s="40">
        <f>0.5</f>
        <v>0.5</v>
      </c>
      <c r="AJ41" s="40"/>
      <c r="AK41" s="40"/>
      <c r="AL41" s="40"/>
      <c r="AM41" s="40"/>
      <c r="AN41" s="24"/>
      <c r="AO41" s="24"/>
      <c r="AP41" s="24">
        <v>1</v>
      </c>
      <c r="AQ41" s="24"/>
      <c r="AR41" s="24"/>
      <c r="AS41" s="24"/>
      <c r="AT41" s="24"/>
      <c r="AU41" s="24">
        <v>4</v>
      </c>
      <c r="AV41" s="24">
        <v>5</v>
      </c>
      <c r="AW41" s="24">
        <v>3</v>
      </c>
      <c r="AX41" s="24">
        <v>2</v>
      </c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</row>
    <row r="42" spans="1:69" hidden="1" x14ac:dyDescent="0.3">
      <c r="A42" s="12"/>
      <c r="B42" s="12"/>
      <c r="C42" s="28">
        <f t="shared" si="3"/>
        <v>87.65625</v>
      </c>
      <c r="D42" s="18" t="s">
        <v>154</v>
      </c>
      <c r="E42" s="12" t="s">
        <v>121</v>
      </c>
      <c r="F42" s="12"/>
      <c r="G42" s="16"/>
      <c r="H42" s="16"/>
      <c r="I42" s="38" t="s">
        <v>136</v>
      </c>
      <c r="J42" s="33">
        <f>8.25</f>
        <v>8.25</v>
      </c>
      <c r="K42" s="24"/>
      <c r="L42" s="24"/>
      <c r="M42" s="24"/>
      <c r="N42" s="34"/>
      <c r="O42" s="24">
        <f>0.25+23.15625-7</f>
        <v>16.40625</v>
      </c>
      <c r="P42" s="24"/>
      <c r="Q42" s="24"/>
      <c r="R42" s="24"/>
      <c r="S42" s="34"/>
      <c r="T42" s="31">
        <f>10.625+2.25+0.125+0.625</f>
        <v>13.625</v>
      </c>
      <c r="U42" s="24"/>
      <c r="V42" s="24"/>
      <c r="W42" s="24"/>
      <c r="X42" s="24"/>
      <c r="Y42" s="39">
        <f>0.625+12.75+2.875</f>
        <v>16.25</v>
      </c>
      <c r="Z42" s="39"/>
      <c r="AA42" s="39"/>
      <c r="AB42" s="39"/>
      <c r="AC42" s="39"/>
      <c r="AD42" s="24">
        <f>12.375</f>
        <v>12.375</v>
      </c>
      <c r="AE42" s="24"/>
      <c r="AF42" s="24"/>
      <c r="AG42" s="24"/>
      <c r="AH42" s="24"/>
      <c r="AI42" s="40">
        <f>1.5+7.375+3.875</f>
        <v>12.75</v>
      </c>
      <c r="AJ42" s="40"/>
      <c r="AK42" s="40"/>
      <c r="AL42" s="40"/>
      <c r="AM42" s="40"/>
      <c r="AN42" s="24"/>
      <c r="AO42" s="24">
        <v>2</v>
      </c>
      <c r="AP42" s="24"/>
      <c r="AQ42" s="24">
        <v>2</v>
      </c>
      <c r="AR42" s="24">
        <v>2</v>
      </c>
      <c r="AS42" s="24">
        <v>1</v>
      </c>
      <c r="AT42" s="24">
        <v>1</v>
      </c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</row>
    <row r="43" spans="1:69" hidden="1" x14ac:dyDescent="0.3">
      <c r="A43" s="12"/>
      <c r="B43" s="12"/>
      <c r="C43" s="28">
        <f t="shared" si="3"/>
        <v>3</v>
      </c>
      <c r="D43" s="18" t="s">
        <v>182</v>
      </c>
      <c r="E43" s="12" t="s">
        <v>131</v>
      </c>
      <c r="F43" s="12"/>
      <c r="G43" s="16"/>
      <c r="H43" s="16"/>
      <c r="I43" s="38" t="s">
        <v>136</v>
      </c>
      <c r="J43" s="33"/>
      <c r="K43" s="24"/>
      <c r="L43" s="24"/>
      <c r="M43" s="24"/>
      <c r="N43" s="34"/>
      <c r="O43" s="24"/>
      <c r="P43" s="24"/>
      <c r="Q43" s="24"/>
      <c r="R43" s="24"/>
      <c r="S43" s="34"/>
      <c r="T43" s="31"/>
      <c r="U43" s="24"/>
      <c r="V43" s="24"/>
      <c r="W43" s="24"/>
      <c r="X43" s="24"/>
      <c r="Y43" s="39"/>
      <c r="Z43" s="39"/>
      <c r="AA43" s="39"/>
      <c r="AB43" s="39"/>
      <c r="AC43" s="39"/>
      <c r="AD43" s="24"/>
      <c r="AE43" s="24"/>
      <c r="AF43" s="24"/>
      <c r="AG43" s="24"/>
      <c r="AH43" s="24"/>
      <c r="AI43" s="40"/>
      <c r="AJ43" s="40"/>
      <c r="AK43" s="40"/>
      <c r="AL43" s="40"/>
      <c r="AM43" s="40"/>
      <c r="AN43" s="24"/>
      <c r="AO43" s="24">
        <v>1</v>
      </c>
      <c r="AP43" s="24">
        <v>1</v>
      </c>
      <c r="AQ43" s="24">
        <v>1</v>
      </c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</row>
    <row r="44" spans="1:69" hidden="1" x14ac:dyDescent="0.3">
      <c r="A44" s="12"/>
      <c r="B44" s="12"/>
      <c r="C44" s="28">
        <f t="shared" si="3"/>
        <v>2</v>
      </c>
      <c r="D44" s="18" t="s">
        <v>183</v>
      </c>
      <c r="E44" s="12" t="s">
        <v>131</v>
      </c>
      <c r="F44" s="12"/>
      <c r="G44" s="16"/>
      <c r="H44" s="16"/>
      <c r="I44" s="38" t="s">
        <v>136</v>
      </c>
      <c r="J44" s="33"/>
      <c r="K44" s="24"/>
      <c r="L44" s="24"/>
      <c r="M44" s="24"/>
      <c r="N44" s="34"/>
      <c r="O44" s="24"/>
      <c r="P44" s="24"/>
      <c r="Q44" s="24"/>
      <c r="R44" s="24"/>
      <c r="S44" s="34"/>
      <c r="T44" s="31">
        <f>2</f>
        <v>2</v>
      </c>
      <c r="U44" s="24"/>
      <c r="V44" s="24"/>
      <c r="W44" s="24"/>
      <c r="X44" s="24"/>
      <c r="Y44" s="39"/>
      <c r="Z44" s="39"/>
      <c r="AA44" s="39"/>
      <c r="AB44" s="39"/>
      <c r="AC44" s="39"/>
      <c r="AD44" s="24"/>
      <c r="AE44" s="24"/>
      <c r="AF44" s="24"/>
      <c r="AG44" s="24"/>
      <c r="AH44" s="24"/>
      <c r="AI44" s="40"/>
      <c r="AJ44" s="40"/>
      <c r="AK44" s="40"/>
      <c r="AL44" s="40"/>
      <c r="AM44" s="40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</row>
    <row r="45" spans="1:69" hidden="1" x14ac:dyDescent="0.3">
      <c r="A45" s="12"/>
      <c r="B45" s="12"/>
      <c r="C45" s="28">
        <f t="shared" si="3"/>
        <v>6.75</v>
      </c>
      <c r="D45" s="18" t="s">
        <v>154</v>
      </c>
      <c r="E45" s="12" t="s">
        <v>126</v>
      </c>
      <c r="F45" s="12"/>
      <c r="G45" s="16"/>
      <c r="H45" s="16"/>
      <c r="I45" s="38" t="s">
        <v>136</v>
      </c>
      <c r="J45" s="33">
        <f>4.75</f>
        <v>4.75</v>
      </c>
      <c r="K45" s="24"/>
      <c r="L45" s="24"/>
      <c r="M45" s="24"/>
      <c r="N45" s="34"/>
      <c r="O45" s="24">
        <f>2</f>
        <v>2</v>
      </c>
      <c r="P45" s="24"/>
      <c r="Q45" s="24"/>
      <c r="R45" s="24"/>
      <c r="S45" s="34"/>
      <c r="T45" s="31"/>
      <c r="U45" s="24"/>
      <c r="V45" s="24"/>
      <c r="W45" s="24"/>
      <c r="X45" s="24"/>
      <c r="Y45" s="39"/>
      <c r="Z45" s="39"/>
      <c r="AA45" s="39"/>
      <c r="AB45" s="39"/>
      <c r="AC45" s="39"/>
      <c r="AD45" s="24"/>
      <c r="AE45" s="24"/>
      <c r="AF45" s="24"/>
      <c r="AG45" s="24"/>
      <c r="AH45" s="24"/>
      <c r="AI45" s="40"/>
      <c r="AJ45" s="40"/>
      <c r="AK45" s="40"/>
      <c r="AL45" s="40"/>
      <c r="AM45" s="40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</row>
    <row r="46" spans="1:69" hidden="1" x14ac:dyDescent="0.3">
      <c r="A46" s="12"/>
      <c r="B46" s="12"/>
      <c r="C46" s="28">
        <f t="shared" si="3"/>
        <v>39.75</v>
      </c>
      <c r="D46" s="18" t="s">
        <v>184</v>
      </c>
      <c r="E46" s="12" t="s">
        <v>126</v>
      </c>
      <c r="F46" s="12"/>
      <c r="G46" s="16"/>
      <c r="H46" s="16"/>
      <c r="I46" s="38" t="s">
        <v>136</v>
      </c>
      <c r="J46" s="33"/>
      <c r="K46" s="24"/>
      <c r="L46" s="24"/>
      <c r="M46" s="24"/>
      <c r="N46" s="34"/>
      <c r="O46" s="24"/>
      <c r="P46" s="24"/>
      <c r="Q46" s="24"/>
      <c r="R46" s="24"/>
      <c r="S46" s="34"/>
      <c r="T46" s="31"/>
      <c r="U46" s="24"/>
      <c r="V46" s="24"/>
      <c r="W46" s="24"/>
      <c r="X46" s="24"/>
      <c r="Y46" s="39">
        <v>3</v>
      </c>
      <c r="Z46" s="39"/>
      <c r="AA46" s="39"/>
      <c r="AB46" s="39"/>
      <c r="AC46" s="39"/>
      <c r="AD46" s="24">
        <v>3.625</v>
      </c>
      <c r="AE46" s="24"/>
      <c r="AF46" s="24"/>
      <c r="AG46" s="24"/>
      <c r="AH46" s="24"/>
      <c r="AI46" s="40">
        <v>4.625</v>
      </c>
      <c r="AJ46" s="40"/>
      <c r="AK46" s="40"/>
      <c r="AL46" s="40"/>
      <c r="AM46" s="40"/>
      <c r="AN46" s="24"/>
      <c r="AO46" s="24">
        <v>1</v>
      </c>
      <c r="AP46" s="24">
        <v>1</v>
      </c>
      <c r="AQ46" s="24">
        <v>1</v>
      </c>
      <c r="AR46" s="24"/>
      <c r="AS46" s="24">
        <v>2</v>
      </c>
      <c r="AT46" s="24">
        <v>2</v>
      </c>
      <c r="AU46" s="24"/>
      <c r="AV46" s="24"/>
      <c r="AW46" s="24"/>
      <c r="AX46" s="24"/>
      <c r="AY46" s="24">
        <v>1</v>
      </c>
      <c r="AZ46" s="24">
        <v>2</v>
      </c>
      <c r="BA46" s="24">
        <v>2</v>
      </c>
      <c r="BB46" s="24">
        <v>2</v>
      </c>
      <c r="BC46" s="24">
        <v>2</v>
      </c>
      <c r="BD46" s="24">
        <v>2</v>
      </c>
      <c r="BE46" s="24">
        <v>2</v>
      </c>
      <c r="BF46" s="24">
        <v>2</v>
      </c>
      <c r="BG46" s="24"/>
      <c r="BH46" s="24">
        <v>1</v>
      </c>
      <c r="BI46" s="24">
        <v>1.5</v>
      </c>
      <c r="BJ46" s="24">
        <v>1</v>
      </c>
      <c r="BK46" s="24">
        <v>1</v>
      </c>
      <c r="BL46" s="24">
        <v>1</v>
      </c>
      <c r="BM46" s="24">
        <v>1</v>
      </c>
      <c r="BN46" s="24"/>
      <c r="BO46" s="24"/>
      <c r="BP46" s="24"/>
      <c r="BQ46" s="24"/>
    </row>
    <row r="47" spans="1:69" hidden="1" x14ac:dyDescent="0.3">
      <c r="A47" s="12"/>
      <c r="B47" s="12"/>
      <c r="C47" s="28">
        <f t="shared" si="3"/>
        <v>21.125</v>
      </c>
      <c r="D47" s="18" t="s">
        <v>185</v>
      </c>
      <c r="E47" s="12" t="s">
        <v>126</v>
      </c>
      <c r="F47" s="12"/>
      <c r="G47" s="16"/>
      <c r="H47" s="16"/>
      <c r="I47" s="38" t="s">
        <v>136</v>
      </c>
      <c r="J47" s="33"/>
      <c r="K47" s="24"/>
      <c r="L47" s="24"/>
      <c r="M47" s="24"/>
      <c r="N47" s="34"/>
      <c r="O47" s="24"/>
      <c r="P47" s="24"/>
      <c r="Q47" s="24"/>
      <c r="R47" s="24"/>
      <c r="S47" s="34"/>
      <c r="T47" s="31"/>
      <c r="U47" s="24"/>
      <c r="V47" s="24"/>
      <c r="W47" s="24"/>
      <c r="X47" s="24"/>
      <c r="Y47" s="39"/>
      <c r="Z47" s="39"/>
      <c r="AA47" s="39"/>
      <c r="AB47" s="39"/>
      <c r="AC47" s="39"/>
      <c r="AD47" s="24">
        <f>3</f>
        <v>3</v>
      </c>
      <c r="AE47" s="24"/>
      <c r="AF47" s="24"/>
      <c r="AG47" s="24"/>
      <c r="AH47" s="24"/>
      <c r="AI47" s="40">
        <v>3.125</v>
      </c>
      <c r="AJ47" s="40"/>
      <c r="AK47" s="40"/>
      <c r="AL47" s="40"/>
      <c r="AM47" s="40"/>
      <c r="AN47" s="24">
        <v>1</v>
      </c>
      <c r="AO47" s="24">
        <v>1</v>
      </c>
      <c r="AP47" s="24">
        <v>1</v>
      </c>
      <c r="AQ47" s="24">
        <v>1</v>
      </c>
      <c r="AR47" s="24">
        <v>2</v>
      </c>
      <c r="AS47" s="24">
        <v>2</v>
      </c>
      <c r="AT47" s="24">
        <v>2</v>
      </c>
      <c r="AU47" s="24"/>
      <c r="AV47" s="24"/>
      <c r="AW47" s="24"/>
      <c r="AX47" s="24"/>
      <c r="AY47" s="24">
        <v>2</v>
      </c>
      <c r="AZ47" s="24">
        <v>2</v>
      </c>
      <c r="BA47" s="24">
        <v>1</v>
      </c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</row>
    <row r="48" spans="1:69" hidden="1" x14ac:dyDescent="0.3">
      <c r="A48" s="12"/>
      <c r="B48" s="12"/>
      <c r="C48" s="28">
        <f t="shared" si="3"/>
        <v>6.125</v>
      </c>
      <c r="D48" s="18" t="s">
        <v>154</v>
      </c>
      <c r="E48" s="12" t="s">
        <v>1</v>
      </c>
      <c r="F48" s="12"/>
      <c r="G48" s="16"/>
      <c r="H48" s="16"/>
      <c r="I48" s="38" t="s">
        <v>136</v>
      </c>
      <c r="J48" s="33"/>
      <c r="K48" s="24"/>
      <c r="L48" s="24"/>
      <c r="M48" s="24"/>
      <c r="N48" s="34"/>
      <c r="O48" s="24"/>
      <c r="P48" s="24"/>
      <c r="Q48" s="24"/>
      <c r="R48" s="24"/>
      <c r="S48" s="34"/>
      <c r="T48" s="31">
        <f>5.375</f>
        <v>5.375</v>
      </c>
      <c r="U48" s="24"/>
      <c r="V48" s="24"/>
      <c r="W48" s="24"/>
      <c r="X48" s="24"/>
      <c r="Y48" s="39">
        <f>0.75</f>
        <v>0.75</v>
      </c>
      <c r="Z48" s="39"/>
      <c r="AA48" s="39"/>
      <c r="AB48" s="39"/>
      <c r="AC48" s="39"/>
      <c r="AD48" s="24"/>
      <c r="AE48" s="24"/>
      <c r="AF48" s="24"/>
      <c r="AG48" s="24"/>
      <c r="AH48" s="24"/>
      <c r="AI48" s="40"/>
      <c r="AJ48" s="40"/>
      <c r="AK48" s="40"/>
      <c r="AL48" s="40"/>
      <c r="AM48" s="40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</row>
    <row r="49" spans="1:69" x14ac:dyDescent="0.3">
      <c r="A49" s="12"/>
      <c r="B49" s="12"/>
      <c r="C49" s="28">
        <f t="shared" si="3"/>
        <v>44</v>
      </c>
      <c r="D49" s="18" t="s">
        <v>154</v>
      </c>
      <c r="E49" s="12" t="s">
        <v>117</v>
      </c>
      <c r="F49" s="12"/>
      <c r="G49" s="16"/>
      <c r="H49" s="16"/>
      <c r="I49" s="38" t="s">
        <v>87</v>
      </c>
      <c r="J49" s="24">
        <v>2</v>
      </c>
      <c r="K49" s="24">
        <v>1</v>
      </c>
      <c r="L49" s="24">
        <v>1</v>
      </c>
      <c r="M49" s="24"/>
      <c r="N49" s="24"/>
      <c r="O49" s="24">
        <f>2.5</f>
        <v>2.5</v>
      </c>
      <c r="P49" s="24"/>
      <c r="Q49" s="24"/>
      <c r="R49" s="24"/>
      <c r="S49" s="34"/>
      <c r="T49" s="31">
        <v>1</v>
      </c>
      <c r="U49" s="24"/>
      <c r="V49" s="24"/>
      <c r="W49" s="24"/>
      <c r="X49" s="24"/>
      <c r="Y49" s="39">
        <v>7</v>
      </c>
      <c r="Z49" s="39"/>
      <c r="AA49" s="39"/>
      <c r="AB49" s="39"/>
      <c r="AC49" s="39"/>
      <c r="AD49" s="24">
        <v>1</v>
      </c>
      <c r="AE49" s="24"/>
      <c r="AF49" s="24">
        <v>1</v>
      </c>
      <c r="AG49" s="24"/>
      <c r="AH49" s="24"/>
      <c r="AI49" s="40">
        <f>0.5</f>
        <v>0.5</v>
      </c>
      <c r="AJ49" s="40"/>
      <c r="AK49" s="40"/>
      <c r="AL49" s="40"/>
      <c r="AM49" s="40"/>
      <c r="AN49" s="24"/>
      <c r="AO49" s="24"/>
      <c r="AP49" s="24"/>
      <c r="AQ49" s="24">
        <v>5</v>
      </c>
      <c r="AR49" s="24">
        <v>5</v>
      </c>
      <c r="AS49" s="24">
        <v>5</v>
      </c>
      <c r="AT49" s="24"/>
      <c r="AU49" s="24">
        <v>4</v>
      </c>
      <c r="AV49" s="24">
        <v>5</v>
      </c>
      <c r="AW49" s="24">
        <v>3</v>
      </c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</row>
    <row r="50" spans="1:69" hidden="1" x14ac:dyDescent="0.3">
      <c r="A50" s="12"/>
      <c r="B50" s="12"/>
      <c r="C50" s="28">
        <f t="shared" si="3"/>
        <v>33.71875</v>
      </c>
      <c r="D50" s="18" t="s">
        <v>154</v>
      </c>
      <c r="E50" s="12" t="s">
        <v>121</v>
      </c>
      <c r="F50" s="12"/>
      <c r="G50" s="16"/>
      <c r="H50" s="16"/>
      <c r="I50" s="38" t="s">
        <v>87</v>
      </c>
      <c r="J50" s="33">
        <f>4.0625-0.25-0.4375</f>
        <v>3.375</v>
      </c>
      <c r="K50" s="24"/>
      <c r="L50" s="24"/>
      <c r="M50" s="24"/>
      <c r="N50" s="34"/>
      <c r="O50" s="24">
        <f>1</f>
        <v>1</v>
      </c>
      <c r="P50" s="24"/>
      <c r="Q50" s="24"/>
      <c r="R50" s="24"/>
      <c r="S50" s="34"/>
      <c r="T50" s="31">
        <f>4.125</f>
        <v>4.125</v>
      </c>
      <c r="U50" s="24"/>
      <c r="V50" s="24"/>
      <c r="W50" s="24"/>
      <c r="X50" s="24"/>
      <c r="Y50" s="39">
        <f>1.21875+4.375</f>
        <v>5.59375</v>
      </c>
      <c r="Z50" s="39"/>
      <c r="AA50" s="39"/>
      <c r="AB50" s="39"/>
      <c r="AC50" s="39"/>
      <c r="AD50" s="24">
        <f>7.625</f>
        <v>7.625</v>
      </c>
      <c r="AE50" s="24"/>
      <c r="AF50" s="24"/>
      <c r="AG50" s="24"/>
      <c r="AH50" s="24"/>
      <c r="AI50" s="40">
        <f>5</f>
        <v>5</v>
      </c>
      <c r="AJ50" s="40" t="s">
        <v>155</v>
      </c>
      <c r="AK50" s="40" t="s">
        <v>155</v>
      </c>
      <c r="AL50" s="40" t="s">
        <v>155</v>
      </c>
      <c r="AM50" s="40" t="s">
        <v>155</v>
      </c>
      <c r="AN50" s="24">
        <v>1</v>
      </c>
      <c r="AO50" s="24">
        <v>3</v>
      </c>
      <c r="AP50" s="24">
        <v>3</v>
      </c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</row>
    <row r="51" spans="1:69" hidden="1" x14ac:dyDescent="0.3">
      <c r="A51" s="12"/>
      <c r="B51" s="12"/>
      <c r="C51" s="28">
        <f t="shared" si="3"/>
        <v>10.25</v>
      </c>
      <c r="D51" s="18" t="s">
        <v>154</v>
      </c>
      <c r="E51" s="12" t="s">
        <v>131</v>
      </c>
      <c r="F51" s="12"/>
      <c r="G51" s="16"/>
      <c r="H51" s="16"/>
      <c r="I51" s="38" t="s">
        <v>87</v>
      </c>
      <c r="J51" s="33"/>
      <c r="K51" s="24"/>
      <c r="L51" s="24"/>
      <c r="M51" s="24"/>
      <c r="N51" s="34"/>
      <c r="O51" s="24"/>
      <c r="P51" s="24"/>
      <c r="Q51" s="24"/>
      <c r="R51" s="24"/>
      <c r="S51" s="34"/>
      <c r="T51" s="31">
        <f>7.875</f>
        <v>7.875</v>
      </c>
      <c r="U51" s="24"/>
      <c r="V51" s="24"/>
      <c r="W51" s="24"/>
      <c r="X51" s="24"/>
      <c r="Y51" s="39">
        <f>2</f>
        <v>2</v>
      </c>
      <c r="Z51" s="39"/>
      <c r="AA51" s="39"/>
      <c r="AB51" s="39"/>
      <c r="AC51" s="39"/>
      <c r="AD51" s="24"/>
      <c r="AE51" s="24"/>
      <c r="AF51" s="24"/>
      <c r="AG51" s="24"/>
      <c r="AH51" s="24"/>
      <c r="AI51" s="40">
        <f>0.375</f>
        <v>0.375</v>
      </c>
      <c r="AJ51" s="40"/>
      <c r="AK51" s="40" t="s">
        <v>155</v>
      </c>
      <c r="AL51" s="40"/>
      <c r="AM51" s="40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</row>
    <row r="52" spans="1:69" hidden="1" x14ac:dyDescent="0.3">
      <c r="A52" s="12"/>
      <c r="B52" s="12"/>
      <c r="C52" s="28">
        <f t="shared" si="3"/>
        <v>3</v>
      </c>
      <c r="D52" s="18" t="s">
        <v>186</v>
      </c>
      <c r="E52" s="12" t="s">
        <v>126</v>
      </c>
      <c r="F52" s="12"/>
      <c r="G52" s="16"/>
      <c r="H52" s="16"/>
      <c r="I52" s="38" t="s">
        <v>87</v>
      </c>
      <c r="J52" s="33"/>
      <c r="K52" s="24"/>
      <c r="L52" s="24"/>
      <c r="M52" s="24"/>
      <c r="N52" s="34"/>
      <c r="O52" s="24"/>
      <c r="P52" s="24"/>
      <c r="Q52" s="24"/>
      <c r="R52" s="24"/>
      <c r="S52" s="34"/>
      <c r="T52" s="31"/>
      <c r="U52" s="24"/>
      <c r="V52" s="24"/>
      <c r="W52" s="24"/>
      <c r="X52" s="24"/>
      <c r="Y52" s="39"/>
      <c r="Z52" s="39"/>
      <c r="AA52" s="39"/>
      <c r="AB52" s="39"/>
      <c r="AC52" s="39"/>
      <c r="AD52" s="24">
        <f>1</f>
        <v>1</v>
      </c>
      <c r="AE52" s="24"/>
      <c r="AF52" s="24"/>
      <c r="AG52" s="24"/>
      <c r="AH52" s="24"/>
      <c r="AI52" s="40">
        <v>2</v>
      </c>
      <c r="AJ52" s="40"/>
      <c r="AK52" s="40"/>
      <c r="AL52" s="40"/>
      <c r="AM52" s="40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</row>
    <row r="53" spans="1:69" hidden="1" x14ac:dyDescent="0.3">
      <c r="A53" s="12"/>
      <c r="B53" s="12"/>
      <c r="C53" s="28">
        <f t="shared" si="3"/>
        <v>0.25</v>
      </c>
      <c r="D53" s="18" t="s">
        <v>168</v>
      </c>
      <c r="E53" s="12" t="s">
        <v>126</v>
      </c>
      <c r="F53" s="12"/>
      <c r="G53" s="16"/>
      <c r="H53" s="16"/>
      <c r="I53" s="38" t="s">
        <v>87</v>
      </c>
      <c r="J53" s="33"/>
      <c r="K53" s="24"/>
      <c r="L53" s="24"/>
      <c r="M53" s="24"/>
      <c r="N53" s="34"/>
      <c r="O53" s="24"/>
      <c r="P53" s="24"/>
      <c r="Q53" s="24"/>
      <c r="R53" s="24"/>
      <c r="S53" s="34"/>
      <c r="T53" s="31"/>
      <c r="U53" s="24"/>
      <c r="V53" s="24"/>
      <c r="W53" s="24"/>
      <c r="X53" s="24"/>
      <c r="Y53" s="39">
        <f>0.25</f>
        <v>0.25</v>
      </c>
      <c r="Z53" s="39"/>
      <c r="AA53" s="39"/>
      <c r="AB53" s="39"/>
      <c r="AC53" s="39"/>
      <c r="AD53" s="24"/>
      <c r="AE53" s="24"/>
      <c r="AF53" s="24"/>
      <c r="AG53" s="24"/>
      <c r="AH53" s="24"/>
      <c r="AI53" s="40"/>
      <c r="AJ53" s="40"/>
      <c r="AK53" s="40"/>
      <c r="AL53" s="40"/>
      <c r="AM53" s="40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</row>
    <row r="54" spans="1:69" hidden="1" x14ac:dyDescent="0.3">
      <c r="A54" s="12"/>
      <c r="B54" s="12"/>
      <c r="C54" s="28">
        <f t="shared" si="3"/>
        <v>3</v>
      </c>
      <c r="D54" s="18" t="s">
        <v>187</v>
      </c>
      <c r="E54" s="12" t="s">
        <v>126</v>
      </c>
      <c r="F54" s="12"/>
      <c r="G54" s="16"/>
      <c r="H54" s="16"/>
      <c r="I54" s="38" t="s">
        <v>87</v>
      </c>
      <c r="J54" s="33"/>
      <c r="K54" s="24"/>
      <c r="L54" s="24"/>
      <c r="M54" s="24"/>
      <c r="N54" s="34"/>
      <c r="O54" s="24"/>
      <c r="P54" s="24"/>
      <c r="Q54" s="24"/>
      <c r="R54" s="24"/>
      <c r="S54" s="34"/>
      <c r="T54" s="31"/>
      <c r="U54" s="24"/>
      <c r="V54" s="24"/>
      <c r="W54" s="24"/>
      <c r="X54" s="24"/>
      <c r="Y54" s="39">
        <f>3</f>
        <v>3</v>
      </c>
      <c r="Z54" s="39"/>
      <c r="AA54" s="39"/>
      <c r="AB54" s="39"/>
      <c r="AC54" s="39"/>
      <c r="AD54" s="24"/>
      <c r="AE54" s="24"/>
      <c r="AF54" s="24"/>
      <c r="AG54" s="24"/>
      <c r="AH54" s="24"/>
      <c r="AI54" s="40"/>
      <c r="AJ54" s="40"/>
      <c r="AK54" s="40"/>
      <c r="AL54" s="40"/>
      <c r="AM54" s="40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</row>
    <row r="55" spans="1:69" hidden="1" x14ac:dyDescent="0.3">
      <c r="A55" s="12"/>
      <c r="B55" s="12"/>
      <c r="C55" s="28">
        <f t="shared" si="3"/>
        <v>6</v>
      </c>
      <c r="D55" s="18" t="s">
        <v>188</v>
      </c>
      <c r="E55" s="12" t="s">
        <v>126</v>
      </c>
      <c r="F55" s="12"/>
      <c r="G55" s="16"/>
      <c r="H55" s="16"/>
      <c r="I55" s="38" t="s">
        <v>87</v>
      </c>
      <c r="J55" s="33"/>
      <c r="K55" s="24"/>
      <c r="L55" s="24"/>
      <c r="M55" s="24"/>
      <c r="N55" s="34"/>
      <c r="O55" s="24"/>
      <c r="P55" s="24"/>
      <c r="Q55" s="24"/>
      <c r="R55" s="24"/>
      <c r="S55" s="34"/>
      <c r="T55" s="31"/>
      <c r="U55" s="24"/>
      <c r="V55" s="24"/>
      <c r="W55" s="24"/>
      <c r="X55" s="24"/>
      <c r="Y55" s="39"/>
      <c r="Z55" s="39"/>
      <c r="AA55" s="39"/>
      <c r="AB55" s="39"/>
      <c r="AC55" s="39"/>
      <c r="AD55" s="24"/>
      <c r="AE55" s="24"/>
      <c r="AF55" s="24"/>
      <c r="AG55" s="24"/>
      <c r="AH55" s="24"/>
      <c r="AI55" s="40">
        <f>6</f>
        <v>6</v>
      </c>
      <c r="AJ55" s="40"/>
      <c r="AK55" s="40"/>
      <c r="AL55" s="40"/>
      <c r="AM55" s="40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</row>
    <row r="56" spans="1:69" hidden="1" x14ac:dyDescent="0.3">
      <c r="A56" s="12"/>
      <c r="B56" s="12"/>
      <c r="C56" s="28">
        <f t="shared" si="3"/>
        <v>1.875</v>
      </c>
      <c r="D56" s="18" t="s">
        <v>189</v>
      </c>
      <c r="E56" s="12" t="s">
        <v>126</v>
      </c>
      <c r="F56" s="12"/>
      <c r="G56" s="16"/>
      <c r="H56" s="16"/>
      <c r="I56" s="38" t="s">
        <v>87</v>
      </c>
      <c r="J56" s="33"/>
      <c r="K56" s="24"/>
      <c r="L56" s="24"/>
      <c r="M56" s="24"/>
      <c r="N56" s="34"/>
      <c r="O56" s="24"/>
      <c r="P56" s="24"/>
      <c r="Q56" s="24"/>
      <c r="R56" s="24"/>
      <c r="S56" s="34"/>
      <c r="T56" s="31"/>
      <c r="U56" s="24"/>
      <c r="V56" s="24"/>
      <c r="W56" s="24"/>
      <c r="X56" s="24"/>
      <c r="Y56" s="39"/>
      <c r="Z56" s="39"/>
      <c r="AA56" s="39"/>
      <c r="AB56" s="39"/>
      <c r="AC56" s="39"/>
      <c r="AD56" s="24"/>
      <c r="AE56" s="24"/>
      <c r="AF56" s="24"/>
      <c r="AG56" s="24"/>
      <c r="AH56" s="24"/>
      <c r="AI56" s="40">
        <f>1.875</f>
        <v>1.875</v>
      </c>
      <c r="AJ56" s="40"/>
      <c r="AK56" s="40"/>
      <c r="AL56" s="40"/>
      <c r="AM56" s="40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</row>
    <row r="57" spans="1:69" hidden="1" x14ac:dyDescent="0.3">
      <c r="A57" s="12"/>
      <c r="B57" s="12"/>
      <c r="C57" s="28">
        <f t="shared" si="3"/>
        <v>19.5</v>
      </c>
      <c r="D57" s="18" t="s">
        <v>154</v>
      </c>
      <c r="E57" s="12" t="s">
        <v>126</v>
      </c>
      <c r="F57" s="12"/>
      <c r="G57" s="16"/>
      <c r="H57" s="16"/>
      <c r="I57" s="38" t="s">
        <v>87</v>
      </c>
      <c r="J57" s="33">
        <f>10.875</f>
        <v>10.875</v>
      </c>
      <c r="K57" s="24"/>
      <c r="L57" s="24"/>
      <c r="M57" s="24"/>
      <c r="N57" s="34"/>
      <c r="O57" s="24">
        <f>8.625</f>
        <v>8.625</v>
      </c>
      <c r="P57" s="24"/>
      <c r="Q57" s="24"/>
      <c r="R57" s="24"/>
      <c r="S57" s="34"/>
      <c r="T57" s="31"/>
      <c r="U57" s="24"/>
      <c r="V57" s="24"/>
      <c r="W57" s="24"/>
      <c r="X57" s="24"/>
      <c r="Y57" s="39"/>
      <c r="Z57" s="39"/>
      <c r="AA57" s="39"/>
      <c r="AB57" s="39"/>
      <c r="AC57" s="39"/>
      <c r="AD57" s="24"/>
      <c r="AE57" s="24"/>
      <c r="AF57" s="24"/>
      <c r="AG57" s="24"/>
      <c r="AH57" s="24"/>
      <c r="AI57" s="40"/>
      <c r="AJ57" s="40"/>
      <c r="AK57" s="40"/>
      <c r="AL57" s="40"/>
      <c r="AM57" s="40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</row>
    <row r="58" spans="1:69" hidden="1" x14ac:dyDescent="0.3">
      <c r="A58" s="12"/>
      <c r="B58" s="12"/>
      <c r="C58" s="28">
        <f t="shared" si="3"/>
        <v>40.40625</v>
      </c>
      <c r="D58" s="18" t="s">
        <v>154</v>
      </c>
      <c r="E58" s="12" t="s">
        <v>1</v>
      </c>
      <c r="F58" s="12"/>
      <c r="G58" s="16"/>
      <c r="H58" s="16"/>
      <c r="I58" s="38" t="s">
        <v>87</v>
      </c>
      <c r="J58" s="33">
        <f>4.75</f>
        <v>4.75</v>
      </c>
      <c r="K58" s="24"/>
      <c r="L58" s="24"/>
      <c r="M58" s="24"/>
      <c r="N58" s="34"/>
      <c r="O58" s="24">
        <f>7.875</f>
        <v>7.875</v>
      </c>
      <c r="P58" s="24"/>
      <c r="Q58" s="24"/>
      <c r="R58" s="24"/>
      <c r="S58" s="34"/>
      <c r="T58" s="31">
        <f>10</f>
        <v>10</v>
      </c>
      <c r="U58" s="24"/>
      <c r="V58" s="24"/>
      <c r="W58" s="24"/>
      <c r="X58" s="24"/>
      <c r="Y58" s="39">
        <f>2.15625</f>
        <v>2.15625</v>
      </c>
      <c r="Z58" s="39"/>
      <c r="AA58" s="39"/>
      <c r="AB58" s="39"/>
      <c r="AC58" s="39"/>
      <c r="AD58" s="24">
        <f>10.375</f>
        <v>10.375</v>
      </c>
      <c r="AE58" s="24"/>
      <c r="AF58" s="24"/>
      <c r="AG58" s="24"/>
      <c r="AH58" s="24"/>
      <c r="AI58" s="40">
        <f>5.25</f>
        <v>5.25</v>
      </c>
      <c r="AJ58" s="40"/>
      <c r="AK58" s="40"/>
      <c r="AL58" s="40"/>
      <c r="AM58" s="40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</row>
    <row r="59" spans="1:69" x14ac:dyDescent="0.3">
      <c r="A59" s="12"/>
      <c r="B59" s="12"/>
      <c r="C59" s="28">
        <f t="shared" si="3"/>
        <v>20</v>
      </c>
      <c r="D59" s="18" t="s">
        <v>154</v>
      </c>
      <c r="E59" s="12" t="s">
        <v>117</v>
      </c>
      <c r="F59" s="12"/>
      <c r="G59" s="16"/>
      <c r="H59" s="16"/>
      <c r="I59" s="38" t="s">
        <v>88</v>
      </c>
      <c r="J59" s="24"/>
      <c r="K59" s="24"/>
      <c r="L59" s="24"/>
      <c r="M59" s="24">
        <v>1</v>
      </c>
      <c r="N59" s="24"/>
      <c r="O59" s="24">
        <f>1</f>
        <v>1</v>
      </c>
      <c r="P59" s="24"/>
      <c r="Q59" s="24"/>
      <c r="R59" s="24"/>
      <c r="S59" s="34"/>
      <c r="T59" s="31">
        <f>1</f>
        <v>1</v>
      </c>
      <c r="U59" s="24"/>
      <c r="V59" s="24"/>
      <c r="W59" s="24"/>
      <c r="X59" s="24"/>
      <c r="Y59" s="39"/>
      <c r="Z59" s="39"/>
      <c r="AA59" s="39"/>
      <c r="AB59" s="39"/>
      <c r="AC59" s="39"/>
      <c r="AD59" s="24"/>
      <c r="AE59" s="24"/>
      <c r="AF59" s="24"/>
      <c r="AG59" s="24">
        <v>1</v>
      </c>
      <c r="AH59" s="24"/>
      <c r="AI59" s="40">
        <v>1</v>
      </c>
      <c r="AJ59" s="40"/>
      <c r="AK59" s="40"/>
      <c r="AL59" s="40"/>
      <c r="AM59" s="40"/>
      <c r="AN59" s="24"/>
      <c r="AO59" s="24"/>
      <c r="AP59" s="24"/>
      <c r="AQ59" s="24"/>
      <c r="AR59" s="24"/>
      <c r="AS59" s="24">
        <v>1</v>
      </c>
      <c r="AT59" s="24">
        <v>5</v>
      </c>
      <c r="AU59" s="24">
        <v>4</v>
      </c>
      <c r="AV59" s="24">
        <v>5</v>
      </c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</row>
    <row r="60" spans="1:69" hidden="1" x14ac:dyDescent="0.3">
      <c r="A60" s="12"/>
      <c r="B60" s="12"/>
      <c r="C60" s="28">
        <f t="shared" si="3"/>
        <v>96.8125</v>
      </c>
      <c r="D60" s="18" t="s">
        <v>154</v>
      </c>
      <c r="E60" s="12" t="s">
        <v>121</v>
      </c>
      <c r="F60" s="12"/>
      <c r="G60" s="16"/>
      <c r="H60" s="16"/>
      <c r="I60" s="38" t="s">
        <v>88</v>
      </c>
      <c r="J60" s="33">
        <f>15</f>
        <v>15</v>
      </c>
      <c r="K60" s="24"/>
      <c r="L60" s="24"/>
      <c r="M60" s="24"/>
      <c r="N60" s="34"/>
      <c r="O60" s="24">
        <f>13.25</f>
        <v>13.25</v>
      </c>
      <c r="P60" s="24"/>
      <c r="Q60" s="24"/>
      <c r="R60" s="24"/>
      <c r="S60" s="34"/>
      <c r="T60" s="31">
        <f>12.1875</f>
        <v>12.1875</v>
      </c>
      <c r="U60" s="24"/>
      <c r="V60" s="24"/>
      <c r="W60" s="24"/>
      <c r="X60" s="24"/>
      <c r="Y60" s="39">
        <f>15.875</f>
        <v>15.875</v>
      </c>
      <c r="Z60" s="39"/>
      <c r="AA60" s="39"/>
      <c r="AB60" s="39"/>
      <c r="AC60" s="39"/>
      <c r="AD60" s="24">
        <f>12.5</f>
        <v>12.5</v>
      </c>
      <c r="AE60" s="24"/>
      <c r="AF60" s="24"/>
      <c r="AG60" s="24"/>
      <c r="AH60" s="24"/>
      <c r="AI60" s="40">
        <f>17</f>
        <v>17</v>
      </c>
      <c r="AJ60" s="40"/>
      <c r="AK60" s="40"/>
      <c r="AL60" s="40"/>
      <c r="AM60" s="40"/>
      <c r="AN60" s="24">
        <v>1</v>
      </c>
      <c r="AO60" s="24">
        <v>2</v>
      </c>
      <c r="AP60" s="24">
        <v>3</v>
      </c>
      <c r="AQ60" s="24">
        <v>3</v>
      </c>
      <c r="AR60" s="24">
        <v>2</v>
      </c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</row>
    <row r="61" spans="1:69" hidden="1" x14ac:dyDescent="0.3">
      <c r="A61" s="12"/>
      <c r="B61" s="12"/>
      <c r="C61" s="28">
        <f t="shared" si="3"/>
        <v>12.875</v>
      </c>
      <c r="D61" s="18" t="s">
        <v>154</v>
      </c>
      <c r="E61" s="12" t="s">
        <v>131</v>
      </c>
      <c r="F61" s="12"/>
      <c r="G61" s="16"/>
      <c r="H61" s="16"/>
      <c r="I61" s="38" t="s">
        <v>88</v>
      </c>
      <c r="J61" s="33">
        <f>1</f>
        <v>1</v>
      </c>
      <c r="K61" s="24"/>
      <c r="L61" s="24"/>
      <c r="M61" s="24"/>
      <c r="N61" s="34"/>
      <c r="O61" s="24">
        <f>2.75</f>
        <v>2.75</v>
      </c>
      <c r="P61" s="24"/>
      <c r="Q61" s="24"/>
      <c r="R61" s="24"/>
      <c r="S61" s="34"/>
      <c r="T61" s="31">
        <f>4</f>
        <v>4</v>
      </c>
      <c r="U61" s="24"/>
      <c r="V61" s="24"/>
      <c r="W61" s="24"/>
      <c r="X61" s="24"/>
      <c r="Y61" s="39">
        <f>3.625</f>
        <v>3.625</v>
      </c>
      <c r="Z61" s="39"/>
      <c r="AA61" s="39"/>
      <c r="AB61" s="39"/>
      <c r="AC61" s="39"/>
      <c r="AD61" s="24">
        <f>1.5</f>
        <v>1.5</v>
      </c>
      <c r="AE61" s="24"/>
      <c r="AF61" s="24"/>
      <c r="AG61" s="24"/>
      <c r="AH61" s="24"/>
      <c r="AI61" s="40" t="s">
        <v>155</v>
      </c>
      <c r="AJ61" s="40"/>
      <c r="AK61" s="40"/>
      <c r="AL61" s="40"/>
      <c r="AM61" s="40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</row>
    <row r="62" spans="1:69" hidden="1" x14ac:dyDescent="0.3">
      <c r="A62" s="12"/>
      <c r="B62" s="12"/>
      <c r="C62" s="28">
        <f t="shared" si="3"/>
        <v>0</v>
      </c>
      <c r="D62" s="18" t="s">
        <v>190</v>
      </c>
      <c r="E62" s="12" t="s">
        <v>126</v>
      </c>
      <c r="F62" s="12"/>
      <c r="G62" s="16"/>
      <c r="H62" s="16"/>
      <c r="I62" s="38" t="s">
        <v>88</v>
      </c>
      <c r="J62" s="38" t="s">
        <v>88</v>
      </c>
      <c r="K62" s="38" t="s">
        <v>88</v>
      </c>
      <c r="L62" s="38" t="s">
        <v>88</v>
      </c>
      <c r="M62" s="38" t="s">
        <v>88</v>
      </c>
      <c r="N62" s="38" t="s">
        <v>88</v>
      </c>
      <c r="O62" s="38" t="s">
        <v>88</v>
      </c>
      <c r="P62" s="38" t="s">
        <v>88</v>
      </c>
      <c r="Q62" s="38" t="s">
        <v>88</v>
      </c>
      <c r="R62" s="38" t="s">
        <v>88</v>
      </c>
      <c r="S62" s="38" t="s">
        <v>88</v>
      </c>
      <c r="T62" s="38" t="s">
        <v>88</v>
      </c>
      <c r="U62" s="38" t="s">
        <v>88</v>
      </c>
      <c r="V62" s="38" t="s">
        <v>88</v>
      </c>
      <c r="W62" s="38" t="s">
        <v>88</v>
      </c>
      <c r="X62" s="38" t="s">
        <v>88</v>
      </c>
      <c r="Y62" s="38" t="s">
        <v>88</v>
      </c>
      <c r="Z62" s="38" t="s">
        <v>88</v>
      </c>
      <c r="AA62" s="38" t="s">
        <v>88</v>
      </c>
      <c r="AB62" s="38" t="s">
        <v>88</v>
      </c>
      <c r="AC62" s="38" t="s">
        <v>88</v>
      </c>
      <c r="AD62" s="38" t="s">
        <v>88</v>
      </c>
      <c r="AE62" s="38" t="s">
        <v>88</v>
      </c>
      <c r="AF62" s="38" t="s">
        <v>88</v>
      </c>
      <c r="AG62" s="38" t="s">
        <v>88</v>
      </c>
      <c r="AH62" s="24"/>
      <c r="AI62" s="40" t="s">
        <v>155</v>
      </c>
      <c r="AJ62" s="40"/>
      <c r="AK62" s="40"/>
      <c r="AL62" s="40"/>
      <c r="AM62" s="40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</row>
    <row r="63" spans="1:69" hidden="1" x14ac:dyDescent="0.3">
      <c r="A63" s="12"/>
      <c r="B63" s="12"/>
      <c r="C63" s="28">
        <f t="shared" si="3"/>
        <v>0.75</v>
      </c>
      <c r="D63" s="18" t="s">
        <v>191</v>
      </c>
      <c r="E63" s="12" t="s">
        <v>126</v>
      </c>
      <c r="F63" s="12"/>
      <c r="G63" s="16"/>
      <c r="H63" s="16"/>
      <c r="I63" s="38" t="s">
        <v>88</v>
      </c>
      <c r="J63" s="33"/>
      <c r="K63" s="24"/>
      <c r="L63" s="24"/>
      <c r="M63" s="24"/>
      <c r="N63" s="34"/>
      <c r="O63" s="24"/>
      <c r="P63" s="24"/>
      <c r="Q63" s="24"/>
      <c r="R63" s="24"/>
      <c r="S63" s="34"/>
      <c r="T63" s="31"/>
      <c r="U63" s="24"/>
      <c r="V63" s="24"/>
      <c r="W63" s="24"/>
      <c r="X63" s="24"/>
      <c r="Y63" s="39"/>
      <c r="Z63" s="39"/>
      <c r="AA63" s="39"/>
      <c r="AB63" s="39"/>
      <c r="AC63" s="39"/>
      <c r="AD63" s="24"/>
      <c r="AE63" s="24"/>
      <c r="AF63" s="24"/>
      <c r="AG63" s="24"/>
      <c r="AH63" s="24"/>
      <c r="AI63" s="40">
        <f>0.75</f>
        <v>0.75</v>
      </c>
      <c r="AJ63" s="40"/>
      <c r="AK63" s="40"/>
      <c r="AL63" s="40"/>
      <c r="AM63" s="40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</row>
    <row r="64" spans="1:69" hidden="1" x14ac:dyDescent="0.3">
      <c r="A64" s="12"/>
      <c r="B64" s="12"/>
      <c r="C64" s="28">
        <f t="shared" si="3"/>
        <v>4</v>
      </c>
      <c r="D64" s="18" t="s">
        <v>192</v>
      </c>
      <c r="E64" s="12" t="s">
        <v>126</v>
      </c>
      <c r="F64" s="12"/>
      <c r="G64" s="16"/>
      <c r="H64" s="16"/>
      <c r="I64" s="38" t="s">
        <v>88</v>
      </c>
      <c r="J64" s="33"/>
      <c r="K64" s="24"/>
      <c r="L64" s="24"/>
      <c r="M64" s="24"/>
      <c r="N64" s="34"/>
      <c r="O64" s="24"/>
      <c r="P64" s="24"/>
      <c r="Q64" s="24"/>
      <c r="R64" s="24"/>
      <c r="S64" s="34"/>
      <c r="T64" s="31">
        <f>1</f>
        <v>1</v>
      </c>
      <c r="U64" s="24"/>
      <c r="V64" s="24"/>
      <c r="W64" s="24"/>
      <c r="X64" s="24"/>
      <c r="Y64" s="39"/>
      <c r="Z64" s="39"/>
      <c r="AA64" s="39"/>
      <c r="AB64" s="39"/>
      <c r="AC64" s="39"/>
      <c r="AD64" s="24">
        <f>3</f>
        <v>3</v>
      </c>
      <c r="AE64" s="24"/>
      <c r="AF64" s="24"/>
      <c r="AG64" s="24"/>
      <c r="AH64" s="24"/>
      <c r="AI64" s="40"/>
      <c r="AJ64" s="40"/>
      <c r="AK64" s="40"/>
      <c r="AL64" s="40"/>
      <c r="AM64" s="40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</row>
    <row r="65" spans="1:69" hidden="1" x14ac:dyDescent="0.3">
      <c r="A65" s="12"/>
      <c r="B65" s="12"/>
      <c r="C65" s="28">
        <f t="shared" si="3"/>
        <v>0</v>
      </c>
      <c r="D65" s="18" t="s">
        <v>154</v>
      </c>
      <c r="E65" s="12" t="s">
        <v>126</v>
      </c>
      <c r="F65" s="12"/>
      <c r="G65" s="16"/>
      <c r="H65" s="16"/>
      <c r="I65" s="38" t="s">
        <v>88</v>
      </c>
      <c r="J65" s="33"/>
      <c r="K65" s="24"/>
      <c r="L65" s="24"/>
      <c r="M65" s="24"/>
      <c r="N65" s="34"/>
      <c r="O65" s="24"/>
      <c r="P65" s="24"/>
      <c r="Q65" s="24"/>
      <c r="R65" s="24"/>
      <c r="S65" s="34"/>
      <c r="T65" s="31"/>
      <c r="U65" s="24"/>
      <c r="V65" s="24"/>
      <c r="W65" s="24"/>
      <c r="X65" s="24"/>
      <c r="Y65" s="39"/>
      <c r="Z65" s="39"/>
      <c r="AA65" s="39"/>
      <c r="AB65" s="39"/>
      <c r="AC65" s="39"/>
      <c r="AD65" s="24"/>
      <c r="AE65" s="24"/>
      <c r="AF65" s="24"/>
      <c r="AG65" s="24"/>
      <c r="AH65" s="24"/>
      <c r="AI65" s="40"/>
      <c r="AJ65" s="40"/>
      <c r="AK65" s="40"/>
      <c r="AL65" s="40"/>
      <c r="AM65" s="40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</row>
    <row r="66" spans="1:69" hidden="1" x14ac:dyDescent="0.3">
      <c r="A66" s="12"/>
      <c r="B66" s="12"/>
      <c r="C66" s="28">
        <f t="shared" si="3"/>
        <v>11.5625</v>
      </c>
      <c r="D66" s="18" t="s">
        <v>154</v>
      </c>
      <c r="E66" s="12" t="s">
        <v>1</v>
      </c>
      <c r="F66" s="12"/>
      <c r="G66" s="16"/>
      <c r="H66" s="16"/>
      <c r="I66" s="38" t="s">
        <v>88</v>
      </c>
      <c r="J66" s="33"/>
      <c r="K66" s="24"/>
      <c r="L66" s="24"/>
      <c r="M66" s="24"/>
      <c r="N66" s="34"/>
      <c r="O66" s="24">
        <f>3</f>
        <v>3</v>
      </c>
      <c r="P66" s="24"/>
      <c r="Q66" s="24"/>
      <c r="R66" s="24"/>
      <c r="S66" s="34"/>
      <c r="T66" s="31">
        <f>4.8125</f>
        <v>4.8125</v>
      </c>
      <c r="U66" s="24"/>
      <c r="V66" s="24"/>
      <c r="W66" s="24"/>
      <c r="X66" s="24"/>
      <c r="Y66" s="39">
        <f>0.5</f>
        <v>0.5</v>
      </c>
      <c r="Z66" s="39"/>
      <c r="AA66" s="39"/>
      <c r="AB66" s="39"/>
      <c r="AC66" s="39"/>
      <c r="AD66" s="24">
        <f>1</f>
        <v>1</v>
      </c>
      <c r="AE66" s="24"/>
      <c r="AF66" s="24"/>
      <c r="AG66" s="24"/>
      <c r="AH66" s="24"/>
      <c r="AI66" s="40">
        <f>2.25</f>
        <v>2.25</v>
      </c>
      <c r="AJ66" s="40"/>
      <c r="AK66" s="40"/>
      <c r="AL66" s="40"/>
      <c r="AM66" s="40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</row>
    <row r="67" spans="1:69" x14ac:dyDescent="0.3">
      <c r="A67" s="12"/>
      <c r="B67" s="12"/>
      <c r="C67" s="28">
        <f t="shared" ref="C67:C89" si="4">SUM(J67:BQ67)</f>
        <v>33.5</v>
      </c>
      <c r="D67" s="18" t="s">
        <v>154</v>
      </c>
      <c r="E67" s="12" t="s">
        <v>117</v>
      </c>
      <c r="F67" s="12"/>
      <c r="G67" s="16"/>
      <c r="H67" s="16"/>
      <c r="I67" s="38" t="s">
        <v>89</v>
      </c>
      <c r="J67" s="24"/>
      <c r="K67" s="24"/>
      <c r="L67" s="24"/>
      <c r="M67" s="24"/>
      <c r="N67" s="24"/>
      <c r="O67" s="24">
        <f>7</f>
        <v>7</v>
      </c>
      <c r="P67" s="24"/>
      <c r="Q67" s="24"/>
      <c r="R67" s="24"/>
      <c r="S67" s="34"/>
      <c r="T67" s="31">
        <v>4</v>
      </c>
      <c r="U67" s="24"/>
      <c r="V67" s="24"/>
      <c r="W67" s="24"/>
      <c r="X67" s="24"/>
      <c r="Y67" s="39"/>
      <c r="Z67" s="39"/>
      <c r="AA67" s="39"/>
      <c r="AB67" s="39"/>
      <c r="AC67" s="39"/>
      <c r="AD67" s="24">
        <v>1</v>
      </c>
      <c r="AE67" s="24">
        <v>2</v>
      </c>
      <c r="AF67" s="24"/>
      <c r="AG67" s="24"/>
      <c r="AH67" s="24"/>
      <c r="AI67" s="40">
        <f>3.5</f>
        <v>3.5</v>
      </c>
      <c r="AJ67" s="40"/>
      <c r="AK67" s="40"/>
      <c r="AL67" s="40"/>
      <c r="AM67" s="40"/>
      <c r="AN67" s="24"/>
      <c r="AO67" s="24">
        <v>4</v>
      </c>
      <c r="AP67" s="24">
        <v>4</v>
      </c>
      <c r="AQ67" s="24">
        <v>5</v>
      </c>
      <c r="AR67" s="24">
        <v>3</v>
      </c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</row>
    <row r="68" spans="1:69" hidden="1" x14ac:dyDescent="0.3">
      <c r="A68" s="12"/>
      <c r="B68" s="12"/>
      <c r="C68" s="28">
        <f t="shared" si="4"/>
        <v>61.46875</v>
      </c>
      <c r="D68" s="18" t="s">
        <v>154</v>
      </c>
      <c r="E68" s="12" t="s">
        <v>121</v>
      </c>
      <c r="F68" s="12"/>
      <c r="G68" s="16"/>
      <c r="H68" s="16"/>
      <c r="I68" s="38" t="s">
        <v>89</v>
      </c>
      <c r="J68" s="33">
        <f>11.375</f>
        <v>11.375</v>
      </c>
      <c r="K68" s="24"/>
      <c r="L68" s="24"/>
      <c r="M68" s="24"/>
      <c r="N68" s="34"/>
      <c r="O68" s="24">
        <f>1.75+12.21875-8-0.3125</f>
        <v>5.65625</v>
      </c>
      <c r="P68" s="24"/>
      <c r="Q68" s="24"/>
      <c r="R68" s="24"/>
      <c r="S68" s="34"/>
      <c r="T68" s="31">
        <f>18.0625-7+0.375+0.1875+3.125-0.3125-0.3125</f>
        <v>14.125</v>
      </c>
      <c r="U68" s="24"/>
      <c r="V68" s="24"/>
      <c r="W68" s="24"/>
      <c r="X68" s="24"/>
      <c r="Y68" s="39">
        <f>3+12.5-7-1.0625</f>
        <v>7.4375</v>
      </c>
      <c r="Z68" s="39"/>
      <c r="AA68" s="39"/>
      <c r="AB68" s="39"/>
      <c r="AC68" s="39"/>
      <c r="AD68" s="24">
        <f>12.65625</f>
        <v>12.65625</v>
      </c>
      <c r="AE68" s="24" t="s">
        <v>155</v>
      </c>
      <c r="AF68" s="24" t="s">
        <v>155</v>
      </c>
      <c r="AG68" s="24" t="s">
        <v>155</v>
      </c>
      <c r="AH68" s="24" t="s">
        <v>155</v>
      </c>
      <c r="AI68" s="40">
        <f>2.25+0.125+1.96875+0.875+0.25+0.625+2.5+0.625</f>
        <v>9.21875</v>
      </c>
      <c r="AJ68" s="40"/>
      <c r="AK68" s="40"/>
      <c r="AL68" s="40"/>
      <c r="AM68" s="40"/>
      <c r="AN68" s="24">
        <v>1</v>
      </c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</row>
    <row r="69" spans="1:69" hidden="1" x14ac:dyDescent="0.3">
      <c r="A69" s="12"/>
      <c r="B69" s="12"/>
      <c r="C69" s="28">
        <f t="shared" si="4"/>
        <v>6.625</v>
      </c>
      <c r="D69" s="18" t="s">
        <v>154</v>
      </c>
      <c r="E69" s="12" t="s">
        <v>131</v>
      </c>
      <c r="F69" s="12"/>
      <c r="G69" s="16"/>
      <c r="H69" s="16"/>
      <c r="I69" s="38" t="s">
        <v>89</v>
      </c>
      <c r="J69" s="33"/>
      <c r="K69" s="24"/>
      <c r="L69" s="24"/>
      <c r="M69" s="24"/>
      <c r="N69" s="34"/>
      <c r="O69" s="24"/>
      <c r="P69" s="24"/>
      <c r="Q69" s="24"/>
      <c r="R69" s="24"/>
      <c r="S69" s="34"/>
      <c r="T69" s="31"/>
      <c r="U69" s="24"/>
      <c r="V69" s="24"/>
      <c r="W69" s="24"/>
      <c r="X69" s="24"/>
      <c r="Y69" s="39">
        <f>2</f>
        <v>2</v>
      </c>
      <c r="Z69" s="39"/>
      <c r="AA69" s="39"/>
      <c r="AB69" s="39"/>
      <c r="AC69" s="39"/>
      <c r="AD69" s="24"/>
      <c r="AE69" s="24"/>
      <c r="AF69" s="24"/>
      <c r="AG69" s="24"/>
      <c r="AH69" s="24"/>
      <c r="AI69" s="40">
        <f>4.625</f>
        <v>4.625</v>
      </c>
      <c r="AJ69" s="40"/>
      <c r="AK69" s="40"/>
      <c r="AL69" s="40"/>
      <c r="AM69" s="40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</row>
    <row r="70" spans="1:69" hidden="1" x14ac:dyDescent="0.3">
      <c r="A70" s="12"/>
      <c r="B70" s="12"/>
      <c r="C70" s="28">
        <f t="shared" si="4"/>
        <v>8.625</v>
      </c>
      <c r="D70" s="18" t="s">
        <v>154</v>
      </c>
      <c r="E70" s="12" t="s">
        <v>126</v>
      </c>
      <c r="F70" s="12"/>
      <c r="G70" s="16"/>
      <c r="H70" s="16"/>
      <c r="I70" s="38" t="s">
        <v>89</v>
      </c>
      <c r="J70" s="33">
        <f>4.125+4.5</f>
        <v>8.625</v>
      </c>
      <c r="K70" s="24"/>
      <c r="L70" s="24"/>
      <c r="M70" s="24"/>
      <c r="N70" s="34"/>
      <c r="O70" s="24"/>
      <c r="P70" s="24"/>
      <c r="Q70" s="24"/>
      <c r="R70" s="24"/>
      <c r="S70" s="34"/>
      <c r="T70" s="31"/>
      <c r="U70" s="24"/>
      <c r="V70" s="24"/>
      <c r="W70" s="24"/>
      <c r="X70" s="24"/>
      <c r="Y70" s="39"/>
      <c r="Z70" s="39"/>
      <c r="AA70" s="39"/>
      <c r="AB70" s="39"/>
      <c r="AC70" s="39"/>
      <c r="AD70" s="24"/>
      <c r="AE70" s="24"/>
      <c r="AF70" s="24"/>
      <c r="AG70" s="24"/>
      <c r="AH70" s="24"/>
      <c r="AI70" s="40"/>
      <c r="AJ70" s="40"/>
      <c r="AK70" s="40"/>
      <c r="AL70" s="40"/>
      <c r="AM70" s="40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</row>
    <row r="71" spans="1:69" hidden="1" x14ac:dyDescent="0.3">
      <c r="A71" s="12"/>
      <c r="B71" s="12"/>
      <c r="C71" s="28">
        <f t="shared" si="4"/>
        <v>13.75</v>
      </c>
      <c r="D71" s="18" t="s">
        <v>164</v>
      </c>
      <c r="E71" s="12" t="s">
        <v>126</v>
      </c>
      <c r="F71" s="12"/>
      <c r="G71" s="16"/>
      <c r="H71" s="16"/>
      <c r="I71" s="38" t="s">
        <v>89</v>
      </c>
      <c r="J71" s="33"/>
      <c r="K71" s="24"/>
      <c r="L71" s="24"/>
      <c r="M71" s="24"/>
      <c r="N71" s="34"/>
      <c r="O71" s="24">
        <v>4</v>
      </c>
      <c r="P71" s="24"/>
      <c r="Q71" s="24"/>
      <c r="R71" s="24"/>
      <c r="S71" s="34"/>
      <c r="T71" s="31">
        <f>3</f>
        <v>3</v>
      </c>
      <c r="U71" s="24"/>
      <c r="V71" s="24"/>
      <c r="W71" s="24"/>
      <c r="X71" s="24"/>
      <c r="Y71" s="39">
        <f>4.5</f>
        <v>4.5</v>
      </c>
      <c r="Z71" s="39"/>
      <c r="AA71" s="39"/>
      <c r="AB71" s="39"/>
      <c r="AC71" s="39"/>
      <c r="AD71" s="24">
        <f>1.25</f>
        <v>1.25</v>
      </c>
      <c r="AE71" s="24"/>
      <c r="AF71" s="24"/>
      <c r="AG71" s="24"/>
      <c r="AH71" s="24"/>
      <c r="AI71" s="40">
        <f>1</f>
        <v>1</v>
      </c>
      <c r="AJ71" s="40"/>
      <c r="AK71" s="40"/>
      <c r="AL71" s="40"/>
      <c r="AM71" s="40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</row>
    <row r="72" spans="1:69" hidden="1" x14ac:dyDescent="0.3">
      <c r="A72" s="12"/>
      <c r="B72" s="12"/>
      <c r="C72" s="28">
        <f t="shared" si="4"/>
        <v>5</v>
      </c>
      <c r="D72" s="18" t="s">
        <v>159</v>
      </c>
      <c r="E72" s="12" t="s">
        <v>126</v>
      </c>
      <c r="F72" s="12" t="s">
        <v>118</v>
      </c>
      <c r="G72" s="16"/>
      <c r="H72" s="16"/>
      <c r="I72" s="38" t="s">
        <v>89</v>
      </c>
      <c r="J72" s="33"/>
      <c r="K72" s="24"/>
      <c r="L72" s="24"/>
      <c r="M72" s="24"/>
      <c r="N72" s="34"/>
      <c r="O72" s="24"/>
      <c r="P72" s="24"/>
      <c r="Q72" s="24"/>
      <c r="R72" s="24"/>
      <c r="S72" s="34"/>
      <c r="T72" s="31"/>
      <c r="U72" s="24"/>
      <c r="V72" s="24"/>
      <c r="W72" s="24"/>
      <c r="X72" s="24"/>
      <c r="Y72" s="39">
        <f>2.5</f>
        <v>2.5</v>
      </c>
      <c r="Z72" s="39"/>
      <c r="AA72" s="39"/>
      <c r="AB72" s="39"/>
      <c r="AC72" s="39"/>
      <c r="AD72" s="24">
        <f>1.59375</f>
        <v>1.59375</v>
      </c>
      <c r="AE72" s="24"/>
      <c r="AF72" s="24"/>
      <c r="AG72" s="24"/>
      <c r="AH72" s="24"/>
      <c r="AI72" s="40">
        <v>0.90625</v>
      </c>
      <c r="AJ72" s="40"/>
      <c r="AK72" s="40"/>
      <c r="AL72" s="40"/>
      <c r="AM72" s="40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</row>
    <row r="73" spans="1:69" hidden="1" x14ac:dyDescent="0.3">
      <c r="A73" s="12"/>
      <c r="B73" s="12"/>
      <c r="C73" s="28">
        <f t="shared" si="4"/>
        <v>1.125</v>
      </c>
      <c r="D73" s="18" t="s">
        <v>193</v>
      </c>
      <c r="E73" s="12" t="s">
        <v>126</v>
      </c>
      <c r="F73" s="12"/>
      <c r="G73" s="16"/>
      <c r="H73" s="16"/>
      <c r="I73" s="38" t="s">
        <v>89</v>
      </c>
      <c r="J73" s="33"/>
      <c r="K73" s="24"/>
      <c r="L73" s="24"/>
      <c r="M73" s="24"/>
      <c r="N73" s="34"/>
      <c r="O73" s="24"/>
      <c r="P73" s="24"/>
      <c r="Q73" s="24"/>
      <c r="R73" s="24"/>
      <c r="S73" s="34"/>
      <c r="T73" s="31"/>
      <c r="U73" s="24"/>
      <c r="V73" s="24"/>
      <c r="W73" s="24"/>
      <c r="X73" s="24"/>
      <c r="Y73" s="39">
        <f>1.125</f>
        <v>1.125</v>
      </c>
      <c r="Z73" s="39"/>
      <c r="AA73" s="39"/>
      <c r="AB73" s="39"/>
      <c r="AC73" s="39"/>
      <c r="AD73" s="24"/>
      <c r="AE73" s="24"/>
      <c r="AF73" s="24"/>
      <c r="AG73" s="24"/>
      <c r="AH73" s="24"/>
      <c r="AI73" s="40"/>
      <c r="AJ73" s="40"/>
      <c r="AK73" s="40"/>
      <c r="AL73" s="40"/>
      <c r="AM73" s="40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</row>
    <row r="74" spans="1:69" hidden="1" x14ac:dyDescent="0.3">
      <c r="A74" s="12"/>
      <c r="B74" s="12"/>
      <c r="C74" s="28">
        <f t="shared" si="4"/>
        <v>7.375</v>
      </c>
      <c r="D74" s="18" t="s">
        <v>194</v>
      </c>
      <c r="E74" s="12" t="s">
        <v>126</v>
      </c>
      <c r="F74" s="12"/>
      <c r="G74" s="16"/>
      <c r="H74" s="16"/>
      <c r="I74" s="38" t="s">
        <v>89</v>
      </c>
      <c r="J74" s="33"/>
      <c r="K74" s="24"/>
      <c r="L74" s="24"/>
      <c r="M74" s="24"/>
      <c r="N74" s="34"/>
      <c r="O74" s="24">
        <f>3.75</f>
        <v>3.75</v>
      </c>
      <c r="P74" s="24"/>
      <c r="Q74" s="24"/>
      <c r="R74" s="24"/>
      <c r="S74" s="34"/>
      <c r="T74" s="31">
        <f>1.125</f>
        <v>1.125</v>
      </c>
      <c r="U74" s="24"/>
      <c r="V74" s="24"/>
      <c r="W74" s="24"/>
      <c r="X74" s="24"/>
      <c r="Y74" s="39">
        <f>2.75-0.375</f>
        <v>2.375</v>
      </c>
      <c r="Z74" s="39"/>
      <c r="AA74" s="39"/>
      <c r="AB74" s="39"/>
      <c r="AC74" s="39"/>
      <c r="AD74" s="24">
        <f>0.125</f>
        <v>0.125</v>
      </c>
      <c r="AE74" s="24"/>
      <c r="AF74" s="24"/>
      <c r="AG74" s="24"/>
      <c r="AH74" s="24"/>
      <c r="AI74" s="40"/>
      <c r="AJ74" s="40"/>
      <c r="AK74" s="40"/>
      <c r="AL74" s="40"/>
      <c r="AM74" s="40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</row>
    <row r="75" spans="1:69" hidden="1" x14ac:dyDescent="0.3">
      <c r="A75" s="12"/>
      <c r="B75" s="12"/>
      <c r="C75" s="28">
        <f t="shared" si="4"/>
        <v>3.75</v>
      </c>
      <c r="D75" s="18" t="s">
        <v>195</v>
      </c>
      <c r="E75" s="12" t="s">
        <v>126</v>
      </c>
      <c r="F75" s="12"/>
      <c r="G75" s="16"/>
      <c r="H75" s="16"/>
      <c r="I75" s="38" t="s">
        <v>89</v>
      </c>
      <c r="J75" s="33"/>
      <c r="K75" s="24"/>
      <c r="L75" s="24"/>
      <c r="M75" s="24"/>
      <c r="N75" s="34"/>
      <c r="O75" s="24"/>
      <c r="P75" s="24"/>
      <c r="Q75" s="24"/>
      <c r="R75" s="24"/>
      <c r="S75" s="34"/>
      <c r="T75" s="31"/>
      <c r="U75" s="24"/>
      <c r="V75" s="24"/>
      <c r="W75" s="24"/>
      <c r="X75" s="24"/>
      <c r="Y75" s="39"/>
      <c r="Z75" s="39"/>
      <c r="AA75" s="39"/>
      <c r="AB75" s="39"/>
      <c r="AC75" s="39"/>
      <c r="AD75" s="24">
        <f>2.25</f>
        <v>2.25</v>
      </c>
      <c r="AE75" s="24"/>
      <c r="AF75" s="24"/>
      <c r="AG75" s="24"/>
      <c r="AH75" s="24"/>
      <c r="AI75" s="40">
        <f>1.5</f>
        <v>1.5</v>
      </c>
      <c r="AJ75" s="40"/>
      <c r="AK75" s="40"/>
      <c r="AL75" s="40"/>
      <c r="AM75" s="40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</row>
    <row r="76" spans="1:69" hidden="1" x14ac:dyDescent="0.3">
      <c r="A76" s="12"/>
      <c r="B76" s="12"/>
      <c r="C76" s="28">
        <f t="shared" si="4"/>
        <v>0.125</v>
      </c>
      <c r="D76" s="18" t="s">
        <v>196</v>
      </c>
      <c r="E76" s="12" t="s">
        <v>126</v>
      </c>
      <c r="F76" s="12"/>
      <c r="G76" s="16"/>
      <c r="H76" s="16"/>
      <c r="I76" s="38" t="s">
        <v>89</v>
      </c>
      <c r="J76" s="33"/>
      <c r="K76" s="24"/>
      <c r="L76" s="24"/>
      <c r="M76" s="24"/>
      <c r="N76" s="34"/>
      <c r="O76" s="24"/>
      <c r="P76" s="24"/>
      <c r="Q76" s="24"/>
      <c r="R76" s="24"/>
      <c r="S76" s="34"/>
      <c r="T76" s="31"/>
      <c r="U76" s="24"/>
      <c r="V76" s="24"/>
      <c r="W76" s="24"/>
      <c r="X76" s="24"/>
      <c r="Y76" s="39"/>
      <c r="Z76" s="39"/>
      <c r="AA76" s="39"/>
      <c r="AB76" s="39"/>
      <c r="AC76" s="39"/>
      <c r="AD76" s="24">
        <f>0.125</f>
        <v>0.125</v>
      </c>
      <c r="AE76" s="24"/>
      <c r="AF76" s="24"/>
      <c r="AG76" s="24"/>
      <c r="AH76" s="24"/>
      <c r="AI76" s="40"/>
      <c r="AJ76" s="40"/>
      <c r="AK76" s="40"/>
      <c r="AL76" s="40"/>
      <c r="AM76" s="40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</row>
    <row r="77" spans="1:69" hidden="1" x14ac:dyDescent="0.3">
      <c r="A77" s="12"/>
      <c r="B77" s="12"/>
      <c r="C77" s="28">
        <f t="shared" si="4"/>
        <v>1</v>
      </c>
      <c r="D77" s="18" t="s">
        <v>154</v>
      </c>
      <c r="E77" s="12" t="s">
        <v>1</v>
      </c>
      <c r="F77" s="12"/>
      <c r="G77" s="16"/>
      <c r="H77" s="16"/>
      <c r="I77" s="38" t="s">
        <v>89</v>
      </c>
      <c r="J77" s="33"/>
      <c r="K77" s="24"/>
      <c r="L77" s="24"/>
      <c r="M77" s="24"/>
      <c r="N77" s="34"/>
      <c r="O77" s="24"/>
      <c r="P77" s="24"/>
      <c r="Q77" s="24"/>
      <c r="R77" s="24"/>
      <c r="S77" s="34"/>
      <c r="T77" s="31">
        <f>0.75</f>
        <v>0.75</v>
      </c>
      <c r="U77" s="24"/>
      <c r="V77" s="24"/>
      <c r="W77" s="24"/>
      <c r="X77" s="24"/>
      <c r="Y77" s="39"/>
      <c r="Z77" s="39"/>
      <c r="AA77" s="39"/>
      <c r="AB77" s="39"/>
      <c r="AC77" s="39"/>
      <c r="AD77" s="24"/>
      <c r="AE77" s="24"/>
      <c r="AF77" s="24"/>
      <c r="AG77" s="24"/>
      <c r="AH77" s="24"/>
      <c r="AI77" s="40">
        <f>0.25</f>
        <v>0.25</v>
      </c>
      <c r="AJ77" s="40"/>
      <c r="AK77" s="40"/>
      <c r="AL77" s="40"/>
      <c r="AM77" s="40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</row>
    <row r="78" spans="1:69" x14ac:dyDescent="0.3">
      <c r="A78" s="12"/>
      <c r="B78" s="12"/>
      <c r="C78" s="28">
        <f t="shared" ref="C78:C81" si="5">SUM(J78:BQ78)</f>
        <v>18</v>
      </c>
      <c r="D78" s="18" t="s">
        <v>154</v>
      </c>
      <c r="E78" s="12" t="s">
        <v>117</v>
      </c>
      <c r="F78" s="12"/>
      <c r="G78" s="16"/>
      <c r="H78" s="16"/>
      <c r="I78" s="38" t="s">
        <v>90</v>
      </c>
      <c r="J78" s="24"/>
      <c r="K78" s="24"/>
      <c r="L78" s="24"/>
      <c r="M78" s="24"/>
      <c r="N78" s="24"/>
      <c r="O78" s="24"/>
      <c r="P78" s="24"/>
      <c r="Q78" s="24"/>
      <c r="R78" s="24"/>
      <c r="S78" s="34"/>
      <c r="T78" s="31"/>
      <c r="U78" s="24"/>
      <c r="V78" s="24"/>
      <c r="W78" s="24"/>
      <c r="X78" s="24"/>
      <c r="Y78" s="39"/>
      <c r="Z78" s="39"/>
      <c r="AA78" s="39"/>
      <c r="AB78" s="39"/>
      <c r="AC78" s="39"/>
      <c r="AD78" s="24"/>
      <c r="AE78" s="24"/>
      <c r="AF78" s="24"/>
      <c r="AG78" s="24"/>
      <c r="AH78" s="24"/>
      <c r="AI78" s="40">
        <v>4</v>
      </c>
      <c r="AJ78" s="40"/>
      <c r="AK78" s="40"/>
      <c r="AL78" s="40"/>
      <c r="AM78" s="40"/>
      <c r="AN78" s="24"/>
      <c r="AO78" s="24"/>
      <c r="AP78" s="24">
        <v>4</v>
      </c>
      <c r="AQ78" s="24">
        <v>5</v>
      </c>
      <c r="AR78" s="24">
        <v>5</v>
      </c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</row>
    <row r="79" spans="1:69" hidden="1" x14ac:dyDescent="0.3">
      <c r="A79" s="12"/>
      <c r="B79" s="4"/>
      <c r="C79" s="28">
        <f t="shared" si="5"/>
        <v>114</v>
      </c>
      <c r="D79" s="18" t="s">
        <v>154</v>
      </c>
      <c r="E79" s="12" t="s">
        <v>121</v>
      </c>
      <c r="F79" s="12"/>
      <c r="G79" s="16"/>
      <c r="H79" s="16"/>
      <c r="I79" s="38" t="s">
        <v>90</v>
      </c>
      <c r="J79" s="33">
        <f>22-7</f>
        <v>15</v>
      </c>
      <c r="K79" s="24"/>
      <c r="L79" s="24"/>
      <c r="M79" s="24"/>
      <c r="N79" s="34"/>
      <c r="O79" s="24">
        <f>19</f>
        <v>19</v>
      </c>
      <c r="P79" s="24"/>
      <c r="Q79" s="24"/>
      <c r="R79" s="24"/>
      <c r="S79" s="34"/>
      <c r="T79" s="31">
        <f>22</f>
        <v>22</v>
      </c>
      <c r="U79" s="24"/>
      <c r="V79" s="24"/>
      <c r="W79" s="24"/>
      <c r="X79" s="24"/>
      <c r="Y79" s="39">
        <v>20</v>
      </c>
      <c r="Z79" s="39"/>
      <c r="AA79" s="39"/>
      <c r="AB79" s="39"/>
      <c r="AC79" s="39"/>
      <c r="AD79" s="24">
        <f>21</f>
        <v>21</v>
      </c>
      <c r="AE79" s="24"/>
      <c r="AF79" s="24"/>
      <c r="AG79" s="24"/>
      <c r="AH79" s="24"/>
      <c r="AI79" s="40">
        <v>17</v>
      </c>
      <c r="AJ79" s="40" t="s">
        <v>155</v>
      </c>
      <c r="AK79" s="40" t="s">
        <v>155</v>
      </c>
      <c r="AL79" s="40" t="s">
        <v>155</v>
      </c>
      <c r="AM79" s="40" t="s">
        <v>155</v>
      </c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</row>
    <row r="80" spans="1:69" hidden="1" x14ac:dyDescent="0.3">
      <c r="A80" s="12"/>
      <c r="B80" s="12"/>
      <c r="C80" s="28">
        <f t="shared" si="5"/>
        <v>5</v>
      </c>
      <c r="D80" s="18" t="s">
        <v>154</v>
      </c>
      <c r="E80" s="12" t="s">
        <v>131</v>
      </c>
      <c r="F80" s="12"/>
      <c r="G80" s="16"/>
      <c r="H80" s="16"/>
      <c r="I80" s="38" t="s">
        <v>90</v>
      </c>
      <c r="J80" s="33">
        <f>5</f>
        <v>5</v>
      </c>
      <c r="K80" s="24"/>
      <c r="L80" s="24"/>
      <c r="M80" s="24"/>
      <c r="N80" s="34"/>
      <c r="O80" s="24"/>
      <c r="P80" s="24"/>
      <c r="Q80" s="24"/>
      <c r="R80" s="24"/>
      <c r="S80" s="34"/>
      <c r="T80" s="31"/>
      <c r="U80" s="24"/>
      <c r="V80" s="24"/>
      <c r="W80" s="24"/>
      <c r="X80" s="24"/>
      <c r="Y80" s="39"/>
      <c r="Z80" s="39"/>
      <c r="AA80" s="39"/>
      <c r="AB80" s="39"/>
      <c r="AC80" s="39"/>
      <c r="AD80" s="24"/>
      <c r="AE80" s="24"/>
      <c r="AF80" s="24"/>
      <c r="AG80" s="24"/>
      <c r="AH80" s="24"/>
      <c r="AI80" s="40"/>
      <c r="AJ80" s="40"/>
      <c r="AK80" s="40"/>
      <c r="AL80" s="40"/>
      <c r="AM80" s="40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</row>
    <row r="81" spans="1:69" hidden="1" x14ac:dyDescent="0.3">
      <c r="A81" s="12"/>
      <c r="B81" s="12"/>
      <c r="C81" s="28">
        <f t="shared" si="5"/>
        <v>3</v>
      </c>
      <c r="D81" s="18" t="s">
        <v>168</v>
      </c>
      <c r="E81" s="12" t="s">
        <v>126</v>
      </c>
      <c r="F81" s="12"/>
      <c r="G81" s="16"/>
      <c r="H81" s="16"/>
      <c r="I81" s="38" t="s">
        <v>90</v>
      </c>
      <c r="J81" s="33">
        <f>1</f>
        <v>1</v>
      </c>
      <c r="K81" s="24"/>
      <c r="L81" s="24"/>
      <c r="M81" s="24"/>
      <c r="N81" s="34"/>
      <c r="O81" s="24">
        <f>1</f>
        <v>1</v>
      </c>
      <c r="P81" s="24"/>
      <c r="Q81" s="24"/>
      <c r="R81" s="24"/>
      <c r="S81" s="34"/>
      <c r="T81" s="31">
        <f>1</f>
        <v>1</v>
      </c>
      <c r="U81" s="24"/>
      <c r="V81" s="24"/>
      <c r="W81" s="24"/>
      <c r="X81" s="24"/>
      <c r="Y81" s="39"/>
      <c r="Z81" s="39"/>
      <c r="AA81" s="39"/>
      <c r="AB81" s="39"/>
      <c r="AC81" s="39"/>
      <c r="AD81" s="24"/>
      <c r="AE81" s="24"/>
      <c r="AF81" s="24"/>
      <c r="AG81" s="24"/>
      <c r="AH81" s="24"/>
      <c r="AI81" s="40"/>
      <c r="AJ81" s="40"/>
      <c r="AK81" s="40"/>
      <c r="AL81" s="40"/>
      <c r="AM81" s="40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</row>
    <row r="82" spans="1:69" hidden="1" x14ac:dyDescent="0.3">
      <c r="A82" s="12"/>
      <c r="B82" s="12"/>
      <c r="C82" s="28">
        <f>SUM(J82:BQ82)</f>
        <v>0</v>
      </c>
      <c r="D82" s="18" t="s">
        <v>154</v>
      </c>
      <c r="E82" s="12" t="s">
        <v>1</v>
      </c>
      <c r="F82" s="12"/>
      <c r="G82" s="16"/>
      <c r="H82" s="16"/>
      <c r="I82" s="38" t="s">
        <v>90</v>
      </c>
      <c r="J82" s="33"/>
      <c r="K82" s="24"/>
      <c r="L82" s="24"/>
      <c r="M82" s="24"/>
      <c r="N82" s="34"/>
      <c r="O82" s="24"/>
      <c r="P82" s="24"/>
      <c r="Q82" s="24"/>
      <c r="R82" s="24"/>
      <c r="S82" s="34"/>
      <c r="T82" s="31"/>
      <c r="U82" s="24"/>
      <c r="V82" s="24"/>
      <c r="W82" s="24"/>
      <c r="X82" s="24"/>
      <c r="Y82" s="39"/>
      <c r="Z82" s="39"/>
      <c r="AA82" s="39"/>
      <c r="AB82" s="39"/>
      <c r="AC82" s="39"/>
      <c r="AD82" s="24"/>
      <c r="AE82" s="24"/>
      <c r="AF82" s="24"/>
      <c r="AG82" s="24"/>
      <c r="AH82" s="24"/>
      <c r="AI82" s="40"/>
      <c r="AJ82" s="40"/>
      <c r="AK82" s="40"/>
      <c r="AL82" s="40"/>
      <c r="AM82" s="40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</row>
    <row r="83" spans="1:69" x14ac:dyDescent="0.3">
      <c r="A83" s="12"/>
      <c r="B83" s="12"/>
      <c r="C83" s="28">
        <f t="shared" si="4"/>
        <v>9.5</v>
      </c>
      <c r="D83" s="18" t="s">
        <v>154</v>
      </c>
      <c r="E83" s="12" t="s">
        <v>117</v>
      </c>
      <c r="F83" s="12"/>
      <c r="G83" s="16"/>
      <c r="H83" s="16"/>
      <c r="I83" s="38" t="s">
        <v>91</v>
      </c>
      <c r="J83" s="24"/>
      <c r="K83" s="24"/>
      <c r="L83" s="24"/>
      <c r="M83" s="24"/>
      <c r="N83" s="24"/>
      <c r="O83" s="24"/>
      <c r="P83" s="24"/>
      <c r="Q83" s="24"/>
      <c r="R83" s="24"/>
      <c r="S83" s="34"/>
      <c r="T83" s="31"/>
      <c r="U83" s="24"/>
      <c r="V83" s="24"/>
      <c r="W83" s="24"/>
      <c r="X83" s="24"/>
      <c r="Y83" s="39">
        <v>0.5</v>
      </c>
      <c r="Z83" s="39"/>
      <c r="AA83" s="39"/>
      <c r="AB83" s="39"/>
      <c r="AC83" s="39"/>
      <c r="AD83" s="24"/>
      <c r="AE83" s="24"/>
      <c r="AF83" s="24">
        <v>5</v>
      </c>
      <c r="AG83" s="24">
        <v>4</v>
      </c>
      <c r="AH83" s="24"/>
      <c r="AI83" s="40"/>
      <c r="AJ83" s="40"/>
      <c r="AK83" s="40"/>
      <c r="AL83" s="40"/>
      <c r="AM83" s="40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</row>
    <row r="84" spans="1:69" hidden="1" x14ac:dyDescent="0.3">
      <c r="A84" s="12"/>
      <c r="B84" s="12"/>
      <c r="C84" s="28">
        <f t="shared" si="4"/>
        <v>91.25</v>
      </c>
      <c r="D84" s="18" t="s">
        <v>154</v>
      </c>
      <c r="E84" s="12" t="s">
        <v>121</v>
      </c>
      <c r="F84" s="12"/>
      <c r="G84" s="16"/>
      <c r="H84" s="16"/>
      <c r="I84" s="38" t="s">
        <v>91</v>
      </c>
      <c r="J84" s="33">
        <f>6</f>
        <v>6</v>
      </c>
      <c r="K84" s="24"/>
      <c r="L84" s="24"/>
      <c r="M84" s="24"/>
      <c r="N84" s="34"/>
      <c r="O84" s="24">
        <f>20</f>
        <v>20</v>
      </c>
      <c r="P84" s="24"/>
      <c r="Q84" s="24"/>
      <c r="R84" s="24"/>
      <c r="S84" s="34"/>
      <c r="T84" s="31">
        <f>23</f>
        <v>23</v>
      </c>
      <c r="U84" s="24"/>
      <c r="V84" s="24"/>
      <c r="W84" s="24"/>
      <c r="X84" s="24"/>
      <c r="Y84" s="39">
        <f>9.25</f>
        <v>9.25</v>
      </c>
      <c r="Z84" s="39"/>
      <c r="AA84" s="39"/>
      <c r="AB84" s="39"/>
      <c r="AC84" s="39"/>
      <c r="AD84" s="24">
        <v>5</v>
      </c>
      <c r="AE84" s="24"/>
      <c r="AF84" s="24"/>
      <c r="AG84" s="24"/>
      <c r="AH84" s="24"/>
      <c r="AI84" s="40">
        <v>18</v>
      </c>
      <c r="AJ84" s="40" t="s">
        <v>155</v>
      </c>
      <c r="AK84" s="40" t="s">
        <v>155</v>
      </c>
      <c r="AL84" s="40" t="s">
        <v>155</v>
      </c>
      <c r="AM84" s="40" t="s">
        <v>155</v>
      </c>
      <c r="AN84" s="24"/>
      <c r="AO84" s="24">
        <v>3</v>
      </c>
      <c r="AP84" s="24">
        <v>3</v>
      </c>
      <c r="AQ84" s="24">
        <v>2</v>
      </c>
      <c r="AR84" s="24">
        <v>2</v>
      </c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</row>
    <row r="85" spans="1:69" hidden="1" x14ac:dyDescent="0.3">
      <c r="A85" s="12"/>
      <c r="B85" s="12"/>
      <c r="C85" s="28">
        <f t="shared" si="4"/>
        <v>4.75</v>
      </c>
      <c r="D85" s="18" t="s">
        <v>154</v>
      </c>
      <c r="E85" s="12" t="s">
        <v>131</v>
      </c>
      <c r="F85" s="12"/>
      <c r="G85" s="16"/>
      <c r="H85" s="16"/>
      <c r="I85" s="38" t="s">
        <v>91</v>
      </c>
      <c r="J85" s="33"/>
      <c r="K85" s="24"/>
      <c r="L85" s="24"/>
      <c r="M85" s="24"/>
      <c r="N85" s="34"/>
      <c r="O85" s="24"/>
      <c r="P85" s="24"/>
      <c r="Q85" s="24"/>
      <c r="R85" s="24"/>
      <c r="S85" s="34"/>
      <c r="T85" s="31"/>
      <c r="U85" s="24"/>
      <c r="V85" s="24"/>
      <c r="W85" s="24"/>
      <c r="X85" s="24"/>
      <c r="Y85" s="39">
        <v>4.75</v>
      </c>
      <c r="Z85" s="39"/>
      <c r="AA85" s="39"/>
      <c r="AB85" s="39"/>
      <c r="AC85" s="39"/>
      <c r="AD85" s="24"/>
      <c r="AE85" s="24"/>
      <c r="AF85" s="24"/>
      <c r="AG85" s="24"/>
      <c r="AH85" s="24"/>
      <c r="AI85" s="40"/>
      <c r="AJ85" s="40"/>
      <c r="AK85" s="40"/>
      <c r="AL85" s="40"/>
      <c r="AM85" s="40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</row>
    <row r="86" spans="1:69" hidden="1" x14ac:dyDescent="0.3">
      <c r="A86" s="12"/>
      <c r="B86" s="12"/>
      <c r="C86" s="28">
        <f t="shared" si="4"/>
        <v>14.5</v>
      </c>
      <c r="D86" s="18" t="s">
        <v>186</v>
      </c>
      <c r="E86" s="12" t="s">
        <v>126</v>
      </c>
      <c r="F86" s="12"/>
      <c r="G86" s="16"/>
      <c r="H86" s="16"/>
      <c r="I86" s="38" t="s">
        <v>91</v>
      </c>
      <c r="J86" s="33"/>
      <c r="K86" s="24"/>
      <c r="L86" s="24"/>
      <c r="M86" s="24"/>
      <c r="N86" s="34"/>
      <c r="O86" s="24"/>
      <c r="P86" s="24"/>
      <c r="Q86" s="24"/>
      <c r="R86" s="24"/>
      <c r="S86" s="34"/>
      <c r="T86" s="31"/>
      <c r="U86" s="24"/>
      <c r="V86" s="24"/>
      <c r="W86" s="24"/>
      <c r="X86" s="24"/>
      <c r="Y86" s="39">
        <f>5.5</f>
        <v>5.5</v>
      </c>
      <c r="Z86" s="39"/>
      <c r="AA86" s="39"/>
      <c r="AB86" s="39"/>
      <c r="AC86" s="39"/>
      <c r="AD86" s="24">
        <f>4</f>
        <v>4</v>
      </c>
      <c r="AE86" s="24"/>
      <c r="AF86" s="24"/>
      <c r="AG86" s="24"/>
      <c r="AH86" s="24"/>
      <c r="AI86" s="40">
        <v>3</v>
      </c>
      <c r="AJ86" s="40" t="s">
        <v>155</v>
      </c>
      <c r="AK86" s="40" t="s">
        <v>155</v>
      </c>
      <c r="AL86" s="40" t="s">
        <v>155</v>
      </c>
      <c r="AM86" s="40"/>
      <c r="AN86" s="24">
        <v>1</v>
      </c>
      <c r="AO86" s="24"/>
      <c r="AP86" s="24">
        <v>1</v>
      </c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</row>
    <row r="87" spans="1:69" hidden="1" x14ac:dyDescent="0.3">
      <c r="A87" s="12"/>
      <c r="B87" s="12"/>
      <c r="C87" s="28">
        <f t="shared" si="4"/>
        <v>3</v>
      </c>
      <c r="D87" s="18" t="s">
        <v>197</v>
      </c>
      <c r="E87" s="12" t="s">
        <v>126</v>
      </c>
      <c r="F87" s="12"/>
      <c r="G87" s="16"/>
      <c r="H87" s="16"/>
      <c r="I87" s="38" t="s">
        <v>91</v>
      </c>
      <c r="J87" s="33"/>
      <c r="K87" s="24"/>
      <c r="L87" s="24"/>
      <c r="M87" s="24"/>
      <c r="N87" s="34"/>
      <c r="O87" s="24"/>
      <c r="P87" s="24"/>
      <c r="Q87" s="24"/>
      <c r="R87" s="24"/>
      <c r="S87" s="34"/>
      <c r="T87" s="31"/>
      <c r="U87" s="24"/>
      <c r="V87" s="24"/>
      <c r="W87" s="24"/>
      <c r="X87" s="24"/>
      <c r="Y87" s="39"/>
      <c r="Z87" s="39"/>
      <c r="AA87" s="39"/>
      <c r="AB87" s="39"/>
      <c r="AC87" s="39"/>
      <c r="AD87" s="24">
        <f>3</f>
        <v>3</v>
      </c>
      <c r="AE87" s="24"/>
      <c r="AF87" s="24"/>
      <c r="AG87" s="24"/>
      <c r="AH87" s="24"/>
      <c r="AI87" s="40"/>
      <c r="AJ87" s="40" t="s">
        <v>155</v>
      </c>
      <c r="AK87" s="40" t="s">
        <v>155</v>
      </c>
      <c r="AL87" s="40" t="s">
        <v>198</v>
      </c>
      <c r="AM87" s="40" t="s">
        <v>155</v>
      </c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</row>
    <row r="88" spans="1:69" hidden="1" x14ac:dyDescent="0.3">
      <c r="A88" s="12"/>
      <c r="B88" s="12"/>
      <c r="C88" s="28">
        <f t="shared" si="4"/>
        <v>1</v>
      </c>
      <c r="D88" s="18" t="s">
        <v>159</v>
      </c>
      <c r="E88" s="12" t="s">
        <v>126</v>
      </c>
      <c r="F88" s="12" t="s">
        <v>118</v>
      </c>
      <c r="G88" s="16"/>
      <c r="H88" s="16"/>
      <c r="I88" s="38" t="s">
        <v>91</v>
      </c>
      <c r="J88" s="33"/>
      <c r="K88" s="24"/>
      <c r="L88" s="24"/>
      <c r="M88" s="24"/>
      <c r="N88" s="34"/>
      <c r="O88" s="24"/>
      <c r="P88" s="24"/>
      <c r="Q88" s="24"/>
      <c r="R88" s="24"/>
      <c r="S88" s="34"/>
      <c r="T88" s="31"/>
      <c r="U88" s="24"/>
      <c r="V88" s="24"/>
      <c r="W88" s="24"/>
      <c r="X88" s="24"/>
      <c r="Y88" s="39"/>
      <c r="Z88" s="39"/>
      <c r="AA88" s="39"/>
      <c r="AB88" s="39"/>
      <c r="AC88" s="39"/>
      <c r="AD88" s="24"/>
      <c r="AE88" s="24"/>
      <c r="AF88" s="24"/>
      <c r="AG88" s="24"/>
      <c r="AH88" s="24"/>
      <c r="AI88" s="40"/>
      <c r="AJ88" s="40" t="s">
        <v>155</v>
      </c>
      <c r="AK88" s="40" t="s">
        <v>155</v>
      </c>
      <c r="AL88" s="40" t="s">
        <v>155</v>
      </c>
      <c r="AM88" s="40" t="s">
        <v>155</v>
      </c>
      <c r="AN88" s="24">
        <v>1</v>
      </c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</row>
    <row r="89" spans="1:69" hidden="1" x14ac:dyDescent="0.3">
      <c r="A89" s="12"/>
      <c r="B89" s="12"/>
      <c r="C89" s="28">
        <f t="shared" si="4"/>
        <v>15</v>
      </c>
      <c r="D89" s="18" t="s">
        <v>154</v>
      </c>
      <c r="E89" s="12" t="s">
        <v>1</v>
      </c>
      <c r="F89" s="12"/>
      <c r="G89" s="16"/>
      <c r="H89" s="16"/>
      <c r="I89" s="38" t="s">
        <v>91</v>
      </c>
      <c r="J89" s="33">
        <f>15</f>
        <v>15</v>
      </c>
      <c r="K89" s="24"/>
      <c r="L89" s="24"/>
      <c r="M89" s="24"/>
      <c r="N89" s="34"/>
      <c r="O89" s="24"/>
      <c r="P89" s="24"/>
      <c r="Q89" s="24"/>
      <c r="R89" s="24"/>
      <c r="S89" s="34"/>
      <c r="T89" s="31"/>
      <c r="U89" s="24"/>
      <c r="V89" s="24"/>
      <c r="W89" s="24"/>
      <c r="X89" s="24"/>
      <c r="Y89" s="39"/>
      <c r="Z89" s="39"/>
      <c r="AA89" s="39"/>
      <c r="AB89" s="39"/>
      <c r="AC89" s="39"/>
      <c r="AD89" s="24"/>
      <c r="AE89" s="24"/>
      <c r="AF89" s="24"/>
      <c r="AG89" s="24"/>
      <c r="AH89" s="24"/>
      <c r="AI89" s="40"/>
      <c r="AJ89" s="40"/>
      <c r="AK89" s="40"/>
      <c r="AL89" s="40"/>
      <c r="AM89" s="40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</row>
    <row r="90" spans="1:69" x14ac:dyDescent="0.3">
      <c r="A90" s="12"/>
      <c r="B90" s="12"/>
      <c r="C90" s="28">
        <f t="shared" ref="C90:C93" si="6">SUM(J90:BQ90)</f>
        <v>0</v>
      </c>
      <c r="D90" s="18" t="s">
        <v>154</v>
      </c>
      <c r="E90" s="12" t="s">
        <v>117</v>
      </c>
      <c r="F90" s="12"/>
      <c r="G90" s="16"/>
      <c r="H90" s="16"/>
      <c r="I90" s="38" t="s">
        <v>92</v>
      </c>
      <c r="J90" s="24"/>
      <c r="K90" s="24"/>
      <c r="L90" s="24"/>
      <c r="M90" s="24"/>
      <c r="N90" s="24"/>
      <c r="O90" s="24"/>
      <c r="P90" s="24"/>
      <c r="Q90" s="24"/>
      <c r="R90" s="24"/>
      <c r="S90" s="34"/>
      <c r="T90" s="31"/>
      <c r="U90" s="24"/>
      <c r="V90" s="24"/>
      <c r="W90" s="24"/>
      <c r="X90" s="24"/>
      <c r="Y90" s="39"/>
      <c r="Z90" s="39"/>
      <c r="AA90" s="39"/>
      <c r="AB90" s="39"/>
      <c r="AC90" s="39"/>
      <c r="AD90" s="24"/>
      <c r="AE90" s="24"/>
      <c r="AF90" s="24"/>
      <c r="AG90" s="24"/>
      <c r="AH90" s="24"/>
      <c r="AI90" s="40"/>
      <c r="AJ90" s="40"/>
      <c r="AK90" s="40"/>
      <c r="AL90" s="40"/>
      <c r="AM90" s="40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</row>
    <row r="91" spans="1:69" hidden="1" x14ac:dyDescent="0.3">
      <c r="A91" s="12"/>
      <c r="B91" s="12"/>
      <c r="C91" s="28">
        <f t="shared" si="6"/>
        <v>2.125</v>
      </c>
      <c r="D91" s="18" t="s">
        <v>154</v>
      </c>
      <c r="E91" s="12" t="s">
        <v>121</v>
      </c>
      <c r="F91" s="12"/>
      <c r="G91" s="16"/>
      <c r="H91" s="16"/>
      <c r="I91" s="38" t="s">
        <v>92</v>
      </c>
      <c r="J91" s="33">
        <f>1.375+0.75</f>
        <v>2.125</v>
      </c>
      <c r="K91" s="24"/>
      <c r="L91" s="24"/>
      <c r="M91" s="24"/>
      <c r="N91" s="34"/>
      <c r="O91" s="24"/>
      <c r="P91" s="24"/>
      <c r="Q91" s="24"/>
      <c r="R91" s="24"/>
      <c r="S91" s="34"/>
      <c r="T91" s="31"/>
      <c r="U91" s="24"/>
      <c r="V91" s="24"/>
      <c r="W91" s="24"/>
      <c r="X91" s="24"/>
      <c r="Y91" s="39"/>
      <c r="Z91" s="39"/>
      <c r="AA91" s="39"/>
      <c r="AB91" s="39"/>
      <c r="AC91" s="39"/>
      <c r="AD91" s="24"/>
      <c r="AE91" s="24"/>
      <c r="AF91" s="24"/>
      <c r="AG91" s="24"/>
      <c r="AH91" s="24"/>
      <c r="AI91" s="40"/>
      <c r="AJ91" s="40"/>
      <c r="AK91" s="40"/>
      <c r="AL91" s="40"/>
      <c r="AM91" s="40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</row>
    <row r="92" spans="1:69" hidden="1" x14ac:dyDescent="0.3">
      <c r="A92" s="4"/>
      <c r="B92" s="4"/>
      <c r="C92" s="28">
        <f t="shared" si="6"/>
        <v>0</v>
      </c>
      <c r="D92" s="18" t="s">
        <v>154</v>
      </c>
      <c r="E92" s="12" t="s">
        <v>131</v>
      </c>
      <c r="F92" s="12"/>
      <c r="G92" s="16"/>
      <c r="H92" s="16"/>
      <c r="I92" s="38" t="s">
        <v>92</v>
      </c>
      <c r="J92" s="33"/>
      <c r="K92" s="24"/>
      <c r="L92" s="24"/>
      <c r="M92" s="24"/>
      <c r="N92" s="34"/>
      <c r="O92" s="24"/>
      <c r="P92" s="24"/>
      <c r="Q92" s="24"/>
      <c r="R92" s="24"/>
      <c r="S92" s="34"/>
      <c r="T92" s="31"/>
      <c r="U92" s="24"/>
      <c r="V92" s="24"/>
      <c r="W92" s="24"/>
      <c r="X92" s="24"/>
      <c r="Y92" s="39"/>
      <c r="Z92" s="39"/>
      <c r="AA92" s="39"/>
      <c r="AB92" s="39"/>
      <c r="AC92" s="39"/>
      <c r="AD92" s="24"/>
      <c r="AE92" s="24"/>
      <c r="AF92" s="24"/>
      <c r="AG92" s="24"/>
      <c r="AH92" s="24"/>
      <c r="AI92" s="40"/>
      <c r="AJ92" s="40"/>
      <c r="AK92" s="40"/>
      <c r="AL92" s="40"/>
      <c r="AM92" s="40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</row>
    <row r="93" spans="1:69" hidden="1" x14ac:dyDescent="0.3">
      <c r="A93" s="4"/>
      <c r="B93" s="4"/>
      <c r="C93" s="28">
        <f t="shared" si="6"/>
        <v>0.25</v>
      </c>
      <c r="D93" s="18" t="s">
        <v>154</v>
      </c>
      <c r="E93" s="12" t="s">
        <v>126</v>
      </c>
      <c r="F93" s="12"/>
      <c r="G93" s="16"/>
      <c r="H93" s="16"/>
      <c r="I93" s="38" t="s">
        <v>92</v>
      </c>
      <c r="J93" s="33">
        <f>0.25</f>
        <v>0.25</v>
      </c>
      <c r="K93" s="24"/>
      <c r="L93" s="24"/>
      <c r="M93" s="24"/>
      <c r="N93" s="34"/>
      <c r="O93" s="24"/>
      <c r="P93" s="24"/>
      <c r="Q93" s="24"/>
      <c r="R93" s="24"/>
      <c r="S93" s="34"/>
      <c r="T93" s="31"/>
      <c r="U93" s="24"/>
      <c r="V93" s="24"/>
      <c r="W93" s="24"/>
      <c r="X93" s="24"/>
      <c r="Y93" s="39"/>
      <c r="Z93" s="39"/>
      <c r="AA93" s="39"/>
      <c r="AB93" s="39"/>
      <c r="AC93" s="39"/>
      <c r="AD93" s="24"/>
      <c r="AE93" s="24"/>
      <c r="AF93" s="24"/>
      <c r="AG93" s="24"/>
      <c r="AH93" s="24"/>
      <c r="AI93" s="40"/>
      <c r="AJ93" s="40"/>
      <c r="AK93" s="40"/>
      <c r="AL93" s="40"/>
      <c r="AM93" s="40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</row>
    <row r="94" spans="1:69" hidden="1" x14ac:dyDescent="0.3">
      <c r="A94" s="4"/>
      <c r="B94" s="4"/>
      <c r="C94" s="28">
        <f>SUM(J94:BQ94)</f>
        <v>7.625</v>
      </c>
      <c r="D94" s="18" t="s">
        <v>154</v>
      </c>
      <c r="E94" s="12" t="s">
        <v>1</v>
      </c>
      <c r="F94" s="12"/>
      <c r="G94" s="16"/>
      <c r="H94" s="16"/>
      <c r="I94" s="38" t="s">
        <v>92</v>
      </c>
      <c r="J94" s="33">
        <f>7.625</f>
        <v>7.625</v>
      </c>
      <c r="K94" s="24"/>
      <c r="L94" s="24"/>
      <c r="M94" s="24"/>
      <c r="N94" s="34"/>
      <c r="O94" s="24"/>
      <c r="P94" s="24"/>
      <c r="Q94" s="24"/>
      <c r="R94" s="24"/>
      <c r="S94" s="34"/>
      <c r="T94" s="31"/>
      <c r="U94" s="24"/>
      <c r="V94" s="24"/>
      <c r="W94" s="24"/>
      <c r="X94" s="24"/>
      <c r="Y94" s="39"/>
      <c r="Z94" s="39"/>
      <c r="AA94" s="39"/>
      <c r="AB94" s="39"/>
      <c r="AC94" s="39"/>
      <c r="AD94" s="24"/>
      <c r="AE94" s="24"/>
      <c r="AF94" s="24"/>
      <c r="AG94" s="24"/>
      <c r="AH94" s="24"/>
      <c r="AI94" s="40"/>
      <c r="AJ94" s="40"/>
      <c r="AK94" s="40"/>
      <c r="AL94" s="40"/>
      <c r="AM94" s="40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</row>
    <row r="95" spans="1:69" hidden="1" x14ac:dyDescent="0.3">
      <c r="C95" s="21">
        <f>SUM(C12:C94)</f>
        <v>1481.875</v>
      </c>
      <c r="J95" s="25">
        <f t="shared" ref="J95:AC95" si="7">SUM(J12:J94)</f>
        <v>180</v>
      </c>
      <c r="K95" s="25">
        <f t="shared" si="7"/>
        <v>3</v>
      </c>
      <c r="L95" s="25">
        <f t="shared" si="7"/>
        <v>3</v>
      </c>
      <c r="M95" s="25">
        <f t="shared" si="7"/>
        <v>3</v>
      </c>
      <c r="N95" s="25">
        <f t="shared" si="7"/>
        <v>0</v>
      </c>
      <c r="O95" s="25">
        <f t="shared" si="7"/>
        <v>179.8125</v>
      </c>
      <c r="P95" s="25">
        <f t="shared" si="7"/>
        <v>0</v>
      </c>
      <c r="Q95" s="25">
        <f t="shared" si="7"/>
        <v>0</v>
      </c>
      <c r="R95" s="25">
        <f t="shared" si="7"/>
        <v>0</v>
      </c>
      <c r="S95" s="25">
        <f t="shared" si="7"/>
        <v>0</v>
      </c>
      <c r="T95" s="25">
        <f t="shared" si="7"/>
        <v>207.0625</v>
      </c>
      <c r="U95" s="25">
        <f t="shared" si="7"/>
        <v>0</v>
      </c>
      <c r="V95" s="25">
        <f t="shared" si="7"/>
        <v>0</v>
      </c>
      <c r="W95" s="25">
        <f t="shared" si="7"/>
        <v>0</v>
      </c>
      <c r="X95" s="25">
        <f t="shared" si="7"/>
        <v>0</v>
      </c>
      <c r="Y95" s="25">
        <f t="shared" si="7"/>
        <v>180.5</v>
      </c>
      <c r="Z95" s="25">
        <f t="shared" si="7"/>
        <v>0</v>
      </c>
      <c r="AA95" s="25">
        <f t="shared" si="7"/>
        <v>0</v>
      </c>
      <c r="AB95" s="25">
        <f t="shared" si="7"/>
        <v>0</v>
      </c>
      <c r="AC95" s="25">
        <f t="shared" si="7"/>
        <v>0</v>
      </c>
      <c r="AD95" s="25">
        <f>SUM(AD3:AD94)</f>
        <v>165.5</v>
      </c>
      <c r="AE95" s="25">
        <f t="shared" ref="AE95:BQ95" si="8">SUM(AE3:AE94)</f>
        <v>7.5</v>
      </c>
      <c r="AF95" s="25">
        <f t="shared" si="8"/>
        <v>15</v>
      </c>
      <c r="AG95" s="25">
        <f t="shared" si="8"/>
        <v>18</v>
      </c>
      <c r="AH95" s="25">
        <f t="shared" si="8"/>
        <v>2</v>
      </c>
      <c r="AI95" s="25">
        <f>SUM(AI3:AI94)</f>
        <v>210</v>
      </c>
      <c r="AJ95" s="25">
        <f t="shared" si="8"/>
        <v>0</v>
      </c>
      <c r="AK95" s="25">
        <f t="shared" si="8"/>
        <v>0</v>
      </c>
      <c r="AL95" s="25">
        <f t="shared" si="8"/>
        <v>0</v>
      </c>
      <c r="AM95" s="25">
        <f t="shared" si="8"/>
        <v>0</v>
      </c>
      <c r="AN95" s="25">
        <f t="shared" si="8"/>
        <v>9</v>
      </c>
      <c r="AO95" s="25">
        <f t="shared" si="8"/>
        <v>35</v>
      </c>
      <c r="AP95" s="25">
        <f t="shared" si="8"/>
        <v>39</v>
      </c>
      <c r="AQ95" s="25">
        <f t="shared" si="8"/>
        <v>42</v>
      </c>
      <c r="AR95" s="25">
        <f t="shared" si="8"/>
        <v>39</v>
      </c>
      <c r="AS95" s="25">
        <f t="shared" si="8"/>
        <v>26</v>
      </c>
      <c r="AT95" s="25">
        <f t="shared" si="8"/>
        <v>20</v>
      </c>
      <c r="AU95" s="25">
        <f t="shared" si="8"/>
        <v>27</v>
      </c>
      <c r="AV95" s="25">
        <f t="shared" si="8"/>
        <v>24</v>
      </c>
      <c r="AW95" s="25">
        <f t="shared" si="8"/>
        <v>14</v>
      </c>
      <c r="AX95" s="25">
        <f t="shared" si="8"/>
        <v>9</v>
      </c>
      <c r="AY95" s="25">
        <f t="shared" si="8"/>
        <v>13</v>
      </c>
      <c r="AZ95" s="25">
        <f t="shared" si="8"/>
        <v>12</v>
      </c>
      <c r="BA95" s="25">
        <f t="shared" si="8"/>
        <v>12</v>
      </c>
      <c r="BB95" s="25">
        <f t="shared" si="8"/>
        <v>11</v>
      </c>
      <c r="BC95" s="25">
        <f t="shared" si="8"/>
        <v>11</v>
      </c>
      <c r="BD95" s="25">
        <f t="shared" si="8"/>
        <v>11</v>
      </c>
      <c r="BE95" s="25">
        <f t="shared" si="8"/>
        <v>11</v>
      </c>
      <c r="BF95" s="25">
        <f t="shared" si="8"/>
        <v>10</v>
      </c>
      <c r="BG95" s="25">
        <f t="shared" si="8"/>
        <v>1</v>
      </c>
      <c r="BH95" s="25">
        <f t="shared" si="8"/>
        <v>9</v>
      </c>
      <c r="BI95" s="25">
        <f t="shared" si="8"/>
        <v>8.5</v>
      </c>
      <c r="BJ95" s="25">
        <f t="shared" si="8"/>
        <v>9</v>
      </c>
      <c r="BK95" s="25">
        <f t="shared" si="8"/>
        <v>8</v>
      </c>
      <c r="BL95" s="25">
        <f t="shared" si="8"/>
        <v>8</v>
      </c>
      <c r="BM95" s="25">
        <f t="shared" si="8"/>
        <v>5</v>
      </c>
      <c r="BN95" s="25">
        <f t="shared" si="8"/>
        <v>4</v>
      </c>
      <c r="BO95" s="25">
        <f t="shared" si="8"/>
        <v>0</v>
      </c>
      <c r="BP95" s="25">
        <f t="shared" si="8"/>
        <v>0</v>
      </c>
      <c r="BQ95" s="25">
        <f t="shared" si="8"/>
        <v>0</v>
      </c>
    </row>
    <row r="96" spans="1:69" x14ac:dyDescent="0.3"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</sheetData>
  <autoFilter ref="A2:BQ95" xr:uid="{92908FF9-E02D-4CC5-B169-CF5DBEA6FE1E}">
    <filterColumn colId="4">
      <filters>
        <filter val="Absence"/>
      </filters>
    </filterColumn>
  </autoFilter>
  <mergeCells count="12">
    <mergeCell ref="BC1:BG1"/>
    <mergeCell ref="BH1:BL1"/>
    <mergeCell ref="BM1:BQ1"/>
    <mergeCell ref="AN1:AR1"/>
    <mergeCell ref="AS1:AW1"/>
    <mergeCell ref="AX1:BB1"/>
    <mergeCell ref="AI1:AM1"/>
    <mergeCell ref="J1:N1"/>
    <mergeCell ref="O1:S1"/>
    <mergeCell ref="T1:X1"/>
    <mergeCell ref="Y1:AC1"/>
    <mergeCell ref="AD1:AH1"/>
  </mergeCells>
  <phoneticPr fontId="2" type="noConversion"/>
  <conditionalFormatting sqref="P77:S82 U11:X11 U77:X82 AO77:AW82 AO11:AW11 AY11:BG11 AY77:BG82 BI77:BL82 BI11:BL11 BN11:BQ11 BN77:BQ82 BN91:BQ92 BI91:BL92 AY91:BG92 AO91:AW92 Z91:AH92 U91:X92 P91:S92 W18:X19 AD18:AD19 AD15:AH17 Z15:AC18 P67:Y76 P20:X21 Y12:Y21 Z11:AH14 J11:S11 Z67:AH82 P82:AH82 P93:AH94 AK93:BQ94 J78:AH80 AK78:BQ80 J66:AH66 AK66:BQ76 AK82:BQ89 AK90:AM92 AK77:AM82 AI66:AI94 AK12:BQ17 Z20:AH21 P22:AH61 J64:BQ65 J63:AH63 AK20:BQ63 AK18:AM19 AK3:AM11 AI3:AI63 AH62 J3:O9 J12:X17 J20:O47 J48:AH61 J63:O82 J83:AH89 J90:O94">
    <cfRule type="cellIs" dxfId="112" priority="429" operator="equal">
      <formula>0</formula>
    </cfRule>
  </conditionalFormatting>
  <conditionalFormatting sqref="P11:S11 U11:X11 Z11:AH11 AO11:AW11 AY11:BG11 BI11:BL11 BN11:BQ11">
    <cfRule type="cellIs" dxfId="111" priority="424" operator="equal">
      <formula>0</formula>
    </cfRule>
  </conditionalFormatting>
  <conditionalFormatting sqref="P3:S9 AY3:BG9 BI3:BL9 BN3:BQ9 U3:X9 AC10 Z3:AH9 Z10:AA10 AO3:AW9">
    <cfRule type="cellIs" dxfId="110" priority="343" operator="equal">
      <formula>0</formula>
    </cfRule>
  </conditionalFormatting>
  <conditionalFormatting sqref="T36:T37 T77:T82 T11 T91:T92">
    <cfRule type="cellIs" dxfId="109" priority="191" operator="equal">
      <formula>0</formula>
    </cfRule>
  </conditionalFormatting>
  <conditionalFormatting sqref="T11">
    <cfRule type="cellIs" dxfId="108" priority="190" operator="equal">
      <formula>0</formula>
    </cfRule>
  </conditionalFormatting>
  <conditionalFormatting sqref="T3:T9">
    <cfRule type="cellIs" dxfId="107" priority="186" operator="equal">
      <formula>0</formula>
    </cfRule>
  </conditionalFormatting>
  <conditionalFormatting sqref="Y11 Y77:Y82 Y91:Y92">
    <cfRule type="cellIs" dxfId="106" priority="179" operator="equal">
      <formula>0</formula>
    </cfRule>
  </conditionalFormatting>
  <conditionalFormatting sqref="Y11">
    <cfRule type="cellIs" dxfId="105" priority="178" operator="equal">
      <formula>0</formula>
    </cfRule>
  </conditionalFormatting>
  <conditionalFormatting sqref="Y3:Y9">
    <cfRule type="cellIs" dxfId="104" priority="175" operator="equal">
      <formula>0</formula>
    </cfRule>
  </conditionalFormatting>
  <conditionalFormatting sqref="AN11 AN77:AN82 AN91:AN92">
    <cfRule type="cellIs" dxfId="103" priority="157" operator="equal">
      <formula>0</formula>
    </cfRule>
  </conditionalFormatting>
  <conditionalFormatting sqref="AN11">
    <cfRule type="cellIs" dxfId="102" priority="156" operator="equal">
      <formula>0</formula>
    </cfRule>
  </conditionalFormatting>
  <conditionalFormatting sqref="AN3:AN9">
    <cfRule type="cellIs" dxfId="101" priority="153" operator="equal">
      <formula>0</formula>
    </cfRule>
  </conditionalFormatting>
  <conditionalFormatting sqref="AX77:AX82 AX11 AX91:AX92">
    <cfRule type="cellIs" dxfId="100" priority="146" operator="equal">
      <formula>0</formula>
    </cfRule>
  </conditionalFormatting>
  <conditionalFormatting sqref="AX11">
    <cfRule type="cellIs" dxfId="99" priority="145" operator="equal">
      <formula>0</formula>
    </cfRule>
  </conditionalFormatting>
  <conditionalFormatting sqref="AX3:AX9">
    <cfRule type="cellIs" dxfId="98" priority="142" operator="equal">
      <formula>0</formula>
    </cfRule>
  </conditionalFormatting>
  <conditionalFormatting sqref="BH11 BH77:BH82 BH91:BH92">
    <cfRule type="cellIs" dxfId="97" priority="135" operator="equal">
      <formula>0</formula>
    </cfRule>
  </conditionalFormatting>
  <conditionalFormatting sqref="BH11">
    <cfRule type="cellIs" dxfId="96" priority="134" operator="equal">
      <formula>0</formula>
    </cfRule>
  </conditionalFormatting>
  <conditionalFormatting sqref="BH3:BH9">
    <cfRule type="cellIs" dxfId="95" priority="131" operator="equal">
      <formula>0</formula>
    </cfRule>
  </conditionalFormatting>
  <conditionalFormatting sqref="BM77:BM82 BM11 BM91:BM92">
    <cfRule type="cellIs" dxfId="94" priority="124" operator="equal">
      <formula>0</formula>
    </cfRule>
  </conditionalFormatting>
  <conditionalFormatting sqref="BM11">
    <cfRule type="cellIs" dxfId="93" priority="123" operator="equal">
      <formula>0</formula>
    </cfRule>
  </conditionalFormatting>
  <conditionalFormatting sqref="BM3:BM9">
    <cfRule type="cellIs" dxfId="92" priority="120" operator="equal">
      <formula>0</formula>
    </cfRule>
  </conditionalFormatting>
  <conditionalFormatting sqref="P90:S90 U90:X90 Z90:AH90 AO90:AW90 AY90:BG90 BI90:BL90 BN90:BQ90">
    <cfRule type="cellIs" dxfId="91" priority="101" operator="equal">
      <formula>0</formula>
    </cfRule>
  </conditionalFormatting>
  <conditionalFormatting sqref="T90">
    <cfRule type="cellIs" dxfId="90" priority="93" operator="equal">
      <formula>0</formula>
    </cfRule>
  </conditionalFormatting>
  <conditionalFormatting sqref="Y90">
    <cfRule type="cellIs" dxfId="89" priority="92" operator="equal">
      <formula>0</formula>
    </cfRule>
  </conditionalFormatting>
  <conditionalFormatting sqref="AN90">
    <cfRule type="cellIs" dxfId="88" priority="90" operator="equal">
      <formula>0</formula>
    </cfRule>
  </conditionalFormatting>
  <conditionalFormatting sqref="AX90">
    <cfRule type="cellIs" dxfId="87" priority="89" operator="equal">
      <formula>0</formula>
    </cfRule>
  </conditionalFormatting>
  <conditionalFormatting sqref="BH90">
    <cfRule type="cellIs" dxfId="86" priority="88" operator="equal">
      <formula>0</formula>
    </cfRule>
  </conditionalFormatting>
  <conditionalFormatting sqref="BM90">
    <cfRule type="cellIs" dxfId="85" priority="87" operator="equal">
      <formula>0</formula>
    </cfRule>
  </conditionalFormatting>
  <conditionalFormatting sqref="U18:V19 Z19:AC19 AO18:AW19 AY18:BG19 BI18:BL19 BN18:BQ19 L18:S19 J18:J19 AE18:AH19">
    <cfRule type="cellIs" dxfId="84" priority="67" operator="equal">
      <formula>0</formula>
    </cfRule>
  </conditionalFormatting>
  <conditionalFormatting sqref="T18:T19">
    <cfRule type="cellIs" dxfId="83" priority="66" operator="equal">
      <formula>0</formula>
    </cfRule>
  </conditionalFormatting>
  <conditionalFormatting sqref="AN18:AN19">
    <cfRule type="cellIs" dxfId="82" priority="63" operator="equal">
      <formula>0</formula>
    </cfRule>
  </conditionalFormatting>
  <conditionalFormatting sqref="AX18:AX19">
    <cfRule type="cellIs" dxfId="81" priority="62" operator="equal">
      <formula>0</formula>
    </cfRule>
  </conditionalFormatting>
  <conditionalFormatting sqref="BH18:BH19">
    <cfRule type="cellIs" dxfId="80" priority="61" operator="equal">
      <formula>0</formula>
    </cfRule>
  </conditionalFormatting>
  <conditionalFormatting sqref="BM18:BM19">
    <cfRule type="cellIs" dxfId="79" priority="60" operator="equal">
      <formula>0</formula>
    </cfRule>
  </conditionalFormatting>
  <conditionalFormatting sqref="K18:K19">
    <cfRule type="cellIs" dxfId="78" priority="59" operator="equal">
      <formula>0</formula>
    </cfRule>
  </conditionalFormatting>
  <conditionalFormatting sqref="BN81:BQ81 BI81:BL81 AY81:BG81 AO81:AW81 Z81:AH81 U81:X81 J81:S81">
    <cfRule type="cellIs" dxfId="77" priority="40" operator="equal">
      <formula>0</formula>
    </cfRule>
  </conditionalFormatting>
  <conditionalFormatting sqref="T81">
    <cfRule type="cellIs" dxfId="76" priority="39" operator="equal">
      <formula>0</formula>
    </cfRule>
  </conditionalFormatting>
  <conditionalFormatting sqref="Y81">
    <cfRule type="cellIs" dxfId="75" priority="38" operator="equal">
      <formula>0</formula>
    </cfRule>
  </conditionalFormatting>
  <conditionalFormatting sqref="AN81">
    <cfRule type="cellIs" dxfId="74" priority="36" operator="equal">
      <formula>0</formula>
    </cfRule>
  </conditionalFormatting>
  <conditionalFormatting sqref="AX81">
    <cfRule type="cellIs" dxfId="73" priority="35" operator="equal">
      <formula>0</formula>
    </cfRule>
  </conditionalFormatting>
  <conditionalFormatting sqref="BH81">
    <cfRule type="cellIs" dxfId="72" priority="34" operator="equal">
      <formula>0</formula>
    </cfRule>
  </conditionalFormatting>
  <conditionalFormatting sqref="BM81">
    <cfRule type="cellIs" dxfId="71" priority="33" operator="equal">
      <formula>0</formula>
    </cfRule>
  </conditionalFormatting>
  <conditionalFormatting sqref="J10:O10">
    <cfRule type="cellIs" dxfId="70" priority="14" operator="equal">
      <formula>0</formula>
    </cfRule>
  </conditionalFormatting>
  <conditionalFormatting sqref="P10:S10 U10:X10 AO10:AW10 AY10:BG10 BI10:BL10 BN10:BQ10 AB10 AD10:AH10">
    <cfRule type="cellIs" dxfId="69" priority="13" operator="equal">
      <formula>0</formula>
    </cfRule>
  </conditionalFormatting>
  <conditionalFormatting sqref="T10">
    <cfRule type="cellIs" dxfId="68" priority="12" operator="equal">
      <formula>0</formula>
    </cfRule>
  </conditionalFormatting>
  <conditionalFormatting sqref="Y10">
    <cfRule type="cellIs" dxfId="67" priority="11" operator="equal">
      <formula>0</formula>
    </cfRule>
  </conditionalFormatting>
  <conditionalFormatting sqref="AN10">
    <cfRule type="cellIs" dxfId="66" priority="9" operator="equal">
      <formula>0</formula>
    </cfRule>
  </conditionalFormatting>
  <conditionalFormatting sqref="AX10">
    <cfRule type="cellIs" dxfId="65" priority="8" operator="equal">
      <formula>0</formula>
    </cfRule>
  </conditionalFormatting>
  <conditionalFormatting sqref="BH10">
    <cfRule type="cellIs" dxfId="64" priority="7" operator="equal">
      <formula>0</formula>
    </cfRule>
  </conditionalFormatting>
  <conditionalFormatting sqref="BM10">
    <cfRule type="cellIs" dxfId="63" priority="6" operator="equal">
      <formula>0</formula>
    </cfRule>
  </conditionalFormatting>
  <conditionalFormatting sqref="AJ66:AJ94">
    <cfRule type="cellIs" dxfId="62" priority="2" operator="equal">
      <formula>0</formula>
    </cfRule>
  </conditionalFormatting>
  <conditionalFormatting sqref="AJ3:AJ63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headerFooter>
    <oddFooter>&amp;R&amp;1#&amp;"Calibri"&amp;10&amp;K0000FFClassification : Internal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7" operator="equal" id="{A521752C-0BB3-4F16-8BBC-6D3ACAEDA755}">
            <xm:f>Paramètre!$A$18</xm:f>
            <x14:dxf>
              <fill>
                <patternFill>
                  <bgColor rgb="FF53D2FF"/>
                </patternFill>
              </fill>
            </x14:dxf>
          </x14:cfRule>
          <x14:cfRule type="cellIs" priority="848" operator="equal" id="{DDC82234-0830-4EC0-8541-378D956799CD}">
            <xm:f>Paramètre!$A$17</xm:f>
            <x14:dxf>
              <fill>
                <patternFill>
                  <bgColor rgb="FFD2A578"/>
                </patternFill>
              </fill>
            </x14:dxf>
          </x14:cfRule>
          <x14:cfRule type="cellIs" priority="849" operator="equal" id="{7B64A1CA-9530-42DA-B113-83F39AC0C725}">
            <xm:f>Paramètre!$A$16</xm:f>
            <x14:dxf>
              <fill>
                <patternFill>
                  <bgColor rgb="FFFF6DD2"/>
                </patternFill>
              </fill>
            </x14:dxf>
          </x14:cfRule>
          <x14:cfRule type="cellIs" priority="850" operator="equal" id="{19C40BBD-0F4E-4771-8306-2CE518674058}">
            <xm:f>Paramètre!$A$15</xm:f>
            <x14:dxf>
              <fill>
                <patternFill>
                  <bgColor rgb="FFD9B3FF"/>
                </patternFill>
              </fill>
            </x14:dxf>
          </x14:cfRule>
          <x14:cfRule type="cellIs" priority="851" operator="equal" id="{857DAB10-1AEB-4822-BF67-36FCA5AA7620}">
            <xm:f>Paramètre!$A$14</xm:f>
            <x14:dxf>
              <fill>
                <patternFill>
                  <bgColor rgb="FFFFCCCC"/>
                </patternFill>
              </fill>
            </x14:dxf>
          </x14:cfRule>
          <x14:cfRule type="cellIs" priority="852" operator="equal" id="{CE98D64B-CF30-45AA-B4C8-0B1A3FEE5EA4}">
            <xm:f>Paramètre!$A$13</xm:f>
            <x14:dxf>
              <fill>
                <patternFill>
                  <bgColor rgb="FFCCFFCC"/>
                </patternFill>
              </fill>
            </x14:dxf>
          </x14:cfRule>
          <x14:cfRule type="cellIs" priority="853" operator="equal" id="{AF1A9123-F876-4521-A5FD-6C51062EC1CC}">
            <xm:f>Paramètre!$A$18</xm:f>
            <x14:dxf/>
          </x14:cfRule>
          <x14:cfRule type="cellIs" priority="854" operator="equal" id="{49EDA8FA-3DC0-4ADF-BA76-EAD739D5C0C9}">
            <xm:f>Paramètre!$A$11</xm:f>
            <x14:dxf>
              <fill>
                <patternFill>
                  <bgColor rgb="FFFEC0AC"/>
                </patternFill>
              </fill>
            </x14:dxf>
          </x14:cfRule>
          <x14:cfRule type="cellIs" priority="855" operator="equal" id="{930E3BB6-1D17-4F6C-A12B-A2B42FF26F91}">
            <xm:f>Paramètre!$A$10</xm:f>
            <x14:dxf>
              <fill>
                <patternFill>
                  <bgColor rgb="FFCAF8FE"/>
                </patternFill>
              </fill>
            </x14:dxf>
          </x14:cfRule>
          <x14:cfRule type="cellIs" priority="856" operator="equal" id="{A6A19A87-DC62-41B2-8FCF-09F47EA47405}">
            <xm:f>Paramètre!#REF!</xm:f>
            <x14:dxf>
              <fill>
                <patternFill>
                  <bgColor rgb="FFFEFAB4"/>
                </patternFill>
              </fill>
            </x14:dxf>
          </x14:cfRule>
          <x14:cfRule type="cellIs" priority="857" operator="equal" id="{6C12C9A2-86BA-46E5-8C11-CDF136AD3B86}">
            <xm:f>Paramètre!#REF!</xm:f>
            <x14:dxf>
              <fill>
                <patternFill>
                  <bgColor rgb="FFCADFFE"/>
                </patternFill>
              </fill>
            </x14:dxf>
          </x14:cfRule>
          <x14:cfRule type="cellIs" priority="858" operator="equal" id="{450BD8DE-F30C-424D-9ABC-F5D60B0A705E}">
            <xm:f>Paramètre!$A$8</xm:f>
            <x14:dxf>
              <fill>
                <patternFill>
                  <bgColor rgb="FFC5FFDC"/>
                </patternFill>
              </fill>
            </x14:dxf>
          </x14:cfRule>
          <x14:cfRule type="cellIs" priority="859" operator="equal" id="{D4FFD529-03DC-4319-93A3-5AC5F76CC454}">
            <xm:f>Paramètre!$A$7</xm:f>
            <x14:dxf>
              <fill>
                <patternFill>
                  <bgColor rgb="FFFFE5FF"/>
                </patternFill>
              </fill>
            </x14:dxf>
          </x14:cfRule>
          <x14:cfRule type="cellIs" priority="860" operator="equal" id="{45292081-D44F-446C-BA15-D7368C5F16D1}">
            <xm:f>Paramètre!$A$6</xm:f>
            <x14:dxf>
              <fill>
                <patternFill>
                  <bgColor theme="4" tint="0.79998168889431442"/>
                </patternFill>
              </fill>
            </x14:dxf>
          </x14:cfRule>
          <x14:cfRule type="cellIs" priority="861" operator="equal" id="{124351DC-D1B7-477B-93F8-77E04A6554FA}">
            <xm:f>Paramètre!$A$5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862" operator="equal" id="{9648AD67-0422-4990-90AB-6033DADCCDC6}">
            <xm:f>Paramètre!$A$4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863" operator="equal" id="{79C78524-5AB4-419D-A8C5-8DECAF86FAF0}">
            <xm:f>Paramètre!$A$3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864" operator="equal" id="{04A86847-0F16-4857-A420-914BDFAF5376}">
            <xm:f>Paramètre!$A$2</xm:f>
            <x14:dxf>
              <fill>
                <patternFill>
                  <bgColor theme="5" tint="0.79998168889431442"/>
                </patternFill>
              </fill>
            </x14:dxf>
          </x14:cfRule>
          <xm:sqref>I3:I17 I82:I94 J62:AG62 I20:I80 AI62</xm:sqref>
        </x14:conditionalFormatting>
        <x14:conditionalFormatting xmlns:xm="http://schemas.microsoft.com/office/excel/2006/main">
          <x14:cfRule type="cellIs" priority="68" operator="equal" id="{871DF248-F230-4146-B0AE-9BDB7333B333}">
            <xm:f>Paramètre!$A$18</xm:f>
            <x14:dxf>
              <fill>
                <patternFill>
                  <bgColor rgb="FF53D2FF"/>
                </patternFill>
              </fill>
            </x14:dxf>
          </x14:cfRule>
          <x14:cfRule type="cellIs" priority="69" operator="equal" id="{AF1E1C0E-4D41-4298-B364-6C0C8DED31A5}">
            <xm:f>Paramètre!$A$17</xm:f>
            <x14:dxf>
              <fill>
                <patternFill>
                  <bgColor rgb="FFD2A578"/>
                </patternFill>
              </fill>
            </x14:dxf>
          </x14:cfRule>
          <x14:cfRule type="cellIs" priority="70" operator="equal" id="{7C8FB67D-0847-4426-A6DA-875D68C879AF}">
            <xm:f>Paramètre!$A$16</xm:f>
            <x14:dxf>
              <fill>
                <patternFill>
                  <bgColor rgb="FFFF6DD2"/>
                </patternFill>
              </fill>
            </x14:dxf>
          </x14:cfRule>
          <x14:cfRule type="cellIs" priority="71" operator="equal" id="{804636C7-06D5-4E5A-974D-EB5EEB4EABF9}">
            <xm:f>Paramètre!$A$15</xm:f>
            <x14:dxf>
              <fill>
                <patternFill>
                  <bgColor rgb="FFD9B3FF"/>
                </patternFill>
              </fill>
            </x14:dxf>
          </x14:cfRule>
          <x14:cfRule type="cellIs" priority="72" operator="equal" id="{DD13A566-C2ED-47D7-ABB6-88D11DFEBFF8}">
            <xm:f>Paramètre!$A$14</xm:f>
            <x14:dxf>
              <fill>
                <patternFill>
                  <bgColor rgb="FFFFCCCC"/>
                </patternFill>
              </fill>
            </x14:dxf>
          </x14:cfRule>
          <x14:cfRule type="cellIs" priority="73" operator="equal" id="{4CEDC6DC-DD2E-4488-81BE-A7FFA61B85B1}">
            <xm:f>Paramètre!$A$13</xm:f>
            <x14:dxf>
              <fill>
                <patternFill>
                  <bgColor rgb="FFCCFFCC"/>
                </patternFill>
              </fill>
            </x14:dxf>
          </x14:cfRule>
          <x14:cfRule type="cellIs" priority="74" operator="equal" id="{E4222BAD-1935-444F-9E48-2958AFB2BF0C}">
            <xm:f>Paramètre!$A$18</xm:f>
            <x14:dxf/>
          </x14:cfRule>
          <x14:cfRule type="cellIs" priority="75" operator="equal" id="{90DD773A-3471-485D-ACD5-76FD103048A0}">
            <xm:f>Paramètre!$A$11</xm:f>
            <x14:dxf>
              <fill>
                <patternFill>
                  <bgColor rgb="FFFEC0AC"/>
                </patternFill>
              </fill>
            </x14:dxf>
          </x14:cfRule>
          <x14:cfRule type="cellIs" priority="76" operator="equal" id="{B565356D-04E3-437E-9186-E10CBE40FD1A}">
            <xm:f>Paramètre!$A$10</xm:f>
            <x14:dxf>
              <fill>
                <patternFill>
                  <bgColor rgb="FFCAF8FE"/>
                </patternFill>
              </fill>
            </x14:dxf>
          </x14:cfRule>
          <x14:cfRule type="cellIs" priority="77" operator="equal" id="{D1374C66-53B5-477E-872C-9AD6ED198C9D}">
            <xm:f>Paramètre!#REF!</xm:f>
            <x14:dxf>
              <fill>
                <patternFill>
                  <bgColor rgb="FFFEFAB4"/>
                </patternFill>
              </fill>
            </x14:dxf>
          </x14:cfRule>
          <x14:cfRule type="cellIs" priority="78" operator="equal" id="{CF0C8251-1A8A-44B1-BAC0-42F1CD57807E}">
            <xm:f>Paramètre!#REF!</xm:f>
            <x14:dxf>
              <fill>
                <patternFill>
                  <bgColor rgb="FFCADFFE"/>
                </patternFill>
              </fill>
            </x14:dxf>
          </x14:cfRule>
          <x14:cfRule type="cellIs" priority="79" operator="equal" id="{26FE194E-61A6-4452-B487-E0C866127112}">
            <xm:f>Paramètre!$A$8</xm:f>
            <x14:dxf>
              <fill>
                <patternFill>
                  <bgColor rgb="FFC5FFDC"/>
                </patternFill>
              </fill>
            </x14:dxf>
          </x14:cfRule>
          <x14:cfRule type="cellIs" priority="80" operator="equal" id="{AAE812A1-2E7A-490B-8512-A8277FF46391}">
            <xm:f>Paramètre!$A$7</xm:f>
            <x14:dxf>
              <fill>
                <patternFill>
                  <bgColor rgb="FFFFE5FF"/>
                </patternFill>
              </fill>
            </x14:dxf>
          </x14:cfRule>
          <x14:cfRule type="cellIs" priority="81" operator="equal" id="{BF436E37-4406-4FF1-B64D-37A4C8ED901D}">
            <xm:f>Paramètre!$A$6</xm:f>
            <x14:dxf>
              <fill>
                <patternFill>
                  <bgColor theme="4" tint="0.79998168889431442"/>
                </patternFill>
              </fill>
            </x14:dxf>
          </x14:cfRule>
          <x14:cfRule type="cellIs" priority="82" operator="equal" id="{54AB0291-7C9B-4692-8BE3-1197D69DC54A}">
            <xm:f>Paramètre!$A$5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83" operator="equal" id="{DEBEA1B6-E950-499F-8241-20CB69B33F96}">
            <xm:f>Paramètre!$A$4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84" operator="equal" id="{95D0907C-8252-4E28-A44C-E5F0E06F665C}">
            <xm:f>Paramètre!$A$3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85" operator="equal" id="{409BD076-36F5-4135-8024-DE2F16A8719D}">
            <xm:f>Paramètre!$A$2</xm:f>
            <x14:dxf>
              <fill>
                <patternFill>
                  <bgColor theme="5" tint="0.79998168889431442"/>
                </patternFill>
              </fill>
            </x14:dxf>
          </x14:cfRule>
          <xm:sqref>I18:I19</xm:sqref>
        </x14:conditionalFormatting>
        <x14:conditionalFormatting xmlns:xm="http://schemas.microsoft.com/office/excel/2006/main">
          <x14:cfRule type="cellIs" priority="41" operator="equal" id="{85392E17-C31E-40B7-903D-5DC4918EFE6A}">
            <xm:f>Paramètre!$A$18</xm:f>
            <x14:dxf>
              <fill>
                <patternFill>
                  <bgColor rgb="FF53D2FF"/>
                </patternFill>
              </fill>
            </x14:dxf>
          </x14:cfRule>
          <x14:cfRule type="cellIs" priority="42" operator="equal" id="{8A4227AB-1181-4EFD-A11B-29CD2A05BD71}">
            <xm:f>Paramètre!$A$17</xm:f>
            <x14:dxf>
              <fill>
                <patternFill>
                  <bgColor rgb="FFD2A578"/>
                </patternFill>
              </fill>
            </x14:dxf>
          </x14:cfRule>
          <x14:cfRule type="cellIs" priority="43" operator="equal" id="{5030021C-9A29-41E3-83A9-344806A8B7FC}">
            <xm:f>Paramètre!$A$16</xm:f>
            <x14:dxf>
              <fill>
                <patternFill>
                  <bgColor rgb="FFFF6DD2"/>
                </patternFill>
              </fill>
            </x14:dxf>
          </x14:cfRule>
          <x14:cfRule type="cellIs" priority="44" operator="equal" id="{E4048831-B576-4E42-9A2F-B3134F52F6B6}">
            <xm:f>Paramètre!$A$15</xm:f>
            <x14:dxf>
              <fill>
                <patternFill>
                  <bgColor rgb="FFD9B3FF"/>
                </patternFill>
              </fill>
            </x14:dxf>
          </x14:cfRule>
          <x14:cfRule type="cellIs" priority="45" operator="equal" id="{43EAA9E8-B208-416B-A4DA-B6C2C462B78F}">
            <xm:f>Paramètre!$A$14</xm:f>
            <x14:dxf>
              <fill>
                <patternFill>
                  <bgColor rgb="FFFFCCCC"/>
                </patternFill>
              </fill>
            </x14:dxf>
          </x14:cfRule>
          <x14:cfRule type="cellIs" priority="46" operator="equal" id="{99995F02-97E9-4AEF-A7D8-D38CB3678E45}">
            <xm:f>Paramètre!$A$13</xm:f>
            <x14:dxf>
              <fill>
                <patternFill>
                  <bgColor rgb="FFCCFFCC"/>
                </patternFill>
              </fill>
            </x14:dxf>
          </x14:cfRule>
          <x14:cfRule type="cellIs" priority="47" operator="equal" id="{7D8BA292-6369-4A62-84BF-42F2D7F5CB98}">
            <xm:f>Paramètre!$A$18</xm:f>
            <x14:dxf/>
          </x14:cfRule>
          <x14:cfRule type="cellIs" priority="48" operator="equal" id="{4A01EBD9-822E-4F18-8055-AFF382550DFB}">
            <xm:f>Paramètre!$A$11</xm:f>
            <x14:dxf>
              <fill>
                <patternFill>
                  <bgColor rgb="FFFEC0AC"/>
                </patternFill>
              </fill>
            </x14:dxf>
          </x14:cfRule>
          <x14:cfRule type="cellIs" priority="49" operator="equal" id="{69D9A031-4448-4EEC-B0D0-2FDD49D1ED64}">
            <xm:f>Paramètre!$A$10</xm:f>
            <x14:dxf>
              <fill>
                <patternFill>
                  <bgColor rgb="FFCAF8FE"/>
                </patternFill>
              </fill>
            </x14:dxf>
          </x14:cfRule>
          <x14:cfRule type="cellIs" priority="50" operator="equal" id="{B75386F1-E194-4634-A561-F04A3C40C354}">
            <xm:f>Paramètre!#REF!</xm:f>
            <x14:dxf>
              <fill>
                <patternFill>
                  <bgColor rgb="FFFEFAB4"/>
                </patternFill>
              </fill>
            </x14:dxf>
          </x14:cfRule>
          <x14:cfRule type="cellIs" priority="51" operator="equal" id="{44239E17-1A10-439B-90E4-DC34195FD322}">
            <xm:f>Paramètre!#REF!</xm:f>
            <x14:dxf>
              <fill>
                <patternFill>
                  <bgColor rgb="FFCADFFE"/>
                </patternFill>
              </fill>
            </x14:dxf>
          </x14:cfRule>
          <x14:cfRule type="cellIs" priority="52" operator="equal" id="{C143A252-748C-4BF4-807C-CBF3495E4F07}">
            <xm:f>Paramètre!$A$8</xm:f>
            <x14:dxf>
              <fill>
                <patternFill>
                  <bgColor rgb="FFC5FFDC"/>
                </patternFill>
              </fill>
            </x14:dxf>
          </x14:cfRule>
          <x14:cfRule type="cellIs" priority="53" operator="equal" id="{E53A470E-63F2-4DE7-80BF-CADA3A0D4922}">
            <xm:f>Paramètre!$A$7</xm:f>
            <x14:dxf>
              <fill>
                <patternFill>
                  <bgColor rgb="FFFFE5FF"/>
                </patternFill>
              </fill>
            </x14:dxf>
          </x14:cfRule>
          <x14:cfRule type="cellIs" priority="54" operator="equal" id="{DBE70CF8-30D3-420B-A84D-E4AD39A3587A}">
            <xm:f>Paramètre!$A$6</xm:f>
            <x14:dxf>
              <fill>
                <patternFill>
                  <bgColor theme="4" tint="0.79998168889431442"/>
                </patternFill>
              </fill>
            </x14:dxf>
          </x14:cfRule>
          <x14:cfRule type="cellIs" priority="55" operator="equal" id="{36AA3ABD-8C26-43FA-BCD2-5106723973FC}">
            <xm:f>Paramètre!$A$5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56" operator="equal" id="{50DB7F3D-6FDA-4448-A858-8CCF7EE52C60}">
            <xm:f>Paramètre!$A$4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57" operator="equal" id="{520E86BE-0639-4E17-A5DB-5306AEBC59EA}">
            <xm:f>Paramètre!$A$3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58" operator="equal" id="{A8879DF9-6029-4CBE-8796-F117219E9803}">
            <xm:f>Paramètre!$A$2</xm:f>
            <x14:dxf>
              <fill>
                <patternFill>
                  <bgColor theme="5" tint="0.79998168889431442"/>
                </patternFill>
              </fill>
            </x14:dxf>
          </x14:cfRule>
          <xm:sqref>I81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12ED0720-A49C-49E0-BA0C-49241B10DA38}">
          <x14:formula1>
            <xm:f>Paramètre!$V$2:$V$5</xm:f>
          </x14:formula1>
          <xm:sqref>E97:E115</xm:sqref>
        </x14:dataValidation>
        <x14:dataValidation type="list" allowBlank="1" showInputMessage="1" showErrorMessage="1" xr:uid="{1EC67A4E-FFA8-4EBE-B0DE-0E2C566DE438}">
          <x14:formula1>
            <xm:f>Paramètre!$U$2:$U$5</xm:f>
          </x14:formula1>
          <xm:sqref>F3:F94</xm:sqref>
        </x14:dataValidation>
        <x14:dataValidation type="list" allowBlank="1" showInputMessage="1" showErrorMessage="1" xr:uid="{634C6E39-03F9-419A-940C-24F43657ECA2}">
          <x14:formula1>
            <xm:f>Paramètre!$A$2:$A$18</xm:f>
          </x14:formula1>
          <xm:sqref>I3:I94 J62:AG62 AI62</xm:sqref>
        </x14:dataValidation>
        <x14:dataValidation type="list" allowBlank="1" showInputMessage="1" showErrorMessage="1" xr:uid="{7D7FB315-E15A-4DC4-BAD1-868512B91901}">
          <x14:formula1>
            <xm:f>Paramètre!$T$2:$T$7</xm:f>
          </x14:formula1>
          <xm:sqref>E3:E94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BC7777322B3B49BBCC613F0625AEA7" ma:contentTypeVersion="18" ma:contentTypeDescription="Create a new document." ma:contentTypeScope="" ma:versionID="2ba0561b3f1071a3d561a0516155c478">
  <xsd:schema xmlns:xsd="http://www.w3.org/2001/XMLSchema" xmlns:xs="http://www.w3.org/2001/XMLSchema" xmlns:p="http://schemas.microsoft.com/office/2006/metadata/properties" xmlns:ns2="0acf2dde-a787-4805-acc9-fe83676e986f" xmlns:ns3="e5f24e2d-e1f8-4f15-882b-60f90ae257eb" xmlns:ns4="http://schemas.microsoft.com/sharepoint/v4" targetNamespace="http://schemas.microsoft.com/office/2006/metadata/properties" ma:root="true" ma:fieldsID="a5b1b61368acf9782099646825660090" ns2:_="" ns3:_="" ns4:_="">
    <xsd:import namespace="0acf2dde-a787-4805-acc9-fe83676e986f"/>
    <xsd:import namespace="e5f24e2d-e1f8-4f15-882b-60f90ae257eb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oduits" minOccurs="0"/>
                <xsd:element ref="ns3:Sous_x002d_produits" minOccurs="0"/>
                <xsd:element ref="ns3:Fournisseurs" minOccurs="0"/>
                <xsd:element ref="ns3:Types" minOccurs="0"/>
                <xsd:element ref="ns3:Clients" minOccurs="0"/>
                <xsd:element ref="ns4:IconOverlay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f2dde-a787-4805-acc9-fe83676e98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f24e2d-e1f8-4f15-882b-60f90ae257eb" elementFormDefault="qualified">
    <xsd:import namespace="http://schemas.microsoft.com/office/2006/documentManagement/types"/>
    <xsd:import namespace="http://schemas.microsoft.com/office/infopath/2007/PartnerControls"/>
    <xsd:element name="Produits" ma:index="11" nillable="true" ma:displayName="Produits" ma:list="{c46f6ed4-d33e-487d-8105-8a57fa569f95}" ma:internalName="Produits" ma:showField="Title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ous_x002d_produits" ma:index="12" nillable="true" ma:displayName="Sous-produits" ma:internalName="Sous_x002d_produits">
      <xsd:simpleType>
        <xsd:restriction base="dms:Text">
          <xsd:maxLength value="255"/>
        </xsd:restriction>
      </xsd:simpleType>
    </xsd:element>
    <xsd:element name="Fournisseurs" ma:index="13" nillable="true" ma:displayName="Fournisseurs" ma:list="{c9a79d3b-b6bf-4311-a0e6-d17d0e6fca3b}" ma:internalName="Fournisseurs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ypes" ma:index="14" nillable="true" ma:displayName="Types" ma:list="{725417af-b523-4940-8a59-1485430f2c80}" ma:internalName="Types" ma:showField="Title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lients" ma:index="15" nillable="true" ma:displayName="Clients" ma:list="{5b995098-91b1-490a-a4a7-7350deeebd66}" ma:internalName="Clients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ients xmlns="e5f24e2d-e1f8-4f15-882b-60f90ae257eb"/>
    <Fournisseurs xmlns="e5f24e2d-e1f8-4f15-882b-60f90ae257eb"/>
    <IconOverlay xmlns="http://schemas.microsoft.com/sharepoint/v4" xsi:nil="true"/>
    <Sous_x002d_produits xmlns="e5f24e2d-e1f8-4f15-882b-60f90ae257eb" xsi:nil="true"/>
    <Types xmlns="e5f24e2d-e1f8-4f15-882b-60f90ae257eb">
      <Value>18</Value>
    </Types>
    <Produits xmlns="e5f24e2d-e1f8-4f15-882b-60f90ae257eb">
      <Value>2</Value>
      <Value>3</Value>
      <Value>6</Value>
    </Produits>
    <_dlc_DocId xmlns="0acf2dde-a787-4805-acc9-fe83676e986f">MHTTZPDQUREJ-6-3905</_dlc_DocId>
    <_dlc_DocIdUrl xmlns="0acf2dde-a787-4805-acc9-fe83676e986f">
      <Url>https://weshare.group.echonet/sites/BP2iMainframeDBTP/_layouts/15/DocIdRedir.aspx?ID=MHTTZPDQUREJ-6-3905</Url>
      <Description>MHTTZPDQUREJ-6-3905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��< ? x m l   v e r s i o n = " 1 . 0 "   e n c o d i n g = " u t f - 1 6 " ? > < D a t a M a s h u p   x m l n s = " h t t p : / / s c h e m a s . m i c r o s o f t . c o m / D a t a M a s h u p " > A A A A A B U D A A B Q S w M E F A A C A A g A U 4 W + V J c v Z 9 q l A A A A 9 Q A A A B I A H A B D b 2 5 m a W c v U G F j a 2 F n Z S 5 4 b W w g o h g A K K A U A A A A A A A A A A A A A A A A A A A A A A A A A A A A h Y + x D o I w A E R / h X S n L d U Y J K U M J k 6 S G E 2 M a 1 M K N E I x b b H 8 m 4 O f 5 C + I U d T N 8 d 7 d J X f 3 6 4 1 m Q 9 s E F 2 m s 6 n Q K I o h B I L X o C q W r F P S u D G O Q M b r l 4 s Q r G Y x h b Z P B q h T U z p 0 T h L z 3 0 M 9 g Z y p E M I 7 Q M d / s R S 1 b H i p t H d d C g k + r + N 8 C j B 5 e Y x i B y w W M 5 w R i i i Z G c 6 W / P h n n P t 0 f S F d 9 4 3 o j W W n C 9 Y 6 i S V L 0 v s A e U E s D B B Q A A g A I A F O F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h b 5 U K I p H u A 4 A A A A R A A A A E w A c A E Z v c m 1 1 b G F z L 1 N l Y 3 R p b 2 4 x L m 0 g o h g A K K A U A A A A A A A A A A A A A A A A A A A A A A A A A A A A K 0 5 N L s n M z 1 M I h t C G 1 g B Q S w E C L Q A U A A I A C A B T h b 5 U l y 9 n 2 q U A A A D 1 A A A A E g A A A A A A A A A A A A A A A A A A A A A A Q 2 9 u Z m l n L 1 B h Y 2 t h Z 2 U u e G 1 s U E s B A i 0 A F A A C A A g A U 4 W + V A / K 6 a u k A A A A 6 Q A A A B M A A A A A A A A A A A A A A A A A 8 Q A A A F t D b 2 5 0 Z W 5 0 X 1 R 5 c G V z X S 5 4 b W x Q S w E C L Q A U A A I A C A B T h b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t f m X u 0 d Q k + s + S X L T j w K 5 g A A A A A C A A A A A A A D Z g A A w A A A A B A A A A C O M l g l Q I y D 7 Q V Q O A I X d n u a A A A A A A S A A A C g A A A A E A A A A K g n r n E 1 K a z 4 n 0 8 C j 2 S X / H l Q A A A A m Z t e 1 6 / U 8 Y + N c F l Y J t J 8 2 6 c P 7 k f J y A K / u E u a 1 f F y O y W W D Z G o I 6 N v h r L z z D x c e 0 y K E W A 5 o 5 m j n B 2 I L q T D n N U x 8 s r M A J T a d P A + J A K R Y e 6 a J a A U A A A A 5 O + y L C 3 5 T q 2 r Z z Q W z y D R P H 5 O 4 2 U = < / D a t a M a s h u p > 
</file>

<file path=customXml/itemProps1.xml><?xml version="1.0" encoding="utf-8"?>
<ds:datastoreItem xmlns:ds="http://schemas.openxmlformats.org/officeDocument/2006/customXml" ds:itemID="{751ED37D-7662-41CC-B7AF-3ED1037C7F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f2dde-a787-4805-acc9-fe83676e986f"/>
    <ds:schemaRef ds:uri="e5f24e2d-e1f8-4f15-882b-60f90ae257eb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56E822-FA17-4763-AD8E-CA1C4D4FCD6F}">
  <ds:schemaRefs>
    <ds:schemaRef ds:uri="http://schemas.microsoft.com/office/2006/metadata/properties"/>
    <ds:schemaRef ds:uri="http://schemas.microsoft.com/office/infopath/2007/PartnerControls"/>
    <ds:schemaRef ds:uri="e5f24e2d-e1f8-4f15-882b-60f90ae257eb"/>
    <ds:schemaRef ds:uri="http://schemas.microsoft.com/sharepoint/v4"/>
    <ds:schemaRef ds:uri="0acf2dde-a787-4805-acc9-fe83676e986f"/>
  </ds:schemaRefs>
</ds:datastoreItem>
</file>

<file path=customXml/itemProps3.xml><?xml version="1.0" encoding="utf-8"?>
<ds:datastoreItem xmlns:ds="http://schemas.openxmlformats.org/officeDocument/2006/customXml" ds:itemID="{5E46D55D-8A62-4DB1-885D-7FB5AA0767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319A9A9-D60B-4B97-82F7-1CE71B154766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DE915BC2-43BC-4375-833A-0E989EFF4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Paramètre</vt:lpstr>
      <vt:lpstr>Saisie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GAIGIER-DUVAL</dc:creator>
  <cp:keywords/>
  <dc:description/>
  <cp:lastModifiedBy>Severine LAHAIE</cp:lastModifiedBy>
  <cp:revision/>
  <dcterms:created xsi:type="dcterms:W3CDTF">2021-03-23T14:56:37Z</dcterms:created>
  <dcterms:modified xsi:type="dcterms:W3CDTF">2022-07-13T15:04:53Z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0x01010007BC7777322B3B49BBCC613F0625AEA7</vt:lpwstr>
  </property>
  <property fmtid="{D5CDD505-2E9C-101B-9397-08002B2CF9AE}" pid="3" name="_dlc_DocIdItemGuid">
    <vt:lpwstr>20530aee-4948-43da-8a96-629e4f4cd3d5</vt:lpwstr>
  </property>
  <property fmtid="{D5CDD505-2E9C-101B-9397-08002B2CF9AE}" pid="4" name="MSIP_Label_812e1ed0-4700-41e0-aec3-61ed249f3333_Enabled">
    <vt:lpwstr>true</vt:lpwstr>
  </property>
  <property fmtid="{D5CDD505-2E9C-101B-9397-08002B2CF9AE}" pid="5" name="MSIP_Label_812e1ed0-4700-41e0-aec3-61ed249f3333_SetDate">
    <vt:lpwstr>2022-02-17T07:56:48Z</vt:lpwstr>
  </property>
  <property fmtid="{D5CDD505-2E9C-101B-9397-08002B2CF9AE}" pid="6" name="MSIP_Label_812e1ed0-4700-41e0-aec3-61ed249f3333_Method">
    <vt:lpwstr>Standard</vt:lpwstr>
  </property>
  <property fmtid="{D5CDD505-2E9C-101B-9397-08002B2CF9AE}" pid="7" name="MSIP_Label_812e1ed0-4700-41e0-aec3-61ed249f3333_Name">
    <vt:lpwstr>Internal - Standard</vt:lpwstr>
  </property>
  <property fmtid="{D5CDD505-2E9C-101B-9397-08002B2CF9AE}" pid="8" name="MSIP_Label_812e1ed0-4700-41e0-aec3-61ed249f3333_SiteId">
    <vt:lpwstr>614f9c25-bffa-42c7-86d8-964101f55fa2</vt:lpwstr>
  </property>
  <property fmtid="{D5CDD505-2E9C-101B-9397-08002B2CF9AE}" pid="9" name="MSIP_Label_812e1ed0-4700-41e0-aec3-61ed249f3333_ActionId">
    <vt:lpwstr>235ac3dc-549f-4c4e-9ebb-24202fc4ad86</vt:lpwstr>
  </property>
  <property fmtid="{D5CDD505-2E9C-101B-9397-08002B2CF9AE}" pid="10" name="MSIP_Label_812e1ed0-4700-41e0-aec3-61ed249f3333_ContentBits">
    <vt:lpwstr>2</vt:lpwstr>
  </property>
</Properties>
</file>