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NZ0vfOFNcITaSEcdpJJ7D3An/Y7FH1rnyK09pvDtXY="/>
    </ext>
  </extLst>
</workbook>
</file>

<file path=xl/sharedStrings.xml><?xml version="1.0" encoding="utf-8"?>
<sst xmlns="http://schemas.openxmlformats.org/spreadsheetml/2006/main" count="129" uniqueCount="128">
  <si>
    <t>Designators</t>
  </si>
  <si>
    <t>Ct</t>
  </si>
  <si>
    <t>Part #</t>
  </si>
  <si>
    <t>Description</t>
  </si>
  <si>
    <t>Substitutes</t>
  </si>
  <si>
    <t>NOTES</t>
  </si>
  <si>
    <t>Costs (old)</t>
  </si>
  <si>
    <t>U1</t>
  </si>
  <si>
    <t>TPD4S012DRYR</t>
  </si>
  <si>
    <t>TVS Diodes</t>
  </si>
  <si>
    <t>U2</t>
  </si>
  <si>
    <t>BT40</t>
  </si>
  <si>
    <t>Fanstel Microcontroller</t>
  </si>
  <si>
    <t>BT840, BT832, BT832A, or variants (F, E, X, XE)</t>
  </si>
  <si>
    <t>Prefer BT40 (nRF53)</t>
  </si>
  <si>
    <t>From Fanstel:</t>
  </si>
  <si>
    <t>U3,U4</t>
  </si>
  <si>
    <t>LP5907-3.3MFX</t>
  </si>
  <si>
    <t>3v3 LDO</t>
  </si>
  <si>
    <t>Alt Stock (moq 155)</t>
  </si>
  <si>
    <t>U5</t>
  </si>
  <si>
    <t>ADS131M08IPBS</t>
  </si>
  <si>
    <t>ADC 24bit 8ch</t>
  </si>
  <si>
    <t>From TI:</t>
  </si>
  <si>
    <t>U6</t>
  </si>
  <si>
    <t>BQ24076RGTR</t>
  </si>
  <si>
    <t>Battery charge/switch interface</t>
  </si>
  <si>
    <t>BQ2407xRGTR</t>
  </si>
  <si>
    <t>U7</t>
  </si>
  <si>
    <t>DX4R005JJ2R1800</t>
  </si>
  <si>
    <t>MicroUSB port</t>
  </si>
  <si>
    <t>S1</t>
  </si>
  <si>
    <t>CL-SB-12B-01T</t>
  </si>
  <si>
    <t>Switch On-Off</t>
  </si>
  <si>
    <t>Alt part/source</t>
  </si>
  <si>
    <t>X1</t>
  </si>
  <si>
    <t>LFXTAL061486Reel</t>
  </si>
  <si>
    <t>8.192Mhz Crystal</t>
  </si>
  <si>
    <t>X2</t>
  </si>
  <si>
    <t>32.7680 Crystal</t>
  </si>
  <si>
    <t>I1</t>
  </si>
  <si>
    <t>MMZ1005S121CT000</t>
  </si>
  <si>
    <t>120Ohm/500mAh 0402 INDUCTOR</t>
  </si>
  <si>
    <t>C1,C2</t>
  </si>
  <si>
    <t>CC0201DRNPO9BN7R0</t>
  </si>
  <si>
    <t>7pF 0201 MLCC</t>
  </si>
  <si>
    <t>C3,C4,</t>
  </si>
  <si>
    <t>02015A100JAT2A</t>
  </si>
  <si>
    <t>10pF 0201 MLCC</t>
  </si>
  <si>
    <t>C5,C7,C8,C10,C12,C13,C23</t>
  </si>
  <si>
    <t>02016D224KAT2A</t>
  </si>
  <si>
    <t>1uF 0201 MLCC</t>
  </si>
  <si>
    <t>C6</t>
  </si>
  <si>
    <t>220nF 0201 MLCC</t>
  </si>
  <si>
    <t>C9,C11,C14,C26</t>
  </si>
  <si>
    <t>AMK063EBJ475MP-F</t>
  </si>
  <si>
    <t>4.7uF 0201 MLCC</t>
  </si>
  <si>
    <t>C15,C31</t>
  </si>
  <si>
    <t>0402YG104ZAT4A</t>
  </si>
  <si>
    <t>10uF 0402 MLCC</t>
  </si>
  <si>
    <t>C18,C22,C27,C30</t>
  </si>
  <si>
    <t>0201ZD104KAT2A</t>
  </si>
  <si>
    <t>0.1uF 0201 MLCC</t>
  </si>
  <si>
    <t>C19</t>
  </si>
  <si>
    <t>0201YD103KAT4A</t>
  </si>
  <si>
    <t>10nF 0201 MLCC</t>
  </si>
  <si>
    <t>C16,C17,C20,C21,C24,C25,C28,C29</t>
  </si>
  <si>
    <t xml:space="preserve">02013C101KAT2A </t>
  </si>
  <si>
    <t>100pF 0201 MLCC</t>
  </si>
  <si>
    <t>R1</t>
  </si>
  <si>
    <t>CRCW020110K0JNED</t>
  </si>
  <si>
    <t>10KOhm 0201 RESISTOR</t>
  </si>
  <si>
    <t>R10, R11</t>
  </si>
  <si>
    <t>AC0402FR-0710KL</t>
  </si>
  <si>
    <t>10KOhm 0402 RESISTOR</t>
  </si>
  <si>
    <t>R2</t>
  </si>
  <si>
    <t>CRCW0201100KFNED</t>
  </si>
  <si>
    <t>100KOhm 0201 RESISTOR</t>
  </si>
  <si>
    <t>R12,R13</t>
  </si>
  <si>
    <t>AC0402FR-13100KL</t>
  </si>
  <si>
    <t>100KOhm 0402 RESISTOR</t>
  </si>
  <si>
    <t>R6</t>
  </si>
  <si>
    <t xml:space="preserve">RC0201FR-07348KL </t>
  </si>
  <si>
    <t>348KOhm 0201 RESISTOR</t>
  </si>
  <si>
    <t>R7</t>
  </si>
  <si>
    <t xml:space="preserve">RC0201FR-07750KL </t>
  </si>
  <si>
    <t>750KOhm 0201 RESISTOR</t>
  </si>
  <si>
    <t>R5,R8,R9</t>
  </si>
  <si>
    <t>RC0201FR-073K3L</t>
  </si>
  <si>
    <t>3.3KOhm 0201 RESISTOR</t>
  </si>
  <si>
    <t>R3</t>
  </si>
  <si>
    <t xml:space="preserve">RC0201FR-071K18L </t>
  </si>
  <si>
    <t>1.18KOhm 0201 RESISTOR</t>
  </si>
  <si>
    <t>R4</t>
  </si>
  <si>
    <t xml:space="preserve">ERJ-1GNF1131C </t>
  </si>
  <si>
    <t>1.13KOhm 0201 RESISTOR</t>
  </si>
  <si>
    <t>JP1</t>
  </si>
  <si>
    <t xml:space="preserve">NPTC082KFMS-RC </t>
  </si>
  <si>
    <t>2X8 SMT 1.25MM HEADER FEMALE</t>
  </si>
  <si>
    <t>JP2,JP3</t>
  </si>
  <si>
    <t xml:space="preserve">NPTC102KFMS-RC </t>
  </si>
  <si>
    <t>2X10 SMT 1.25MM HEADER FEMALE</t>
  </si>
  <si>
    <t>LED1</t>
  </si>
  <si>
    <t>AA1608SESK</t>
  </si>
  <si>
    <t>0603 CHIPLED ORANGE</t>
  </si>
  <si>
    <t>LED2</t>
  </si>
  <si>
    <t>AA1608QBS/D-10MAV</t>
  </si>
  <si>
    <t xml:space="preserve">0603 CHIPLED BLUE </t>
  </si>
  <si>
    <t>LED3</t>
  </si>
  <si>
    <t>AA1608ZGSK-10MAV</t>
  </si>
  <si>
    <t>0603 CHIPLED GREEN</t>
  </si>
  <si>
    <t>J1</t>
  </si>
  <si>
    <t>SM02B-SRSS-TB(LF)(SN)</t>
  </si>
  <si>
    <t xml:space="preserve">CONN HEADER SH 2POS 1MM </t>
  </si>
  <si>
    <t>total</t>
  </si>
  <si>
    <t>CONN HOUSING JST-SH 2POS 1MM</t>
  </si>
  <si>
    <t>Stock? or Stock?</t>
  </si>
  <si>
    <t>Unit Cost</t>
  </si>
  <si>
    <t>Does not include battery, and peripherals</t>
  </si>
  <si>
    <t>W/out headers</t>
  </si>
  <si>
    <t xml:space="preserve">Unit Cost </t>
  </si>
  <si>
    <t>Unit cost w/ Battery, figure $2.50 per</t>
  </si>
  <si>
    <t>Add Peripherals, ~$9 off Aliexpress</t>
  </si>
  <si>
    <t>Add PCBWay PCBs</t>
  </si>
  <si>
    <t>Cost for 200 boards: 226. Minimum 10, board cost for 1000 estimated from online quoting (usually a little higher)</t>
  </si>
  <si>
    <r>
      <rPr>
        <rFont val="Arial"/>
        <color rgb="FF0000FF"/>
        <sz val="10.0"/>
        <u/>
      </rPr>
      <t>Add Portland assembly cost</t>
    </r>
    <r>
      <rPr>
        <rFont val="Arial"/>
        <sz val="10.0"/>
      </rPr>
      <t xml:space="preserve"> (lowest)</t>
    </r>
  </si>
  <si>
    <t>5 minimum</t>
  </si>
  <si>
    <t>Add the plastic band and flex connector?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</si>
</sst>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sz val="10.0"/>
      <color rgb="FF000000"/>
      <name val="Arial"/>
    </font>
    <font>
      <u/>
      <sz val="11.0"/>
      <color rgb="FF1155CC"/>
      <name val="Cambria"/>
    </font>
    <font>
      <u/>
      <sz val="10.0"/>
      <color rgb="FF000000"/>
      <name val="Arial"/>
    </font>
    <font>
      <u/>
      <sz val="8.0"/>
      <color rgb="FF1155CC"/>
      <name val="Cambria"/>
    </font>
    <font>
      <u/>
      <sz val="8.0"/>
      <color rgb="FF1155CC"/>
      <name val="Inherit"/>
    </font>
    <font>
      <u/>
      <sz val="8.0"/>
      <color rgb="FF1155CC"/>
      <name val="Arial"/>
    </font>
    <font>
      <u/>
      <sz val="9.0"/>
      <color rgb="FF1155CC"/>
      <name val="Arial"/>
    </font>
    <font>
      <u/>
      <sz val="9.0"/>
      <color rgb="FF0070BB"/>
      <name val="Arial"/>
    </font>
    <font>
      <u/>
      <sz val="9.0"/>
      <color rgb="FF0099FF"/>
      <name val="Arial"/>
    </font>
    <font>
      <u/>
      <sz val="9.0"/>
      <color rgb="FF0070BB"/>
      <name val="Arial"/>
    </font>
    <font>
      <u/>
      <sz val="9.0"/>
      <color rgb="FF0099FF"/>
      <name val="Arial"/>
    </font>
    <font>
      <u/>
      <sz val="11.0"/>
      <color rgb="FF1155CC"/>
      <name val="Inherit"/>
    </font>
    <font>
      <u/>
      <sz val="11.0"/>
      <color rgb="FF1155CC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1" fillId="2" fontId="7" numFmtId="0" xfId="0" applyAlignment="1" applyBorder="1" applyFill="1" applyFont="1">
      <alignment horizontal="left" shrinkToFit="0" vertical="bottom" wrapText="0"/>
    </xf>
    <xf borderId="1" fillId="2" fontId="8" numFmtId="0" xfId="0" applyAlignment="1" applyBorder="1" applyFont="1">
      <alignment horizontal="right" shrinkToFit="0" vertical="bottom" wrapText="0"/>
    </xf>
    <xf borderId="1" fillId="3" fontId="9" numFmtId="0" xfId="0" applyAlignment="1" applyBorder="1" applyFill="1" applyFont="1">
      <alignment shrinkToFit="0" vertical="bottom" wrapText="0"/>
    </xf>
    <xf borderId="1" fillId="2" fontId="10" numFmtId="0" xfId="0" applyAlignment="1" applyBorder="1" applyFont="1">
      <alignment shrinkToFit="0" vertical="bottom" wrapText="0"/>
    </xf>
    <xf borderId="1" fillId="3" fontId="11" numFmtId="0" xfId="0" applyAlignment="1" applyBorder="1" applyFont="1">
      <alignment shrinkToFit="0" vertical="bottom" wrapText="0"/>
    </xf>
    <xf borderId="1" fillId="3" fontId="12" numFmtId="0" xfId="0" applyAlignment="1" applyBorder="1" applyFont="1">
      <alignment shrinkToFit="0" vertical="bottom" wrapText="0"/>
    </xf>
    <xf borderId="1" fillId="2" fontId="13" numFmtId="0" xfId="0" applyAlignment="1" applyBorder="1" applyFont="1">
      <alignment shrinkToFit="0" vertical="bottom" wrapText="0"/>
    </xf>
    <xf borderId="1" fillId="2" fontId="14" numFmtId="0" xfId="0" applyAlignment="1" applyBorder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BrxduhS19taNz1yZqfce3L0GXxEAvmoe/view?usp=drive_link" TargetMode="External"/><Relationship Id="rId20" Type="http://schemas.openxmlformats.org/officeDocument/2006/relationships/hyperlink" Target="https://www.mouser.com/ProductDetail/Kyocera-AVX/0201ZD104KAT2A?qs=sGAEpiMZZMvKNHcrmI%252BvDTDQZaAC7%252Bs6jl14xUtZkAA%3D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www.mouser.com/ProductDetail/KYOCERA-AVX/02013C101KAT2A?qs=hYoCycGuo1kPw8LaKv8JWQ%3D%3D" TargetMode="External"/><Relationship Id="rId21" Type="http://schemas.openxmlformats.org/officeDocument/2006/relationships/hyperlink" Target="https://www.mouser.com/ProductDetail/Kyocera-AVX/0201YD103KAT4A?qs=sGAEpiMZZMv0NwlthflBiyXdYvPeCR5Wp%2FjjqOAdn2k%3D" TargetMode="External"/><Relationship Id="rId24" Type="http://schemas.openxmlformats.org/officeDocument/2006/relationships/hyperlink" Target="https://www.mouser.com/ProductDetail/YAGEO/AC0402FR-0710KL?qs=sGAEpiMZZMskC5GgilGuvoQEgNMd%252BlyaEFysxCNkWSo%3D" TargetMode="External"/><Relationship Id="rId23" Type="http://schemas.openxmlformats.org/officeDocument/2006/relationships/hyperlink" Target="https://www.mouser.com/ProductDetail/Vishay-Dale/CRCW020110K0JNED?qs=sGAEpiMZZMskC5GgilGuvpquEUzpanAk" TargetMode="External"/><Relationship Id="rId1" Type="http://schemas.openxmlformats.org/officeDocument/2006/relationships/hyperlink" Target="https://www.mouser.com/ProductDetail/Texas-Instruments/TPD4S012DRYR?qs=%2Fha2pyFadughUfJ1AeOAcwWVkVXEIwLIfOfXNmxi92LfFpQkJrIZOQ%3D%3D" TargetMode="External"/><Relationship Id="rId2" Type="http://schemas.openxmlformats.org/officeDocument/2006/relationships/hyperlink" Target="https://www.mouser.com/ProductDetail/Fanstel/BT40?qs=zW32dvEIR3ulsM4yjGmroQ==" TargetMode="External"/><Relationship Id="rId3" Type="http://schemas.openxmlformats.org/officeDocument/2006/relationships/hyperlink" Target="https://www.fanstel.com/bc840m-compact-nrf52840-module" TargetMode="External"/><Relationship Id="rId4" Type="http://schemas.openxmlformats.org/officeDocument/2006/relationships/hyperlink" Target="https://www.mouser.com/ProductDetail/Texas-Instruments/LP5907MFX-33-NOPB?qs=biyDIajrTn6NhrJCoL%2FdSQ%3D%3D" TargetMode="External"/><Relationship Id="rId9" Type="http://schemas.openxmlformats.org/officeDocument/2006/relationships/hyperlink" Target="https://www.mouser.com/ProductDetail/JAE-Electronics/DX4R005JJ2R1800?qs=%2Fha2pyFadugU0xC23dAUHdSlUl54ycd2xvzK76xZQPWQe9DceuRXSw%3D%3D" TargetMode="External"/><Relationship Id="rId26" Type="http://schemas.openxmlformats.org/officeDocument/2006/relationships/hyperlink" Target="https://www.mouser.com/ProductDetail/YAGEO/AC0402FR-13100KL?qs=sGAEpiMZZMug%252BNZZT2EIMx9OaS%252B01hs8GRFtKsWtj1k%3D" TargetMode="External"/><Relationship Id="rId25" Type="http://schemas.openxmlformats.org/officeDocument/2006/relationships/hyperlink" Target="https://www.mouser.com/ProductDetail/Vishay-Dale/CRCW0201100KFNED?qs=sGAEpiMZZMuJrIgwi0BoMbsVWIAikFws" TargetMode="External"/><Relationship Id="rId28" Type="http://schemas.openxmlformats.org/officeDocument/2006/relationships/hyperlink" Target="https://www.mouser.com/ProductDetail/YAGEO/RC0201FR-07750KL?qs=Q4gDqC5t5%2FAlI%252BwQIUmARg%3D%3D" TargetMode="External"/><Relationship Id="rId27" Type="http://schemas.openxmlformats.org/officeDocument/2006/relationships/hyperlink" Target="https://www.mouser.com/ProductDetail/YAGEO/RC0201FR-07348KL?qs=Q4gDqC5t5%2FA2a6hJ%252BgV2pg%3D%3D" TargetMode="External"/><Relationship Id="rId5" Type="http://schemas.openxmlformats.org/officeDocument/2006/relationships/hyperlink" Target="https://www.win-source.net/texas-instruments-lp5907mfx-3.3nopb.html" TargetMode="External"/><Relationship Id="rId6" Type="http://schemas.openxmlformats.org/officeDocument/2006/relationships/hyperlink" Target="https://www.mouser.com/ProductDetail/Texas-Instruments/ADS131M08IPBSR?qs=Cb2nCFKsA8rxAEyQYn%2FiEQ%3D%3D" TargetMode="External"/><Relationship Id="rId29" Type="http://schemas.openxmlformats.org/officeDocument/2006/relationships/hyperlink" Target="https://www.mouser.com/ProductDetail/YAGEO/RC0201FR-073K3L?qs=sGAEpiMZZMtJuH53xR2FXAFPwdcdmzLA" TargetMode="External"/><Relationship Id="rId7" Type="http://schemas.openxmlformats.org/officeDocument/2006/relationships/hyperlink" Target="https://www.ti.com/product/ADS131M08" TargetMode="External"/><Relationship Id="rId8" Type="http://schemas.openxmlformats.org/officeDocument/2006/relationships/hyperlink" Target="https://www.mouser.com/ProductDetail/Texas-Instruments/BQ24076RGTR?qs=0lQeLiL1qyaDBd33jHtQfg%3D%3D" TargetMode="External"/><Relationship Id="rId31" Type="http://schemas.openxmlformats.org/officeDocument/2006/relationships/hyperlink" Target="https://www.mouser.com/ProductDetail/Panasonic/ERJ-1GNF1131C?qs=sGAEpiMZZMtlubZbdhIBIMAidfQNnlNV%2FoGX1ZAoL7c%3D" TargetMode="External"/><Relationship Id="rId30" Type="http://schemas.openxmlformats.org/officeDocument/2006/relationships/hyperlink" Target="https://www.mouser.com/ProductDetail/YAGEO/RC0201FR-071K18L?qs=sGAEpiMZZMtlubZbdhIBIOOUpbwtjtZYe%2Ff%2FVBt2xRM%3D" TargetMode="External"/><Relationship Id="rId11" Type="http://schemas.openxmlformats.org/officeDocument/2006/relationships/hyperlink" Target="https://www.aliexpress.com/item/4000930400931.html?spm=a2g0o.productlist.0.0.fdff75c1eQwlfK&amp;algo_pvid=e29b5c8e-7772-446b-9e4e-0120865b167d&amp;algo_exp_id=e29b5c8e-7772-446b-9e4e-0120865b167d-16&amp;pdp_ext_f=%7B%22sku_id%22%3A%2210000014283714367%22%7D" TargetMode="External"/><Relationship Id="rId33" Type="http://schemas.openxmlformats.org/officeDocument/2006/relationships/hyperlink" Target="https://www.digikey.com/en/products/detail/sullins-connector-solutions/NPTC102KFMS-RC/776139" TargetMode="External"/><Relationship Id="rId10" Type="http://schemas.openxmlformats.org/officeDocument/2006/relationships/hyperlink" Target="https://www.mouser.com/ProductDetail/Nidec-Copal/CL-SB-12B-01T?qs=%2Fha2pyFadui8S8JEIh5%252BFmlYgipopEHwgWkqOjFCC2%252BJdnKsa2NL%2FA%3D%3D" TargetMode="External"/><Relationship Id="rId32" Type="http://schemas.openxmlformats.org/officeDocument/2006/relationships/hyperlink" Target="https://www.digikey.com/en/products/detail/sullins-connector-solutions/NPTC082KFMS-RC/776137" TargetMode="External"/><Relationship Id="rId13" Type="http://schemas.openxmlformats.org/officeDocument/2006/relationships/hyperlink" Target="https://www.mouser.com/ProductDetail/TDK/MMZ1005S121CT000?qs=%2Fha2pyFaduj1v%252BzAl3l3QeT8pF552G%2FJYKhGYvglpNxTTC1dqJBwhg%3D%3D" TargetMode="External"/><Relationship Id="rId35" Type="http://schemas.openxmlformats.org/officeDocument/2006/relationships/hyperlink" Target="https://www.mouser.com/ProductDetail/Kingbright/AA1608QBS-D-10MAV?qs=sGAEpiMZZMusoohG2hS%252B1%2F8Ds1DTNiHJPRAuOAShsiqdjmiyHMLqpA%3D%3D" TargetMode="External"/><Relationship Id="rId12" Type="http://schemas.openxmlformats.org/officeDocument/2006/relationships/hyperlink" Target="https://www.mouser.com/ProductDetail/IQD/LFXTAL061486Reel?qs=sGAEpiMZZMukHu%252BjC5l7YantEbcnPMbIlv3%2FoTZ1GzE%3D" TargetMode="External"/><Relationship Id="rId34" Type="http://schemas.openxmlformats.org/officeDocument/2006/relationships/hyperlink" Target="https://www.mouser.com/ProductDetail/Kingbright/AA1608SESK?qs=sGAEpiMZZMusoohG2hS%252B1%2F8Ds1DTNiHJ%252BpILRlQV2zf5jVOqQ0u6AQ%3D%3D" TargetMode="External"/><Relationship Id="rId15" Type="http://schemas.openxmlformats.org/officeDocument/2006/relationships/hyperlink" Target="https://www.mouser.com/ProductDetail/Kyocera-AVX/02015A100JAT2A?qs=sGAEpiMZZMu2UVWuvJ5cF8J8bUaJvWdoFE9MVTIpUXs%3D" TargetMode="External"/><Relationship Id="rId37" Type="http://schemas.openxmlformats.org/officeDocument/2006/relationships/hyperlink" Target="https://www.mouser.com/ProductDetail/JST/GSM02B-SRSS-TB-LFSNP?qs=%2Fha2pyFaduivMYEMI7Dl%2FqDhgx6CLHobYVUwnXBilojoSS4nMuyfxg%3D%3D" TargetMode="External"/><Relationship Id="rId14" Type="http://schemas.openxmlformats.org/officeDocument/2006/relationships/hyperlink" Target="https://www.mouser.com/ProductDetail/YAGEO/CC0201DRNPO9BN7R0?qs=sGAEpiMZZMsKEdP9slC0YXbhONzE5LY%252BbQaO63z3MLw%3D" TargetMode="External"/><Relationship Id="rId36" Type="http://schemas.openxmlformats.org/officeDocument/2006/relationships/hyperlink" Target="https://www.mouser.com/ProductDetail/Kingbright/AA1608ZGSK-10MAV?qs=sGAEpiMZZMusoohG2hS%252B1%2F8Ds1DTNiHJqh2MICvmslkgXVNfBGYZDA%3D%3D" TargetMode="External"/><Relationship Id="rId17" Type="http://schemas.openxmlformats.org/officeDocument/2006/relationships/hyperlink" Target="https://www.mouser.com/ProductDetail/Kyocera-AVX/02016D224KAT2A?qs=G2E3TvrFun18LZAcbtmALw%3D%3D" TargetMode="External"/><Relationship Id="rId39" Type="http://schemas.openxmlformats.org/officeDocument/2006/relationships/hyperlink" Target="https://docs.google.com/spreadsheets/d/1RUlmk_B_wu3TRTACJXpPSCaapPaiVIjje_XyH6pws34/edit?usp=drive_link" TargetMode="External"/><Relationship Id="rId16" Type="http://schemas.openxmlformats.org/officeDocument/2006/relationships/hyperlink" Target="https://www.mouser.com/ProductDetail/Kyocera-AVX/02016D224KAT2A?qs=G2E3TvrFun18LZAcbtmALw%3D%3D" TargetMode="External"/><Relationship Id="rId38" Type="http://schemas.openxmlformats.org/officeDocument/2006/relationships/hyperlink" Target="https://www.tlcelectronics.com/tlc-3789.html" TargetMode="External"/><Relationship Id="rId19" Type="http://schemas.openxmlformats.org/officeDocument/2006/relationships/hyperlink" Target="https://www.mouser.com/ProductDetail/Kyocera-AVX/0402YG104ZAT4A?qs=sGAEpiMZZMsh%252B1woXyUXj1BDyQSpPlhZnBLHmvU5Qc0%3D" TargetMode="External"/><Relationship Id="rId18" Type="http://schemas.openxmlformats.org/officeDocument/2006/relationships/hyperlink" Target="https://www.mouser.com/ProductDetail/Taiyo-Yuden/AMK063EBJ475MP-F?qs=DRkmTr78QAQCUhkfe8WNj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2.88"/>
    <col customWidth="1" min="3" max="3" width="23.75"/>
    <col customWidth="1" min="4" max="4" width="36.63"/>
    <col customWidth="1" min="5" max="5" width="37.0"/>
    <col customWidth="1" min="6" max="6" width="16.5"/>
    <col customWidth="1" min="7" max="7" width="31.25"/>
    <col customWidth="1" min="8" max="11" width="14.5"/>
    <col customWidth="1" min="12" max="26" width="13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>
        <v>1.0</v>
      </c>
      <c r="I1" s="1">
        <v>10.0</v>
      </c>
      <c r="J1" s="1">
        <v>100.0</v>
      </c>
      <c r="K1" s="1">
        <v>1000.0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" t="s">
        <v>7</v>
      </c>
      <c r="B2" s="1">
        <v>1.0</v>
      </c>
      <c r="C2" s="4" t="s">
        <v>8</v>
      </c>
      <c r="D2" s="1" t="s">
        <v>9</v>
      </c>
      <c r="E2" s="3"/>
      <c r="G2" s="3"/>
      <c r="H2" s="1">
        <v>0.73</v>
      </c>
      <c r="I2" s="1">
        <v>6.48</v>
      </c>
      <c r="J2" s="1">
        <v>49.7</v>
      </c>
      <c r="K2" s="1">
        <v>314.0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" t="s">
        <v>10</v>
      </c>
      <c r="B3" s="1">
        <v>1.0</v>
      </c>
      <c r="C3" s="5" t="s">
        <v>11</v>
      </c>
      <c r="D3" s="1" t="s">
        <v>12</v>
      </c>
      <c r="E3" s="3" t="s">
        <v>13</v>
      </c>
      <c r="F3" s="2" t="s">
        <v>14</v>
      </c>
      <c r="G3" s="4" t="s">
        <v>15</v>
      </c>
      <c r="H3" s="1">
        <v>10.41</v>
      </c>
      <c r="I3" s="1">
        <v>99.8</v>
      </c>
      <c r="J3" s="1">
        <v>998.0</v>
      </c>
      <c r="K3" s="1">
        <v>7650.0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" t="s">
        <v>16</v>
      </c>
      <c r="B4" s="1">
        <v>2.0</v>
      </c>
      <c r="C4" s="6" t="s">
        <v>17</v>
      </c>
      <c r="D4" s="1" t="s">
        <v>18</v>
      </c>
      <c r="E4" s="4" t="s">
        <v>19</v>
      </c>
      <c r="G4" s="3"/>
      <c r="H4" s="1">
        <v>0.7</v>
      </c>
      <c r="I4" s="1">
        <v>5.93</v>
      </c>
      <c r="J4" s="1">
        <v>41.1</v>
      </c>
      <c r="K4" s="1">
        <v>269.0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" t="s">
        <v>20</v>
      </c>
      <c r="B5" s="1">
        <v>1.0</v>
      </c>
      <c r="C5" s="6" t="s">
        <v>21</v>
      </c>
      <c r="D5" s="1" t="s">
        <v>22</v>
      </c>
      <c r="E5" s="3"/>
      <c r="G5" s="4" t="s">
        <v>23</v>
      </c>
      <c r="H5" s="1">
        <v>7.739</v>
      </c>
      <c r="I5" s="1">
        <v>77.39</v>
      </c>
      <c r="J5" s="1">
        <f>6.309*100</f>
        <v>630.9</v>
      </c>
      <c r="K5" s="1">
        <f>4.206*1000</f>
        <v>4206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" t="s">
        <v>24</v>
      </c>
      <c r="B6" s="1">
        <v>1.0</v>
      </c>
      <c r="C6" s="4" t="s">
        <v>25</v>
      </c>
      <c r="D6" s="1" t="s">
        <v>26</v>
      </c>
      <c r="E6" s="1" t="s">
        <v>27</v>
      </c>
      <c r="G6" s="3"/>
      <c r="H6" s="1">
        <v>2.52</v>
      </c>
      <c r="I6" s="1">
        <v>22.7</v>
      </c>
      <c r="J6" s="1">
        <v>183.0</v>
      </c>
      <c r="K6" s="1">
        <v>1250.0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" t="s">
        <v>28</v>
      </c>
      <c r="B7" s="1">
        <v>1.0</v>
      </c>
      <c r="C7" s="7" t="s">
        <v>29</v>
      </c>
      <c r="D7" s="1" t="s">
        <v>30</v>
      </c>
      <c r="E7" s="3"/>
      <c r="G7" s="3"/>
      <c r="H7" s="1">
        <v>0.79</v>
      </c>
      <c r="I7" s="1">
        <v>6.32</v>
      </c>
      <c r="J7" s="1">
        <v>54.9</v>
      </c>
      <c r="K7" s="1">
        <v>386.0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" t="s">
        <v>31</v>
      </c>
      <c r="B8" s="1">
        <v>1.0</v>
      </c>
      <c r="C8" s="6" t="s">
        <v>32</v>
      </c>
      <c r="D8" s="1" t="s">
        <v>33</v>
      </c>
      <c r="E8" s="4" t="s">
        <v>34</v>
      </c>
      <c r="G8" s="3"/>
      <c r="H8" s="1">
        <v>0.93</v>
      </c>
      <c r="I8" s="1">
        <v>8.37</v>
      </c>
      <c r="J8" s="1">
        <v>66.1</v>
      </c>
      <c r="K8" s="1">
        <v>533.0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" t="s">
        <v>35</v>
      </c>
      <c r="B9" s="1">
        <v>1.0</v>
      </c>
      <c r="C9" s="6" t="s">
        <v>36</v>
      </c>
      <c r="D9" s="1" t="s">
        <v>37</v>
      </c>
      <c r="E9" s="3"/>
      <c r="G9" s="3"/>
      <c r="H9" s="1">
        <v>0.92</v>
      </c>
      <c r="I9" s="1">
        <v>7.63</v>
      </c>
      <c r="J9" s="1">
        <v>67.5</v>
      </c>
      <c r="K9" s="1">
        <v>516.0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" t="s">
        <v>38</v>
      </c>
      <c r="B10" s="1">
        <v>1.0</v>
      </c>
      <c r="C10" s="8">
        <v>8.30105946101E11</v>
      </c>
      <c r="D10" s="1" t="s">
        <v>39</v>
      </c>
      <c r="E10" s="3"/>
      <c r="G10" s="3"/>
      <c r="H10" s="1">
        <v>0.67</v>
      </c>
      <c r="I10" s="1">
        <v>6.11</v>
      </c>
      <c r="J10" s="1">
        <f>26.2*2</f>
        <v>52.4</v>
      </c>
      <c r="K10" s="1">
        <f>52.4*10</f>
        <v>524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" t="s">
        <v>40</v>
      </c>
      <c r="B11" s="1">
        <v>1.0</v>
      </c>
      <c r="C11" s="4" t="s">
        <v>41</v>
      </c>
      <c r="D11" s="1" t="s">
        <v>42</v>
      </c>
      <c r="E11" s="3"/>
      <c r="G11" s="3"/>
      <c r="H11" s="1">
        <v>0.1</v>
      </c>
      <c r="I11" s="1">
        <v>0.54</v>
      </c>
      <c r="J11" s="1">
        <v>2.9</v>
      </c>
      <c r="K11" s="1">
        <v>23.0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" t="s">
        <v>43</v>
      </c>
      <c r="B12" s="1">
        <v>2.0</v>
      </c>
      <c r="C12" s="9" t="s">
        <v>44</v>
      </c>
      <c r="D12" s="1" t="s">
        <v>45</v>
      </c>
      <c r="E12" s="3"/>
      <c r="G12" s="3"/>
      <c r="H12" s="1">
        <f t="shared" ref="H12:H14" si="1">0.1*B12</f>
        <v>0.2</v>
      </c>
      <c r="I12" s="1">
        <v>0.37</v>
      </c>
      <c r="J12" s="1">
        <v>1.8</v>
      </c>
      <c r="K12" s="1">
        <v>10.0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" t="s">
        <v>46</v>
      </c>
      <c r="B13" s="1">
        <v>2.0</v>
      </c>
      <c r="C13" s="10" t="s">
        <v>47</v>
      </c>
      <c r="D13" s="1" t="s">
        <v>48</v>
      </c>
      <c r="E13" s="3"/>
      <c r="G13" s="3"/>
      <c r="H13" s="1">
        <f t="shared" si="1"/>
        <v>0.2</v>
      </c>
      <c r="I13" s="1">
        <v>0.37</v>
      </c>
      <c r="J13" s="1">
        <v>1.8</v>
      </c>
      <c r="K13" s="1">
        <v>10.0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" t="s">
        <v>49</v>
      </c>
      <c r="B14" s="1">
        <v>7.0</v>
      </c>
      <c r="C14" s="10" t="s">
        <v>50</v>
      </c>
      <c r="D14" s="1" t="s">
        <v>51</v>
      </c>
      <c r="E14" s="3"/>
      <c r="G14" s="3"/>
      <c r="H14" s="1">
        <f t="shared" si="1"/>
        <v>0.7</v>
      </c>
      <c r="I14" s="1">
        <v>0.37</v>
      </c>
      <c r="J14" s="1">
        <v>1.8</v>
      </c>
      <c r="K14" s="1">
        <v>10.0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" t="s">
        <v>52</v>
      </c>
      <c r="B15" s="1">
        <v>1.0</v>
      </c>
      <c r="C15" s="10" t="s">
        <v>50</v>
      </c>
      <c r="D15" s="1" t="s">
        <v>53</v>
      </c>
      <c r="E15" s="3"/>
      <c r="G15" s="3"/>
      <c r="H15" s="1">
        <v>0.1</v>
      </c>
      <c r="I15" s="1">
        <v>0.37</v>
      </c>
      <c r="J15" s="1">
        <v>1.8</v>
      </c>
      <c r="K15" s="1">
        <v>10.0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" t="s">
        <v>54</v>
      </c>
      <c r="B16" s="1">
        <v>4.0</v>
      </c>
      <c r="C16" s="11" t="s">
        <v>55</v>
      </c>
      <c r="D16" s="1" t="s">
        <v>56</v>
      </c>
      <c r="E16" s="3"/>
      <c r="G16" s="3"/>
      <c r="H16" s="1">
        <f t="shared" ref="H16:H18" si="2">0.1*B16</f>
        <v>0.4</v>
      </c>
      <c r="I16" s="1">
        <f t="shared" ref="I16:I18" si="3">0.37*B16</f>
        <v>1.48</v>
      </c>
      <c r="J16" s="1">
        <f t="shared" ref="J16:J18" si="4">1.8*B16</f>
        <v>7.2</v>
      </c>
      <c r="K16" s="1">
        <f t="shared" ref="K16:K18" si="5">10*B16</f>
        <v>40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" t="s">
        <v>57</v>
      </c>
      <c r="B17" s="1">
        <v>2.0</v>
      </c>
      <c r="C17" s="12" t="s">
        <v>58</v>
      </c>
      <c r="D17" s="1" t="s">
        <v>59</v>
      </c>
      <c r="E17" s="3"/>
      <c r="G17" s="3"/>
      <c r="H17" s="1">
        <f t="shared" si="2"/>
        <v>0.2</v>
      </c>
      <c r="I17" s="1">
        <f t="shared" si="3"/>
        <v>0.74</v>
      </c>
      <c r="J17" s="1">
        <f t="shared" si="4"/>
        <v>3.6</v>
      </c>
      <c r="K17" s="1">
        <f t="shared" si="5"/>
        <v>20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" t="s">
        <v>60</v>
      </c>
      <c r="B18" s="1">
        <v>4.0</v>
      </c>
      <c r="C18" s="10" t="s">
        <v>61</v>
      </c>
      <c r="D18" s="1" t="s">
        <v>62</v>
      </c>
      <c r="E18" s="3"/>
      <c r="G18" s="3"/>
      <c r="H18" s="1">
        <f t="shared" si="2"/>
        <v>0.4</v>
      </c>
      <c r="I18" s="1">
        <f t="shared" si="3"/>
        <v>1.48</v>
      </c>
      <c r="J18" s="1">
        <f t="shared" si="4"/>
        <v>7.2</v>
      </c>
      <c r="K18" s="1">
        <f t="shared" si="5"/>
        <v>40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" t="s">
        <v>63</v>
      </c>
      <c r="B19" s="1">
        <v>1.0</v>
      </c>
      <c r="C19" s="13" t="s">
        <v>64</v>
      </c>
      <c r="D19" s="1" t="s">
        <v>65</v>
      </c>
      <c r="E19" s="3"/>
      <c r="G19" s="3"/>
      <c r="H19" s="1">
        <f>0.1*B20</f>
        <v>0.8</v>
      </c>
      <c r="I19" s="1">
        <f>0.37*B20</f>
        <v>2.96</v>
      </c>
      <c r="J19" s="1">
        <f>1.8*B20</f>
        <v>14.4</v>
      </c>
      <c r="K19" s="1">
        <f>10*B20</f>
        <v>80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" t="s">
        <v>66</v>
      </c>
      <c r="B20" s="1">
        <v>8.0</v>
      </c>
      <c r="C20" s="5" t="s">
        <v>67</v>
      </c>
      <c r="D20" s="1" t="s">
        <v>68</v>
      </c>
      <c r="G20" s="3"/>
      <c r="H20" s="1">
        <v>0.1</v>
      </c>
      <c r="I20" s="1">
        <v>0.37</v>
      </c>
      <c r="J20" s="1">
        <v>1.8</v>
      </c>
      <c r="K20" s="1">
        <v>10.0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" t="s">
        <v>69</v>
      </c>
      <c r="B21" s="1">
        <v>1.0</v>
      </c>
      <c r="C21" s="10" t="s">
        <v>70</v>
      </c>
      <c r="D21" s="1" t="s">
        <v>71</v>
      </c>
      <c r="E21" s="3"/>
      <c r="G21" s="3"/>
      <c r="H21" s="1">
        <f>0.1*B22</f>
        <v>0.2</v>
      </c>
      <c r="I21" s="1">
        <v>0.2</v>
      </c>
      <c r="J21" s="1">
        <v>4.8</v>
      </c>
      <c r="K21" s="1">
        <v>8.0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" t="s">
        <v>72</v>
      </c>
      <c r="B22" s="1">
        <v>2.0</v>
      </c>
      <c r="C22" s="11" t="s">
        <v>73</v>
      </c>
      <c r="D22" s="1" t="s">
        <v>74</v>
      </c>
      <c r="E22" s="3"/>
      <c r="G22" s="3"/>
      <c r="H22" s="1">
        <v>0.1</v>
      </c>
      <c r="I22" s="1">
        <v>0.2</v>
      </c>
      <c r="J22" s="1">
        <v>4.8</v>
      </c>
      <c r="K22" s="1">
        <v>8.0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" t="s">
        <v>75</v>
      </c>
      <c r="B23" s="1">
        <v>1.0</v>
      </c>
      <c r="C23" s="11" t="s">
        <v>76</v>
      </c>
      <c r="D23" s="1" t="s">
        <v>77</v>
      </c>
      <c r="E23" s="3"/>
      <c r="G23" s="3"/>
      <c r="H23" s="1">
        <v>0.1</v>
      </c>
      <c r="I23" s="1">
        <v>0.2</v>
      </c>
      <c r="J23" s="1">
        <v>4.8</v>
      </c>
      <c r="K23" s="1">
        <v>8.0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" t="s">
        <v>78</v>
      </c>
      <c r="B24" s="1">
        <v>2.0</v>
      </c>
      <c r="C24" s="12" t="s">
        <v>79</v>
      </c>
      <c r="D24" s="1" t="s">
        <v>80</v>
      </c>
      <c r="E24" s="3"/>
      <c r="G24" s="3"/>
      <c r="H24" s="1">
        <v>0.1</v>
      </c>
      <c r="I24" s="1">
        <v>0.2</v>
      </c>
      <c r="J24" s="1">
        <v>4.8</v>
      </c>
      <c r="K24" s="1">
        <v>8.0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" t="s">
        <v>81</v>
      </c>
      <c r="B25" s="1">
        <v>1.0</v>
      </c>
      <c r="C25" s="5" t="s">
        <v>82</v>
      </c>
      <c r="D25" s="1" t="s">
        <v>83</v>
      </c>
      <c r="E25" s="3"/>
      <c r="G25" s="3"/>
      <c r="H25" s="1">
        <v>0.1</v>
      </c>
      <c r="I25" s="1">
        <v>0.2</v>
      </c>
      <c r="J25" s="1">
        <v>4.8</v>
      </c>
      <c r="K25" s="1">
        <v>8.0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" t="s">
        <v>84</v>
      </c>
      <c r="B26" s="1">
        <v>1.0</v>
      </c>
      <c r="C26" s="5" t="s">
        <v>85</v>
      </c>
      <c r="D26" s="1" t="s">
        <v>86</v>
      </c>
      <c r="E26" s="3"/>
      <c r="G26" s="3"/>
      <c r="H26" s="1">
        <v>0.1</v>
      </c>
      <c r="I26" s="1">
        <v>0.2</v>
      </c>
      <c r="J26" s="1">
        <v>4.8</v>
      </c>
      <c r="K26" s="1">
        <v>8.0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" t="s">
        <v>87</v>
      </c>
      <c r="B27" s="1">
        <v>3.0</v>
      </c>
      <c r="C27" s="10" t="s">
        <v>88</v>
      </c>
      <c r="D27" s="1" t="s">
        <v>89</v>
      </c>
      <c r="E27" s="3"/>
      <c r="G27" s="3"/>
      <c r="H27" s="1">
        <v>0.1</v>
      </c>
      <c r="I27" s="1">
        <v>0.2</v>
      </c>
      <c r="J27" s="1">
        <v>4.8</v>
      </c>
      <c r="K27" s="1">
        <v>8.0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" t="s">
        <v>90</v>
      </c>
      <c r="B28" s="1">
        <v>1.0</v>
      </c>
      <c r="C28" s="5" t="s">
        <v>91</v>
      </c>
      <c r="D28" s="1" t="s">
        <v>92</v>
      </c>
      <c r="E28" s="3"/>
      <c r="G28" s="3"/>
      <c r="H28" s="1">
        <v>0.1</v>
      </c>
      <c r="I28" s="1">
        <v>0.2</v>
      </c>
      <c r="J28" s="1">
        <v>4.8</v>
      </c>
      <c r="K28" s="1">
        <v>8.0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" t="s">
        <v>93</v>
      </c>
      <c r="B29" s="1">
        <v>1.0</v>
      </c>
      <c r="C29" s="5" t="s">
        <v>94</v>
      </c>
      <c r="D29" s="1" t="s">
        <v>95</v>
      </c>
      <c r="E29" s="3"/>
      <c r="G29" s="3"/>
      <c r="H29" s="1">
        <v>0.1</v>
      </c>
      <c r="I29" s="1">
        <v>0.2</v>
      </c>
      <c r="J29" s="1">
        <v>4.8</v>
      </c>
      <c r="K29" s="1">
        <v>8.0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" t="s">
        <v>96</v>
      </c>
      <c r="B30" s="1">
        <v>1.0</v>
      </c>
      <c r="C30" s="5" t="s">
        <v>97</v>
      </c>
      <c r="D30" s="1" t="s">
        <v>98</v>
      </c>
      <c r="E30" s="3"/>
      <c r="G30" s="3"/>
      <c r="H30" s="2">
        <v>1.89</v>
      </c>
      <c r="I30" s="2">
        <v>16.41</v>
      </c>
      <c r="J30" s="2">
        <v>146.66</v>
      </c>
      <c r="K30" s="2">
        <v>1047.6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" t="s">
        <v>99</v>
      </c>
      <c r="B31" s="1">
        <v>2.0</v>
      </c>
      <c r="C31" s="5" t="s">
        <v>100</v>
      </c>
      <c r="D31" s="1" t="s">
        <v>101</v>
      </c>
      <c r="E31" s="3"/>
      <c r="G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" t="s">
        <v>102</v>
      </c>
      <c r="B32" s="1">
        <v>1.0</v>
      </c>
      <c r="C32" s="4" t="s">
        <v>103</v>
      </c>
      <c r="D32" s="1" t="s">
        <v>104</v>
      </c>
      <c r="E32" s="3"/>
      <c r="G32" s="3"/>
      <c r="H32" s="1">
        <v>0.48</v>
      </c>
      <c r="I32" s="1">
        <v>2.81</v>
      </c>
      <c r="J32" s="1">
        <v>16.2</v>
      </c>
      <c r="K32" s="1">
        <v>127.0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" t="s">
        <v>105</v>
      </c>
      <c r="B33" s="1">
        <v>1.0</v>
      </c>
      <c r="C33" s="4" t="s">
        <v>106</v>
      </c>
      <c r="D33" s="1" t="s">
        <v>107</v>
      </c>
      <c r="E33" s="3"/>
      <c r="G33" s="3"/>
      <c r="H33" s="1">
        <v>0.48</v>
      </c>
      <c r="I33" s="1">
        <v>2.81</v>
      </c>
      <c r="J33" s="1">
        <v>16.2</v>
      </c>
      <c r="K33" s="1">
        <v>127.0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" t="s">
        <v>108</v>
      </c>
      <c r="B34" s="1">
        <v>1.0</v>
      </c>
      <c r="C34" s="14" t="s">
        <v>109</v>
      </c>
      <c r="D34" s="1" t="s">
        <v>110</v>
      </c>
      <c r="E34" s="3"/>
      <c r="G34" s="3"/>
      <c r="H34" s="1">
        <v>0.46</v>
      </c>
      <c r="I34" s="1">
        <v>2.96</v>
      </c>
      <c r="J34" s="1">
        <v>22.8</v>
      </c>
      <c r="K34" s="1">
        <v>151.0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" t="s">
        <v>111</v>
      </c>
      <c r="B35" s="1">
        <v>1.0</v>
      </c>
      <c r="C35" s="14" t="s">
        <v>112</v>
      </c>
      <c r="D35" s="1" t="s">
        <v>113</v>
      </c>
      <c r="E35" s="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 t="s">
        <v>114</v>
      </c>
      <c r="B36" s="3">
        <f>SUM(B2:B35)</f>
        <v>62</v>
      </c>
      <c r="C36" s="3"/>
      <c r="D36" s="3"/>
      <c r="E36" s="3"/>
      <c r="G36" s="15"/>
      <c r="H36" s="1">
        <f t="shared" ref="H36:K36" si="6">SUM(H2:H35)</f>
        <v>32.919</v>
      </c>
      <c r="I36" s="1">
        <f t="shared" si="6"/>
        <v>276.57</v>
      </c>
      <c r="J36" s="1">
        <f t="shared" si="6"/>
        <v>2432.96</v>
      </c>
      <c r="K36" s="1">
        <f t="shared" si="6"/>
        <v>17425.6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D37" s="1" t="s">
        <v>115</v>
      </c>
      <c r="E37" s="4" t="s">
        <v>116</v>
      </c>
      <c r="G37" s="1" t="s">
        <v>117</v>
      </c>
      <c r="H37" s="1">
        <f>H36</f>
        <v>32.919</v>
      </c>
      <c r="I37" s="1">
        <f>I36/10</f>
        <v>27.657</v>
      </c>
      <c r="J37" s="1">
        <f>J36/100</f>
        <v>24.3296</v>
      </c>
      <c r="K37" s="1">
        <f>K36/1000</f>
        <v>17.4256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G38" s="16" t="s">
        <v>118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G40" s="1" t="s">
        <v>119</v>
      </c>
      <c r="H40" s="1">
        <f t="shared" ref="H40:K40" si="7">H36-(H30+H31)</f>
        <v>31.029</v>
      </c>
      <c r="I40" s="1">
        <f t="shared" si="7"/>
        <v>260.16</v>
      </c>
      <c r="J40" s="1">
        <f t="shared" si="7"/>
        <v>2286.3</v>
      </c>
      <c r="K40" s="1">
        <f t="shared" si="7"/>
        <v>16378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G41" s="1" t="s">
        <v>120</v>
      </c>
      <c r="H41" s="1">
        <f>H40</f>
        <v>31.029</v>
      </c>
      <c r="I41" s="1">
        <f>I40/10</f>
        <v>26.016</v>
      </c>
      <c r="J41" s="1">
        <f>J40/100</f>
        <v>22.863</v>
      </c>
      <c r="K41" s="1">
        <f>K40/1000</f>
        <v>16.378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16" t="s">
        <v>121</v>
      </c>
      <c r="H45" s="16">
        <f t="shared" ref="H45:K45" si="8">H37+2.5</f>
        <v>35.419</v>
      </c>
      <c r="I45" s="16">
        <f t="shared" si="8"/>
        <v>30.157</v>
      </c>
      <c r="J45" s="16">
        <f t="shared" si="8"/>
        <v>26.8296</v>
      </c>
      <c r="K45" s="16">
        <f t="shared" si="8"/>
        <v>19.9256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17" t="s">
        <v>122</v>
      </c>
      <c r="H46" s="16">
        <f t="shared" ref="H46:K46" si="9">H45+9</f>
        <v>44.419</v>
      </c>
      <c r="I46" s="3">
        <f t="shared" si="9"/>
        <v>39.157</v>
      </c>
      <c r="J46" s="3">
        <f t="shared" si="9"/>
        <v>35.8296</v>
      </c>
      <c r="K46" s="3">
        <f t="shared" si="9"/>
        <v>28.9256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18" t="s">
        <v>123</v>
      </c>
      <c r="H47" s="3">
        <f t="shared" ref="H47:I47" si="10">H46+4</f>
        <v>48.419</v>
      </c>
      <c r="I47" s="3">
        <f t="shared" si="10"/>
        <v>43.157</v>
      </c>
      <c r="J47" s="3">
        <f>226/200 + J46</f>
        <v>36.9596</v>
      </c>
      <c r="K47" s="3">
        <f>K46+0.4</f>
        <v>29.3256</v>
      </c>
      <c r="L47" s="16" t="s">
        <v>124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17" t="s">
        <v>125</v>
      </c>
      <c r="H48" s="3">
        <f>H47+222.47</f>
        <v>270.889</v>
      </c>
      <c r="I48" s="3">
        <f>I47+222.47/2</f>
        <v>154.392</v>
      </c>
      <c r="J48" s="3">
        <f>J47+30.07</f>
        <v>67.0296</v>
      </c>
      <c r="K48" s="3">
        <f>K47+20.96</f>
        <v>50.2856</v>
      </c>
      <c r="L48" s="16" t="s">
        <v>126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16" t="s">
        <v>127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C2"/>
    <hyperlink r:id="rId2" ref="C3"/>
    <hyperlink r:id="rId3" ref="G3"/>
    <hyperlink r:id="rId4" ref="C4"/>
    <hyperlink r:id="rId5" ref="E4"/>
    <hyperlink r:id="rId6" ref="C5"/>
    <hyperlink r:id="rId7" ref="G5"/>
    <hyperlink r:id="rId8" ref="C6"/>
    <hyperlink r:id="rId9" ref="C7"/>
    <hyperlink r:id="rId10" ref="C8"/>
    <hyperlink r:id="rId11" ref="E8"/>
    <hyperlink r:id="rId12" ref="C9"/>
    <hyperlink r:id="rId13" ref="C11"/>
    <hyperlink r:id="rId14" ref="C12"/>
    <hyperlink r:id="rId15" ref="C13"/>
    <hyperlink r:id="rId16" ref="C14"/>
    <hyperlink r:id="rId17" ref="C15"/>
    <hyperlink r:id="rId18" ref="C16"/>
    <hyperlink r:id="rId19" ref="C17"/>
    <hyperlink r:id="rId20" ref="C18"/>
    <hyperlink r:id="rId21" ref="C19"/>
    <hyperlink r:id="rId22" ref="C20"/>
    <hyperlink r:id="rId23" ref="C21"/>
    <hyperlink r:id="rId24" ref="C22"/>
    <hyperlink r:id="rId25" ref="C23"/>
    <hyperlink r:id="rId26" ref="C24"/>
    <hyperlink r:id="rId27" ref="C25"/>
    <hyperlink r:id="rId28" ref="C26"/>
    <hyperlink r:id="rId29" ref="C27"/>
    <hyperlink r:id="rId30" ref="C28"/>
    <hyperlink r:id="rId31" ref="C29"/>
    <hyperlink r:id="rId32" ref="C30"/>
    <hyperlink r:id="rId33" ref="C31"/>
    <hyperlink r:id="rId34" ref="C32"/>
    <hyperlink r:id="rId35" ref="C33"/>
    <hyperlink r:id="rId36" ref="C34"/>
    <hyperlink r:id="rId37" ref="C35"/>
    <hyperlink r:id="rId38" ref="E37"/>
    <hyperlink r:id="rId39" ref="G46"/>
    <hyperlink r:id="rId40" ref="G48"/>
  </hyperlinks>
  <printOptions/>
  <pageMargins bottom="0.75" footer="0.0" header="0.0" left="0.7" right="0.7" top="0.75"/>
  <pageSetup orientation="landscape"/>
  <drawing r:id="rId4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