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Videos\Vestrax\July 2025\"/>
    </mc:Choice>
  </mc:AlternateContent>
  <xr:revisionPtr revIDLastSave="0" documentId="13_ncr:1_{C061E484-449F-47B9-9433-A26E937B8E28}" xr6:coauthVersionLast="47" xr6:coauthVersionMax="47" xr10:uidLastSave="{00000000-0000-0000-0000-000000000000}"/>
  <bookViews>
    <workbookView xWindow="-108" yWindow="-108" windowWidth="23256" windowHeight="13896" activeTab="1" xr2:uid="{8A53AD03-2F66-40E0-8517-28DDD05F18F2}"/>
  </bookViews>
  <sheets>
    <sheet name="Shareholders" sheetId="14" r:id="rId1"/>
    <sheet name="Income Statement" sheetId="2" r:id="rId2"/>
    <sheet name="Balance Sheet" sheetId="3" r:id="rId3"/>
    <sheet name="Cash Flow" sheetId="4" r:id="rId4"/>
    <sheet name="Change in Equity" sheetId="15" r:id="rId5"/>
  </sheets>
  <definedNames>
    <definedName name="solver_adj" localSheetId="0" hidden="1">Shareholders!$F$9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Shareholders!$K$14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2" l="1" a="1"/>
  <c r="C51" i="2" s="1"/>
  <c r="J21" i="14"/>
  <c r="J22" i="14"/>
  <c r="J23" i="14"/>
  <c r="J24" i="14"/>
  <c r="J25" i="14"/>
  <c r="J26" i="14"/>
  <c r="J27" i="14"/>
  <c r="D19" i="3"/>
  <c r="E19" i="3"/>
  <c r="C19" i="3"/>
  <c r="F20" i="14"/>
  <c r="H20" i="14"/>
  <c r="H27" i="14"/>
  <c r="F27" i="14"/>
  <c r="G27" i="14" s="1"/>
  <c r="H26" i="14"/>
  <c r="F26" i="14"/>
  <c r="G26" i="14" s="1"/>
  <c r="H25" i="14"/>
  <c r="F25" i="14"/>
  <c r="G25" i="14" s="1"/>
  <c r="H24" i="14"/>
  <c r="G24" i="14"/>
  <c r="F24" i="14"/>
  <c r="H23" i="14"/>
  <c r="G23" i="14"/>
  <c r="F23" i="14"/>
  <c r="H22" i="14"/>
  <c r="G22" i="14"/>
  <c r="F22" i="14"/>
  <c r="H21" i="14"/>
  <c r="F21" i="14"/>
  <c r="G21" i="14" s="1"/>
  <c r="C47" i="4"/>
  <c r="D52" i="2"/>
  <c r="C52" i="2"/>
  <c r="E45" i="4"/>
  <c r="E36" i="15" l="1"/>
  <c r="D34" i="15" s="1"/>
  <c r="E32" i="15"/>
  <c r="D25" i="15" s="1"/>
  <c r="D32" i="15" s="1"/>
  <c r="C25" i="15" s="1"/>
  <c r="E23" i="15"/>
  <c r="D16" i="15" s="1"/>
  <c r="D23" i="15" s="1"/>
  <c r="C16" i="15" s="1"/>
  <c r="C23" i="15" s="1"/>
  <c r="E14" i="15"/>
  <c r="D9" i="15" s="1"/>
  <c r="D14" i="15" s="1"/>
  <c r="C9" i="15" s="1"/>
  <c r="C14" i="15" s="1"/>
  <c r="B2" i="15"/>
  <c r="E37" i="15" l="1"/>
  <c r="D37" i="15"/>
  <c r="D36" i="15"/>
  <c r="C34" i="15" s="1"/>
  <c r="C36" i="15" s="1"/>
  <c r="C23" i="2" l="1"/>
  <c r="B2" i="4"/>
  <c r="B2" i="3"/>
  <c r="B2" i="2"/>
  <c r="D17" i="2"/>
  <c r="E44" i="4" l="1"/>
  <c r="E41" i="4"/>
  <c r="E40" i="4" s="1"/>
  <c r="E37" i="4"/>
  <c r="E35" i="4"/>
  <c r="E32" i="4"/>
  <c r="E27" i="4"/>
  <c r="E24" i="4"/>
  <c r="E20" i="4"/>
  <c r="E13" i="4"/>
  <c r="D44" i="4"/>
  <c r="D41" i="4"/>
  <c r="D40" i="4" s="1"/>
  <c r="D37" i="4"/>
  <c r="D35" i="4"/>
  <c r="D32" i="4"/>
  <c r="D27" i="4"/>
  <c r="D24" i="4"/>
  <c r="D20" i="4"/>
  <c r="D13" i="4"/>
  <c r="D10" i="4"/>
  <c r="D46" i="3"/>
  <c r="D36" i="3"/>
  <c r="E36" i="3"/>
  <c r="C36" i="3"/>
  <c r="C13" i="3"/>
  <c r="D30" i="4" l="1"/>
  <c r="E30" i="4"/>
  <c r="D47" i="4"/>
  <c r="E47" i="4"/>
  <c r="E67" i="3" l="1"/>
  <c r="E80" i="3" s="1"/>
  <c r="E64" i="3"/>
  <c r="E60" i="3"/>
  <c r="E51" i="3"/>
  <c r="E46" i="3"/>
  <c r="E42" i="3" s="1"/>
  <c r="E29" i="3"/>
  <c r="E22" i="3"/>
  <c r="E13" i="3"/>
  <c r="E9" i="3"/>
  <c r="D67" i="3"/>
  <c r="D80" i="3" s="1"/>
  <c r="D64" i="3"/>
  <c r="D60" i="3"/>
  <c r="D51" i="3"/>
  <c r="D42" i="3"/>
  <c r="D29" i="3"/>
  <c r="D22" i="3"/>
  <c r="D13" i="3"/>
  <c r="D9" i="3"/>
  <c r="E52" i="2"/>
  <c r="E45" i="2"/>
  <c r="E50" i="2" s="1"/>
  <c r="E31" i="2"/>
  <c r="E28" i="2"/>
  <c r="E27" i="2"/>
  <c r="E23" i="2"/>
  <c r="E17" i="2"/>
  <c r="E15" i="2" s="1"/>
  <c r="E13" i="2"/>
  <c r="E8" i="2" s="1"/>
  <c r="D45" i="2"/>
  <c r="D50" i="2" s="1"/>
  <c r="D31" i="2"/>
  <c r="D28" i="2"/>
  <c r="D27" i="2" s="1"/>
  <c r="D23" i="2"/>
  <c r="D57" i="2"/>
  <c r="D15" i="2"/>
  <c r="D13" i="2"/>
  <c r="D8" i="2" s="1"/>
  <c r="E29" i="14"/>
  <c r="D29" i="14"/>
  <c r="H29" i="14" s="1"/>
  <c r="C29" i="14"/>
  <c r="H19" i="14"/>
  <c r="F19" i="14"/>
  <c r="H18" i="14"/>
  <c r="F18" i="14"/>
  <c r="H17" i="14"/>
  <c r="F17" i="14"/>
  <c r="F12" i="14"/>
  <c r="J10" i="14"/>
  <c r="G10" i="14"/>
  <c r="G12" i="14" s="1"/>
  <c r="J9" i="14"/>
  <c r="G9" i="14"/>
  <c r="J8" i="14"/>
  <c r="G8" i="14"/>
  <c r="C60" i="3"/>
  <c r="C29" i="3"/>
  <c r="C22" i="3"/>
  <c r="I17" i="14" l="1"/>
  <c r="I24" i="14"/>
  <c r="I25" i="14"/>
  <c r="I26" i="14"/>
  <c r="I27" i="14"/>
  <c r="I21" i="14"/>
  <c r="I23" i="14"/>
  <c r="I22" i="14"/>
  <c r="G17" i="14"/>
  <c r="G18" i="14"/>
  <c r="G20" i="14"/>
  <c r="G19" i="14"/>
  <c r="J17" i="14"/>
  <c r="J20" i="14"/>
  <c r="E22" i="2"/>
  <c r="E56" i="2" s="1"/>
  <c r="E57" i="2"/>
  <c r="E10" i="4"/>
  <c r="D22" i="2"/>
  <c r="D56" i="2" s="1"/>
  <c r="D55" i="2" s="1"/>
  <c r="E62" i="3"/>
  <c r="E71" i="3"/>
  <c r="E79" i="3" s="1"/>
  <c r="D21" i="3"/>
  <c r="D39" i="3" s="1"/>
  <c r="D62" i="3"/>
  <c r="D71" i="3"/>
  <c r="D79" i="3" s="1"/>
  <c r="E21" i="3"/>
  <c r="E39" i="3" s="1"/>
  <c r="C21" i="3"/>
  <c r="I18" i="14"/>
  <c r="I19" i="14"/>
  <c r="I20" i="14"/>
  <c r="H9" i="14"/>
  <c r="H8" i="14"/>
  <c r="H12" i="14"/>
  <c r="H10" i="14"/>
  <c r="J28" i="14"/>
  <c r="J18" i="14"/>
  <c r="J12" i="14"/>
  <c r="F29" i="14"/>
  <c r="G29" i="14" s="1"/>
  <c r="J19" i="14"/>
  <c r="I29" i="14" l="1"/>
  <c r="J29" i="14"/>
  <c r="E77" i="3"/>
  <c r="E76" i="3"/>
  <c r="D77" i="3"/>
  <c r="D76" i="3"/>
  <c r="D73" i="3"/>
  <c r="D30" i="2"/>
  <c r="D36" i="2" s="1"/>
  <c r="D38" i="2" s="1"/>
  <c r="D41" i="2" s="1"/>
  <c r="E30" i="2"/>
  <c r="E36" i="2" s="1"/>
  <c r="E38" i="2" s="1"/>
  <c r="E41" i="2" s="1"/>
  <c r="E55" i="2"/>
  <c r="E73" i="3"/>
  <c r="E74" i="3" l="1"/>
  <c r="E83" i="3" s="1"/>
  <c r="E40" i="15"/>
  <c r="D74" i="3"/>
  <c r="D83" i="3" s="1"/>
  <c r="D40" i="15"/>
  <c r="D43" i="2"/>
  <c r="D53" i="2" s="1"/>
  <c r="D48" i="2"/>
  <c r="D9" i="4"/>
  <c r="D12" i="4" s="1"/>
  <c r="D18" i="4" s="1"/>
  <c r="D49" i="4" s="1"/>
  <c r="D50" i="4" s="1"/>
  <c r="D51" i="4" s="1"/>
  <c r="E9" i="4"/>
  <c r="E12" i="4" s="1"/>
  <c r="E18" i="4" s="1"/>
  <c r="E49" i="4" s="1"/>
  <c r="E50" i="4" s="1"/>
  <c r="E51" i="4" s="1"/>
  <c r="E43" i="2"/>
  <c r="D51" i="2" s="1" a="1"/>
  <c r="D51" i="2" s="1"/>
  <c r="E48" i="2"/>
  <c r="C51" i="3"/>
  <c r="C37" i="4"/>
  <c r="C20" i="4"/>
  <c r="C9" i="3"/>
  <c r="C39" i="3" s="1"/>
  <c r="C44" i="4"/>
  <c r="C41" i="4"/>
  <c r="C40" i="4" s="1"/>
  <c r="C35" i="4"/>
  <c r="C32" i="4"/>
  <c r="C27" i="4"/>
  <c r="C24" i="4"/>
  <c r="C13" i="4"/>
  <c r="C67" i="3"/>
  <c r="C80" i="3" s="1"/>
  <c r="C64" i="3"/>
  <c r="C46" i="3"/>
  <c r="C42" i="3" s="1"/>
  <c r="C28" i="2"/>
  <c r="C27" i="2" s="1"/>
  <c r="C45" i="2"/>
  <c r="C31" i="2"/>
  <c r="C17" i="2"/>
  <c r="C15" i="2" s="1"/>
  <c r="C13" i="2"/>
  <c r="C8" i="2" s="1"/>
  <c r="C50" i="2" l="1"/>
  <c r="E47" i="2"/>
  <c r="E46" i="2" s="1"/>
  <c r="D47" i="2"/>
  <c r="D46" i="2" s="1"/>
  <c r="C47" i="2"/>
  <c r="D48" i="4"/>
  <c r="E48" i="4"/>
  <c r="C10" i="4"/>
  <c r="C62" i="3"/>
  <c r="C77" i="3" s="1"/>
  <c r="C71" i="3"/>
  <c r="C73" i="3" s="1"/>
  <c r="C30" i="4"/>
  <c r="C57" i="2"/>
  <c r="C22" i="2"/>
  <c r="C74" i="3" l="1"/>
  <c r="C83" i="3" s="1"/>
  <c r="C76" i="3"/>
  <c r="C79" i="3"/>
  <c r="C30" i="2"/>
  <c r="C36" i="2" s="1"/>
  <c r="C9" i="4" s="1"/>
  <c r="C12" i="4" s="1"/>
  <c r="C18" i="4" s="1"/>
  <c r="C56" i="2"/>
  <c r="C55" i="2" s="1"/>
  <c r="C38" i="2" l="1"/>
  <c r="C41" i="2" s="1"/>
  <c r="C43" i="2" l="1"/>
  <c r="C26" i="15"/>
  <c r="C32" i="15" s="1"/>
  <c r="C37" i="15" s="1"/>
  <c r="C40" i="15" s="1"/>
  <c r="C46" i="2"/>
  <c r="C48" i="2"/>
  <c r="C49" i="4"/>
  <c r="C50" i="4" s="1"/>
  <c r="C51" i="4" s="1"/>
  <c r="C48" i="4"/>
  <c r="C5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<sst xmlns="http://schemas.openxmlformats.org/spreadsheetml/2006/main" count="258" uniqueCount="201">
  <si>
    <t>Depreciation &amp; Amortization Expense</t>
  </si>
  <si>
    <t>EBIT</t>
  </si>
  <si>
    <t>EBITDA</t>
  </si>
  <si>
    <t>Payout Ratio</t>
  </si>
  <si>
    <t>Dividends per Share</t>
  </si>
  <si>
    <t>Total Shares Outstanding</t>
  </si>
  <si>
    <t>Diluted Shares Outstanding</t>
  </si>
  <si>
    <t>EPS (diluted)</t>
  </si>
  <si>
    <t>Basic Shares Outstanding</t>
  </si>
  <si>
    <t>EPS (basic)</t>
  </si>
  <si>
    <t>Per Share</t>
  </si>
  <si>
    <t>Net Income available to Common</t>
  </si>
  <si>
    <t>Preferred Dividends</t>
  </si>
  <si>
    <t>Net Income</t>
  </si>
  <si>
    <t>Minority Interest</t>
  </si>
  <si>
    <t>Consolidated Net Income</t>
  </si>
  <si>
    <t>Income Tax - Deferred - Foreign</t>
  </si>
  <si>
    <t>Income Tax - Deferred - Domestic</t>
  </si>
  <si>
    <t>Income Tax - Current - Foreign</t>
  </si>
  <si>
    <t>Income Tax - Current - Domestic</t>
  </si>
  <si>
    <t>Income Taxes</t>
  </si>
  <si>
    <t>Pretax Income</t>
  </si>
  <si>
    <t>Financial Fixed Assets</t>
  </si>
  <si>
    <t>Impairments</t>
  </si>
  <si>
    <t>Unusual Expense - Net</t>
  </si>
  <si>
    <t>Miscellaneous Nonoperating Expense</t>
  </si>
  <si>
    <t>Total Interest Expense</t>
  </si>
  <si>
    <t>Non-Operating Interest Income</t>
  </si>
  <si>
    <t>Nonoperating Income</t>
  </si>
  <si>
    <t>Operating Income</t>
  </si>
  <si>
    <t>Other Operating Expense</t>
  </si>
  <si>
    <t>Cost of Goods Sold excluding D&amp;A</t>
  </si>
  <si>
    <t>Amortization of Intangibles</t>
  </si>
  <si>
    <t>Depreciation</t>
  </si>
  <si>
    <t>Selling, General &amp; Admin. Expenses</t>
  </si>
  <si>
    <t>Total Expense</t>
  </si>
  <si>
    <t>Commission &amp; Fee Income</t>
  </si>
  <si>
    <t>Trust Income, Commissions &amp; Fees</t>
  </si>
  <si>
    <t>Trading Account Income</t>
  </si>
  <si>
    <t>Sundry Revenue/Income</t>
  </si>
  <si>
    <t>Interest Income</t>
  </si>
  <si>
    <t>Investment Income</t>
  </si>
  <si>
    <t>Sales</t>
  </si>
  <si>
    <t>Tangible Book Value per Share</t>
  </si>
  <si>
    <t>Book Value per Share</t>
  </si>
  <si>
    <t>Total Liabilities &amp; Shareholders' Equity</t>
  </si>
  <si>
    <t>Total Equity</t>
  </si>
  <si>
    <t>Accumulated Minority Interest</t>
  </si>
  <si>
    <t>Total Shareholders' Equity</t>
  </si>
  <si>
    <t>Retained Earnings</t>
  </si>
  <si>
    <t>Additional Paid-In Capital/Capital Surplus</t>
  </si>
  <si>
    <t>Common Stock Par/Carry Value</t>
  </si>
  <si>
    <t>Common Equity</t>
  </si>
  <si>
    <t>Non-Redeemable Preferred Stock</t>
  </si>
  <si>
    <t>Redeemable Preferred Stock</t>
  </si>
  <si>
    <t>Preferred Stock (Carrying Value)</t>
  </si>
  <si>
    <t>Equity</t>
  </si>
  <si>
    <t>Total Liabilities</t>
  </si>
  <si>
    <t>Other Liabilities (excl. Deferred Income)</t>
  </si>
  <si>
    <t>Other Liabilities</t>
  </si>
  <si>
    <t>Deferred Tax Liabilities</t>
  </si>
  <si>
    <t>Provision for Risks &amp; Charges</t>
  </si>
  <si>
    <t>Capital and Operating Lease Obligations</t>
  </si>
  <si>
    <t>Long-Term Debt excl Lease Obligations</t>
  </si>
  <si>
    <t>Long-Term Debt</t>
  </si>
  <si>
    <t>ST Debt &amp; Curr. Portion LT Debt</t>
  </si>
  <si>
    <t>Total Debt</t>
  </si>
  <si>
    <t>Liabilities</t>
  </si>
  <si>
    <t>Liabilities &amp; Shareholders' Equity</t>
  </si>
  <si>
    <t>Total Assets</t>
  </si>
  <si>
    <t>Intangible Assets</t>
  </si>
  <si>
    <t>Tangible Other Assets</t>
  </si>
  <si>
    <t>Other Assets</t>
  </si>
  <si>
    <t>Deferred Tax Assets</t>
  </si>
  <si>
    <t>Net Property, Plant &amp; Equipment</t>
  </si>
  <si>
    <t>Investment in Unconsolidated Subs.</t>
  </si>
  <si>
    <t>Other Investments</t>
  </si>
  <si>
    <t>Investments</t>
  </si>
  <si>
    <t>Short-Term Receivables</t>
  </si>
  <si>
    <t>Cash Only</t>
  </si>
  <si>
    <t>Cash &amp; Short-Term Investments</t>
  </si>
  <si>
    <t>Assets</t>
  </si>
  <si>
    <t>Free Cash Flow Yield (%)</t>
  </si>
  <si>
    <t>Free Cash Flow per Share</t>
  </si>
  <si>
    <t>Free Cash Flow</t>
  </si>
  <si>
    <t>Net Change in Cash</t>
  </si>
  <si>
    <t>Financing Cash Flow</t>
  </si>
  <si>
    <t>Other Sources</t>
  </si>
  <si>
    <t>Other Uses</t>
  </si>
  <si>
    <t>Other Funds</t>
  </si>
  <si>
    <t>Reduction in Long-Term Debt</t>
  </si>
  <si>
    <t>Issuance of Long-Term Debt</t>
  </si>
  <si>
    <t>Change in Long-Term Debt</t>
  </si>
  <si>
    <t>Issuance/Reduction of Debt, Net</t>
  </si>
  <si>
    <t>Proceeds from Sale of Stock</t>
  </si>
  <si>
    <t>Sale of Common &amp; Preferred Stock</t>
  </si>
  <si>
    <t>Repurchase of Common &amp; Preferred Stk.</t>
  </si>
  <si>
    <t>Change in Capital Stock</t>
  </si>
  <si>
    <t>Common Dividends</t>
  </si>
  <si>
    <t>Cash Dividends Paid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</si>
  <si>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</si>
  <si>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</si>
  <si>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</si>
  <si>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</si>
  <si>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</si>
  <si>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Net Assets from Acquisitions</t>
  </si>
  <si>
    <t>Capital Expenditures (Fixed Assets)</t>
  </si>
  <si>
    <t>Capital Expenditures</t>
  </si>
  <si>
    <t>Investing Activities</t>
  </si>
  <si>
    <t>Net Operating Cash Flow</t>
  </si>
  <si>
    <t>Other Assets/Liabilities</t>
  </si>
  <si>
    <t>Other Accruals</t>
  </si>
  <si>
    <t>Accounts Payable</t>
  </si>
  <si>
    <t>Receivables</t>
  </si>
  <si>
    <t>Changes in Working Capital</t>
  </si>
  <si>
    <t>Funds from Operations</t>
  </si>
  <si>
    <t>Operating Activities</t>
  </si>
  <si>
    <t>Vestrax Financial Holdings Corp (VFH)</t>
  </si>
  <si>
    <t>Vestrax Financial Holdings Corp</t>
  </si>
  <si>
    <t xml:space="preserve">VFH   CRBSE   Common stock    </t>
  </si>
  <si>
    <t>All figures in thousands of SWC except per share items.</t>
  </si>
  <si>
    <t>Total Short-Term Investments</t>
  </si>
  <si>
    <t>---</t>
  </si>
  <si>
    <t>Depreciation, Depletion &amp; Amortization</t>
  </si>
  <si>
    <t>Net Income / Starting Line</t>
  </si>
  <si>
    <t>Capital Expenditures (Other Assets)</t>
  </si>
  <si>
    <t>Proceeds from Stock Options</t>
  </si>
  <si>
    <t>Investment A</t>
  </si>
  <si>
    <t>Investment B</t>
  </si>
  <si>
    <t>Investment C</t>
  </si>
  <si>
    <t>Investor Capital</t>
  </si>
  <si>
    <t>Investor Capital Liability - Crezyman</t>
  </si>
  <si>
    <t>Investor Capital Liability - ArchIsHot</t>
  </si>
  <si>
    <t>Investor Capital Liability - Koninow</t>
  </si>
  <si>
    <t>Investor Capital Liability - Noisorl</t>
  </si>
  <si>
    <t>Investor Capital Liability - nightn_</t>
  </si>
  <si>
    <t>Investor Capital Liability - RealLoganP</t>
  </si>
  <si>
    <t>Investor Capital Liability - Skywalker234</t>
  </si>
  <si>
    <t>Investor Capital Liability - Bagguete3</t>
  </si>
  <si>
    <t>Dividend Payable</t>
  </si>
  <si>
    <t>Common Stock</t>
  </si>
  <si>
    <t>Buildings</t>
  </si>
  <si>
    <t>Inventories</t>
  </si>
  <si>
    <t>Property, Plant &amp; Equipment - Gross</t>
  </si>
  <si>
    <t>Land &amp; Improvements</t>
  </si>
  <si>
    <t>Machinery &amp; Equipment</t>
  </si>
  <si>
    <t>Construction in Progress</t>
  </si>
  <si>
    <t>Other Property, Plant &amp; Equipment</t>
  </si>
  <si>
    <t>Operating Lease Right-of-Use Assets</t>
  </si>
  <si>
    <t>Accumulated Depreciation</t>
  </si>
  <si>
    <t>NAV</t>
  </si>
  <si>
    <t>Declared Dividends</t>
  </si>
  <si>
    <t>Dividends</t>
  </si>
  <si>
    <t>Shareholder Classification</t>
  </si>
  <si>
    <t>Type</t>
  </si>
  <si>
    <t>Par Value</t>
  </si>
  <si>
    <t>Voting Power</t>
  </si>
  <si>
    <t>Total  Shares</t>
  </si>
  <si>
    <t>Total Voting Power</t>
  </si>
  <si>
    <t>Voting %</t>
  </si>
  <si>
    <t>Dividend Type</t>
  </si>
  <si>
    <t>Class C</t>
  </si>
  <si>
    <t>Preferred</t>
  </si>
  <si>
    <t>Class B</t>
  </si>
  <si>
    <t>Voting</t>
  </si>
  <si>
    <t>Standard</t>
  </si>
  <si>
    <t>Class A</t>
  </si>
  <si>
    <t>Common</t>
  </si>
  <si>
    <t>Totals</t>
  </si>
  <si>
    <t>Ownership</t>
  </si>
  <si>
    <t>Total Owned</t>
  </si>
  <si>
    <t>% Ownership</t>
  </si>
  <si>
    <t>% Voting</t>
  </si>
  <si>
    <t>Vestrax (Non-authorized)</t>
  </si>
  <si>
    <t>brainstormkid</t>
  </si>
  <si>
    <t>Crimson Bank</t>
  </si>
  <si>
    <t>deadbymonday</t>
  </si>
  <si>
    <t>EPS (Average)</t>
  </si>
  <si>
    <t>Total Average Shares Outstanding</t>
  </si>
  <si>
    <t>Earnings Persistence (basic)</t>
  </si>
  <si>
    <t>Net Asset Value</t>
  </si>
  <si>
    <t>Net Asset Value (excl. Investor Capital)</t>
  </si>
  <si>
    <t>Stock Price</t>
  </si>
  <si>
    <t>Beginning of Period</t>
  </si>
  <si>
    <t>End of Period</t>
  </si>
  <si>
    <t>Additional Paid-In Capital</t>
  </si>
  <si>
    <t>Accumulated Other Comprehensive Income (Loss)</t>
  </si>
  <si>
    <t>Issuance of Common Stock</t>
  </si>
  <si>
    <t>Share-based Compensation</t>
  </si>
  <si>
    <t>Stock Dividends</t>
  </si>
  <si>
    <t>Additional Investment</t>
  </si>
  <si>
    <t>Investor Liability Income</t>
  </si>
  <si>
    <t>Sale of Treasury Stock</t>
  </si>
  <si>
    <t>Other comprehensive income</t>
  </si>
  <si>
    <t>fickogames</t>
  </si>
  <si>
    <t>Maestro Inc.</t>
  </si>
  <si>
    <t>Binkusthe1st</t>
  </si>
  <si>
    <t>Hamburger___Man</t>
  </si>
  <si>
    <t>ArchIsHot</t>
  </si>
  <si>
    <t>Pan_mako</t>
  </si>
  <si>
    <t>Andliria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</si>
</sst>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"/>
    <numFmt numFmtId="166" formatCode="#,##0.000000000"/>
    <numFmt numFmtId="167" formatCode="#,##0.00000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3" tint="9.9978637043366805E-2"/>
      <name val="Arial"/>
      <family val="2"/>
    </font>
    <font>
      <b/>
      <sz val="10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/>
    <xf numFmtId="0" fontId="3" fillId="0" borderId="0" xfId="1" applyFont="1" applyAlignment="1">
      <alignment horizontal="left"/>
    </xf>
    <xf numFmtId="3" fontId="2" fillId="2" borderId="0" xfId="1" applyNumberFormat="1" applyFill="1" applyAlignment="1">
      <alignment horizontal="right"/>
    </xf>
    <xf numFmtId="0" fontId="2" fillId="2" borderId="0" xfId="1" applyFill="1" applyAlignment="1">
      <alignment horizontal="left" indent="4"/>
    </xf>
    <xf numFmtId="3" fontId="2" fillId="0" borderId="0" xfId="1" applyNumberFormat="1" applyAlignment="1">
      <alignment horizontal="right"/>
    </xf>
    <xf numFmtId="0" fontId="2" fillId="0" borderId="0" xfId="1" applyAlignment="1">
      <alignment horizontal="left" indent="4"/>
    </xf>
    <xf numFmtId="3" fontId="5" fillId="2" borderId="0" xfId="1" applyNumberFormat="1" applyFont="1" applyFill="1" applyAlignment="1">
      <alignment horizontal="right"/>
    </xf>
    <xf numFmtId="0" fontId="5" fillId="2" borderId="0" xfId="1" applyFont="1" applyFill="1" applyAlignment="1">
      <alignment horizontal="left" indent="3"/>
    </xf>
    <xf numFmtId="0" fontId="5" fillId="0" borderId="0" xfId="1" applyFont="1" applyAlignment="1">
      <alignment horizontal="left"/>
    </xf>
    <xf numFmtId="4" fontId="2" fillId="2" borderId="0" xfId="1" applyNumberFormat="1" applyFill="1" applyAlignment="1">
      <alignment horizontal="right"/>
    </xf>
    <xf numFmtId="4" fontId="5" fillId="0" borderId="0" xfId="1" applyNumberFormat="1" applyFont="1" applyAlignment="1">
      <alignment horizontal="right"/>
    </xf>
    <xf numFmtId="0" fontId="5" fillId="0" borderId="0" xfId="1" applyFont="1" applyAlignment="1">
      <alignment horizontal="left" indent="3"/>
    </xf>
    <xf numFmtId="0" fontId="2" fillId="2" borderId="0" xfId="1" applyFill="1" applyAlignment="1">
      <alignment horizontal="left" indent="1"/>
    </xf>
    <xf numFmtId="4" fontId="2" fillId="0" borderId="0" xfId="1" applyNumberFormat="1" applyAlignment="1">
      <alignment horizontal="right"/>
    </xf>
    <xf numFmtId="4" fontId="5" fillId="2" borderId="0" xfId="1" applyNumberFormat="1" applyFont="1" applyFill="1" applyAlignment="1">
      <alignment horizontal="right"/>
    </xf>
    <xf numFmtId="0" fontId="2" fillId="0" borderId="0" xfId="1" applyAlignment="1">
      <alignment horizontal="left" indent="1"/>
    </xf>
    <xf numFmtId="0" fontId="5" fillId="2" borderId="0" xfId="1" applyFont="1" applyFill="1" applyAlignment="1">
      <alignment horizontal="left"/>
    </xf>
    <xf numFmtId="3" fontId="5" fillId="0" borderId="0" xfId="1" applyNumberFormat="1" applyFont="1" applyAlignment="1">
      <alignment horizontal="right"/>
    </xf>
    <xf numFmtId="0" fontId="2" fillId="0" borderId="0" xfId="1" applyAlignment="1">
      <alignment horizontal="left"/>
    </xf>
    <xf numFmtId="0" fontId="2" fillId="2" borderId="0" xfId="1" applyFill="1" applyAlignment="1">
      <alignment horizontal="left" indent="7"/>
    </xf>
    <xf numFmtId="0" fontId="5" fillId="0" borderId="0" xfId="1" applyFont="1" applyAlignment="1">
      <alignment horizontal="left" indent="6"/>
    </xf>
    <xf numFmtId="0" fontId="6" fillId="3" borderId="0" xfId="1" applyFont="1" applyFill="1" applyAlignment="1">
      <alignment horizontal="left"/>
    </xf>
    <xf numFmtId="0" fontId="2" fillId="0" borderId="1" xfId="1" applyBorder="1"/>
    <xf numFmtId="0" fontId="2" fillId="0" borderId="0" xfId="1" applyAlignment="1">
      <alignment horizontal="left" indent="7"/>
    </xf>
    <xf numFmtId="0" fontId="5" fillId="2" borderId="0" xfId="1" applyFont="1" applyFill="1" applyAlignment="1">
      <alignment horizontal="left" indent="6"/>
    </xf>
    <xf numFmtId="0" fontId="2" fillId="0" borderId="0" xfId="1" applyAlignment="1">
      <alignment horizontal="left" indent="10"/>
    </xf>
    <xf numFmtId="0" fontId="2" fillId="2" borderId="0" xfId="1" applyFill="1" applyAlignment="1">
      <alignment horizontal="left" indent="10"/>
    </xf>
    <xf numFmtId="0" fontId="5" fillId="0" borderId="0" xfId="1" applyFont="1" applyAlignment="1">
      <alignment horizontal="left" indent="9"/>
    </xf>
    <xf numFmtId="14" fontId="6" fillId="3" borderId="0" xfId="2" applyNumberFormat="1" applyFont="1" applyFill="1" applyAlignment="1">
      <alignment horizontal="left"/>
    </xf>
    <xf numFmtId="3" fontId="4" fillId="5" borderId="0" xfId="1" applyNumberFormat="1" applyFont="1" applyFill="1" applyAlignment="1">
      <alignment horizontal="right"/>
    </xf>
    <xf numFmtId="3" fontId="2" fillId="5" borderId="0" xfId="1" applyNumberFormat="1" applyFill="1" applyAlignment="1">
      <alignment horizontal="right"/>
    </xf>
    <xf numFmtId="4" fontId="2" fillId="5" borderId="0" xfId="1" applyNumberFormat="1" applyFill="1" applyAlignment="1">
      <alignment horizontal="right"/>
    </xf>
    <xf numFmtId="0" fontId="5" fillId="0" borderId="0" xfId="1" applyFont="1" applyAlignment="1">
      <alignment horizontal="right"/>
    </xf>
    <xf numFmtId="4" fontId="2" fillId="0" borderId="0" xfId="1" quotePrefix="1" applyNumberFormat="1" applyAlignment="1">
      <alignment horizontal="right"/>
    </xf>
    <xf numFmtId="0" fontId="5" fillId="2" borderId="0" xfId="2" applyFont="1" applyFill="1" applyAlignment="1">
      <alignment horizontal="left" indent="3"/>
    </xf>
    <xf numFmtId="3" fontId="2" fillId="6" borderId="0" xfId="1" applyNumberFormat="1" applyFill="1" applyAlignment="1">
      <alignment horizontal="right"/>
    </xf>
    <xf numFmtId="4" fontId="2" fillId="0" borderId="0" xfId="1" applyNumberFormat="1"/>
    <xf numFmtId="0" fontId="2" fillId="0" borderId="4" xfId="1" applyBorder="1"/>
    <xf numFmtId="44" fontId="0" fillId="0" borderId="0" xfId="4" applyFont="1"/>
    <xf numFmtId="0" fontId="8" fillId="0" borderId="0" xfId="0" applyFont="1"/>
    <xf numFmtId="44" fontId="0" fillId="0" borderId="0" xfId="0" applyNumberFormat="1"/>
    <xf numFmtId="0" fontId="9" fillId="0" borderId="0" xfId="1" applyFont="1" applyAlignment="1">
      <alignment horizontal="left" indent="1"/>
    </xf>
    <xf numFmtId="0" fontId="9" fillId="0" borderId="0" xfId="1" applyFont="1" applyAlignment="1">
      <alignment horizontal="left" indent="4"/>
    </xf>
    <xf numFmtId="0" fontId="1" fillId="4" borderId="0" xfId="0" applyFont="1" applyFill="1" applyAlignment="1">
      <alignment horizontal="left"/>
    </xf>
    <xf numFmtId="164" fontId="0" fillId="0" borderId="3" xfId="4" applyNumberFormat="1" applyFont="1" applyBorder="1" applyAlignment="1">
      <alignment horizontal="left"/>
    </xf>
    <xf numFmtId="0" fontId="0" fillId="0" borderId="3" xfId="0" applyBorder="1"/>
    <xf numFmtId="10" fontId="0" fillId="0" borderId="0" xfId="5" applyNumberFormat="1" applyFont="1"/>
    <xf numFmtId="44" fontId="0" fillId="5" borderId="0" xfId="4" applyFont="1" applyFill="1"/>
    <xf numFmtId="43" fontId="0" fillId="0" borderId="0" xfId="3" applyFont="1"/>
    <xf numFmtId="44" fontId="0" fillId="0" borderId="0" xfId="0" applyNumberFormat="1" applyAlignment="1">
      <alignment horizontal="right"/>
    </xf>
    <xf numFmtId="43" fontId="0" fillId="0" borderId="0" xfId="0" applyNumberFormat="1"/>
    <xf numFmtId="4" fontId="2" fillId="7" borderId="0" xfId="1" applyNumberFormat="1" applyFill="1" applyAlignment="1">
      <alignment horizontal="right"/>
    </xf>
    <xf numFmtId="0" fontId="5" fillId="0" borderId="0" xfId="2" applyFont="1" applyAlignment="1">
      <alignment horizontal="left" indent="3"/>
    </xf>
    <xf numFmtId="0" fontId="2" fillId="2" borderId="0" xfId="2" applyFill="1" applyAlignment="1">
      <alignment horizontal="left" indent="4"/>
    </xf>
    <xf numFmtId="165" fontId="5" fillId="0" borderId="0" xfId="2" applyNumberFormat="1" applyFont="1" applyAlignment="1">
      <alignment horizontal="right"/>
    </xf>
    <xf numFmtId="165" fontId="2" fillId="5" borderId="0" xfId="2" applyNumberFormat="1" applyFill="1" applyAlignment="1">
      <alignment horizontal="right"/>
    </xf>
    <xf numFmtId="3" fontId="2" fillId="0" borderId="0" xfId="1" applyNumberFormat="1"/>
    <xf numFmtId="3" fontId="10" fillId="2" borderId="0" xfId="1" applyNumberFormat="1" applyFont="1" applyFill="1" applyAlignment="1">
      <alignment horizontal="right"/>
    </xf>
    <xf numFmtId="3" fontId="10" fillId="5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indent="1"/>
    </xf>
    <xf numFmtId="3" fontId="9" fillId="2" borderId="0" xfId="1" applyNumberFormat="1" applyFont="1" applyFill="1" applyAlignment="1">
      <alignment horizontal="right"/>
    </xf>
    <xf numFmtId="3" fontId="9" fillId="0" borderId="0" xfId="1" applyNumberFormat="1" applyFont="1" applyAlignment="1">
      <alignment horizontal="right"/>
    </xf>
    <xf numFmtId="166" fontId="2" fillId="0" borderId="0" xfId="1" applyNumberFormat="1"/>
    <xf numFmtId="167" fontId="2" fillId="0" borderId="0" xfId="1" applyNumberFormat="1"/>
    <xf numFmtId="3" fontId="2" fillId="7" borderId="0" xfId="1" applyNumberFormat="1" applyFill="1" applyAlignment="1">
      <alignment horizontal="right"/>
    </xf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</cellXfs>
  <cellStyles count="6">
    <cellStyle name="Comma" xfId="3" builtinId="3"/>
    <cellStyle name="Currency" xfId="4" builtinId="4"/>
    <cellStyle name="Normal" xfId="0" builtinId="0"/>
    <cellStyle name="Normal 2" xfId="1" xr:uid="{06B8090C-32CA-4144-B97E-B3A5D197441E}"/>
    <cellStyle name="Normal 4" xfId="2" xr:uid="{3DB3CE0A-181C-43EF-9A86-B754E9114D01}"/>
    <cellStyle name="Percent" xfId="5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/>
      </border>
    </dxf>
  </dxfs>
  <tableStyles count="1" defaultTableStyle="TableStyleMedium2" defaultPivotStyle="PivotStyleLight16">
    <tableStyle name="Table Style 2" pivot="0" count="2" xr9:uid="{7E8AB8AD-49C3-4FAB-BDBC-DFA5FA87F7B4}"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E19F6C3-687F-4E7D-9F7E-457F325D0004}" name="Table1" displayName="Table1" ref="B16:J29" totalsRowShown="0" dataDxfId="18" dataCellStyle="Comma">
  <autoFilter ref="B16:J29" xr:uid="{C61CC90C-7C87-49EC-9EA4-555F038AF567}"/>
  <tableColumns count="9">
    <tableColumn id="1" xr3:uid="{6C74BBCC-3449-4B6E-92B6-12BC4DCE566F}" name="Ownership"/>
    <tableColumn id="2" xr3:uid="{BC7EDA2F-D79D-4E47-A17F-6F43D44A056F}" name="Class C" dataDxfId="17" dataCellStyle="Comma"/>
    <tableColumn id="3" xr3:uid="{969CBD44-2225-45CE-BB09-959BD532997F}" name="Class B" dataDxfId="16" dataCellStyle="Comma"/>
    <tableColumn id="4" xr3:uid="{F9A7A3EF-02E7-4718-9687-FFCFF2509070}" name="Class A" dataDxfId="15" dataCellStyle="Comma"/>
    <tableColumn id="5" xr3:uid="{45470378-9B45-4418-8304-E2FBB08E2E39}" name="Total Owned" dataDxfId="14" dataCellStyle="Comma"/>
    <tableColumn id="6" xr3:uid="{F06A19BE-BD4B-420F-B705-77222518BC61}" name="% Ownership" dataDxfId="13" dataCellStyle="Percent">
      <calculatedColumnFormula>F17/$F$12</calculatedColumnFormula>
    </tableColumn>
    <tableColumn id="7" xr3:uid="{972BE46A-CD49-428E-9080-29560C01A787}" name="Voting Power" dataDxfId="12" dataCellStyle="Comma">
      <calculatedColumnFormula>(D17*$E$9)+(E17*$E$10)</calculatedColumnFormula>
    </tableColumn>
    <tableColumn id="8" xr3:uid="{30FF6493-5BB9-4F9D-BA53-3610EF434813}" name="% Voting" dataDxfId="11" dataCellStyle="Percent"/>
    <tableColumn id="11" xr3:uid="{2D2D70F2-C3E8-4FF4-8BB3-163C9B259205}" name="Dividends" dataDxfId="10" dataCellStyle="Comma">
      <calculatedColumnFormula>(Table1[[#This Row],[Class B]]/$F$9*$J$9)+(Table1[[#This Row],[Class A]]/$F$10*$J$10)</calculatedColumnFormula>
    </tableColumn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AA1C13E-FF46-4F5B-AB07-55A033B4932F}" name="Table2" displayName="Table2" ref="B7:J12" totalsRowShown="0">
  <autoFilter ref="B7:J12" xr:uid="{1AF8E275-D6EE-4079-B5DC-0FDB3FE7BC6F}"/>
  <tableColumns count="9">
    <tableColumn id="1" xr3:uid="{7D6EC042-F634-40C8-95BE-1E303E81E234}" name="Shareholder Classification" dataDxfId="9"/>
    <tableColumn id="2" xr3:uid="{5864940F-2745-4315-8610-4846055E0E72}" name="Type"/>
    <tableColumn id="3" xr3:uid="{64430BC6-FC2F-46C8-8B96-69908D250731}" name="Par Value"/>
    <tableColumn id="4" xr3:uid="{243C5D08-7E21-41CF-8ABF-720A3B72F525}" name="Voting Power"/>
    <tableColumn id="5" xr3:uid="{FD800494-A33E-4F63-B35F-C381DD59FF97}" name="Total  Shares" dataDxfId="8" dataCellStyle="Comma"/>
    <tableColumn id="10" xr3:uid="{7AA4D28F-5E5A-4FEB-853C-B94F044AEDDE}" name="Total Voting Power" dataDxfId="7" dataCellStyle="Comma">
      <calculatedColumnFormula>Table2[[#This Row],[Voting Power]]*Table2[[#This Row],[Total  Shares]]</calculatedColumnFormula>
    </tableColumn>
    <tableColumn id="11" xr3:uid="{BFD4B109-AD84-42A8-93DE-ECA486D2CFE6}" name="Voting %" dataDxfId="6" dataCellStyle="Comma">
      <calculatedColumnFormula>Table2[[#This Row],[Total Voting Power]]/$G$12</calculatedColumnFormula>
    </tableColumn>
    <tableColumn id="6" xr3:uid="{56E53998-3B22-41C6-A96C-DA533C36D95C}" name="Dividend Type"/>
    <tableColumn id="7" xr3:uid="{33F5D135-A739-49B5-84EA-A39423F07715}" name="Dividends" dataDxfId="5">
      <calculatedColumnFormula>Table2[[#This Row],[Par Value]]*Table2[[#This Row],[Dividend Type]]*Table2[[#This Row],[Total  Shares]]</calculatedColumnFormula>
    </tableColumn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4686-5E45-4462-A991-0F9292DEFE70}">
  <dimension ref="B1:K36"/>
  <sheetViews>
    <sheetView topLeftCell="A4" workbookViewId="0">
      <selection activeCell="K24" sqref="K24"/>
    </sheetView>
  </sheetViews>
  <sheetFormatPr defaultRowHeight="14.4" x14ac:dyDescent="0.3"/>
  <cols>
    <col min="2" max="2" width="25.44140625" bestFit="1" customWidth="1"/>
    <col min="3" max="3" width="12.21875" bestFit="1" customWidth="1"/>
    <col min="4" max="4" width="12.77734375" bestFit="1" customWidth="1"/>
    <col min="5" max="5" width="13.88671875" bestFit="1" customWidth="1"/>
    <col min="6" max="6" width="13.6640625" bestFit="1" customWidth="1"/>
    <col min="7" max="7" width="18.44140625" bestFit="1" customWidth="1"/>
    <col min="8" max="8" width="13.88671875" bestFit="1" customWidth="1"/>
    <col min="9" max="9" width="14.88671875" bestFit="1" customWidth="1"/>
    <col min="10" max="10" width="12.21875" bestFit="1" customWidth="1"/>
    <col min="11" max="11" width="11.109375" bestFit="1" customWidth="1"/>
  </cols>
  <sheetData>
    <row r="1" spans="2:11" x14ac:dyDescent="0.3">
      <c r="B1" s="66" t="s">
        <v>117</v>
      </c>
      <c r="C1" s="66"/>
      <c r="D1" s="66"/>
      <c r="E1" s="66"/>
      <c r="F1" s="66"/>
      <c r="G1" s="66"/>
      <c r="H1" s="66"/>
      <c r="I1" s="66"/>
      <c r="J1" s="66"/>
    </row>
    <row r="2" spans="2:11" x14ac:dyDescent="0.3">
      <c r="B2" s="45">
        <v>94.95</v>
      </c>
      <c r="C2" s="46"/>
      <c r="D2" s="46"/>
      <c r="E2" s="46"/>
      <c r="F2" s="46"/>
      <c r="G2" s="46"/>
      <c r="H2" s="46"/>
      <c r="I2" s="46"/>
      <c r="J2" s="46"/>
    </row>
    <row r="4" spans="2:11" x14ac:dyDescent="0.3">
      <c r="B4" s="67" t="s">
        <v>151</v>
      </c>
      <c r="C4" s="67"/>
    </row>
    <row r="5" spans="2:11" x14ac:dyDescent="0.3">
      <c r="B5" t="s">
        <v>152</v>
      </c>
      <c r="C5" s="48">
        <v>61547.87383956492</v>
      </c>
    </row>
    <row r="7" spans="2:11" x14ac:dyDescent="0.3"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152</v>
      </c>
    </row>
    <row r="8" spans="2:11" x14ac:dyDescent="0.3">
      <c r="B8" s="40" t="s">
        <v>161</v>
      </c>
      <c r="C8" t="s">
        <v>162</v>
      </c>
      <c r="D8" s="39">
        <v>5</v>
      </c>
      <c r="E8">
        <v>0</v>
      </c>
      <c r="F8" s="49">
        <v>0</v>
      </c>
      <c r="G8" s="49">
        <f>Table2[[#This Row],[Voting Power]]*Table2[[#This Row],[Total  Shares]]</f>
        <v>0</v>
      </c>
      <c r="H8" s="47">
        <f>Table2[[#This Row],[Total Voting Power]]/$G$12</f>
        <v>0</v>
      </c>
      <c r="I8" s="47">
        <v>0.05</v>
      </c>
      <c r="J8" s="39">
        <f>Table2[[#This Row],[Par Value]]*Table2[[#This Row],[Dividend Type]]*Table2[[#This Row],[Total  Shares]]</f>
        <v>0</v>
      </c>
    </row>
    <row r="9" spans="2:11" x14ac:dyDescent="0.3">
      <c r="B9" s="40" t="s">
        <v>163</v>
      </c>
      <c r="C9" t="s">
        <v>164</v>
      </c>
      <c r="D9" s="39">
        <v>1</v>
      </c>
      <c r="E9">
        <v>10</v>
      </c>
      <c r="F9" s="49">
        <v>7778</v>
      </c>
      <c r="G9" s="49">
        <f>Table2[[#This Row],[Voting Power]]*Table2[[#This Row],[Total  Shares]]</f>
        <v>77780</v>
      </c>
      <c r="H9" s="47">
        <f>Table2[[#This Row],[Total Voting Power]]/$G$12</f>
        <v>0.52632291243740692</v>
      </c>
      <c r="I9" t="s">
        <v>165</v>
      </c>
      <c r="J9" s="41">
        <f>($C$5-$J$8)/($F$9+$F$10)*Table2[[#This Row],[Total  Shares]]</f>
        <v>6154.9456494656069</v>
      </c>
    </row>
    <row r="10" spans="2:11" x14ac:dyDescent="0.3">
      <c r="B10" s="40" t="s">
        <v>166</v>
      </c>
      <c r="C10" t="s">
        <v>167</v>
      </c>
      <c r="D10" s="39">
        <v>1</v>
      </c>
      <c r="E10">
        <v>1</v>
      </c>
      <c r="F10" s="49">
        <v>70000</v>
      </c>
      <c r="G10" s="49">
        <f>Table2[[#This Row],[Voting Power]]*Table2[[#This Row],[Total  Shares]]</f>
        <v>70000</v>
      </c>
      <c r="H10" s="47">
        <f>Table2[[#This Row],[Total Voting Power]]/$G$12</f>
        <v>0.47367708756259302</v>
      </c>
      <c r="I10" t="s">
        <v>165</v>
      </c>
      <c r="J10" s="41">
        <f>($C$5-$J$8)/($F$9+$F$10)*Table2[[#This Row],[Total  Shares]]</f>
        <v>55392.928190099316</v>
      </c>
    </row>
    <row r="11" spans="2:11" x14ac:dyDescent="0.3">
      <c r="B11" s="40"/>
      <c r="D11" s="39"/>
      <c r="F11" s="49"/>
      <c r="G11" s="49"/>
      <c r="H11" s="49"/>
      <c r="J11" s="50"/>
    </row>
    <row r="12" spans="2:11" x14ac:dyDescent="0.3">
      <c r="B12" s="40" t="s">
        <v>168</v>
      </c>
      <c r="C12" s="41"/>
      <c r="D12" s="41"/>
      <c r="E12" s="41"/>
      <c r="F12" s="49">
        <f>SUM(F8:F11)</f>
        <v>77778</v>
      </c>
      <c r="G12" s="49">
        <f>SUM(G8:G11)</f>
        <v>147780</v>
      </c>
      <c r="H12" s="47">
        <f>Table2[[#This Row],[Total Voting Power]]/$G$12</f>
        <v>1</v>
      </c>
      <c r="I12" s="41"/>
      <c r="J12" s="41">
        <f>SUM(J8:J11)</f>
        <v>61547.87383956492</v>
      </c>
    </row>
    <row r="13" spans="2:11" x14ac:dyDescent="0.3">
      <c r="F13" s="49"/>
      <c r="H13" s="41"/>
    </row>
    <row r="14" spans="2:11" x14ac:dyDescent="0.3">
      <c r="F14" s="49"/>
      <c r="H14" s="41"/>
      <c r="K14" s="47"/>
    </row>
    <row r="16" spans="2:11" x14ac:dyDescent="0.3">
      <c r="B16" t="s">
        <v>169</v>
      </c>
      <c r="C16" t="s">
        <v>161</v>
      </c>
      <c r="D16" t="s">
        <v>163</v>
      </c>
      <c r="E16" t="s">
        <v>166</v>
      </c>
      <c r="F16" t="s">
        <v>170</v>
      </c>
      <c r="G16" t="s">
        <v>171</v>
      </c>
      <c r="H16" t="s">
        <v>156</v>
      </c>
      <c r="I16" t="s">
        <v>172</v>
      </c>
      <c r="J16" t="s">
        <v>152</v>
      </c>
    </row>
    <row r="17" spans="2:10" x14ac:dyDescent="0.3">
      <c r="B17" t="s">
        <v>173</v>
      </c>
      <c r="C17" s="49">
        <v>0</v>
      </c>
      <c r="D17" s="49">
        <v>0</v>
      </c>
      <c r="E17" s="49">
        <v>0</v>
      </c>
      <c r="F17" s="49">
        <f>SUM(C17:E17)</f>
        <v>0</v>
      </c>
      <c r="G17" s="47">
        <f>F17/$F$12</f>
        <v>0</v>
      </c>
      <c r="H17" s="49">
        <f>(D17*$E$9)+(E17*$E$10)</f>
        <v>0</v>
      </c>
      <c r="I17" s="47">
        <f>H17/$H$29</f>
        <v>0</v>
      </c>
      <c r="J17" s="39">
        <f>(Table1[[#This Row],[Class B]]/$F$9*$J$9)+(Table1[[#This Row],[Class A]]/$F$10*$J$10)</f>
        <v>0</v>
      </c>
    </row>
    <row r="18" spans="2:10" x14ac:dyDescent="0.3">
      <c r="B18" t="s">
        <v>174</v>
      </c>
      <c r="C18" s="49">
        <v>0</v>
      </c>
      <c r="D18" s="49">
        <v>3889</v>
      </c>
      <c r="E18" s="49">
        <v>30000</v>
      </c>
      <c r="F18" s="49">
        <f>SUM(C18:E18)</f>
        <v>33889</v>
      </c>
      <c r="G18" s="47">
        <f>F18/$F$12</f>
        <v>0.4357144693872303</v>
      </c>
      <c r="H18" s="49">
        <f>(D18*$E$9)+(E18*$E$10)</f>
        <v>68890</v>
      </c>
      <c r="I18" s="47">
        <f>H18/$H$29</f>
        <v>0.46616592231695764</v>
      </c>
      <c r="J18" s="39">
        <f>(Table1[[#This Row],[Class B]]/$F$9*$J$9)+(Table1[[#This Row],[Class A]]/$F$10*$J$10)</f>
        <v>26817.29919191822</v>
      </c>
    </row>
    <row r="19" spans="2:10" x14ac:dyDescent="0.3">
      <c r="B19" t="s">
        <v>176</v>
      </c>
      <c r="C19" s="49">
        <v>0</v>
      </c>
      <c r="D19" s="49">
        <v>3889</v>
      </c>
      <c r="E19" s="49">
        <v>30000</v>
      </c>
      <c r="F19" s="49">
        <f>SUM(C19:E19)</f>
        <v>33889</v>
      </c>
      <c r="G19" s="47">
        <f>F19/$F$12</f>
        <v>0.4357144693872303</v>
      </c>
      <c r="H19" s="49">
        <f>(D19*$E$9)+(E19*$E$10)</f>
        <v>68890</v>
      </c>
      <c r="I19" s="47">
        <f>H19/$H$29</f>
        <v>0.46616592231695764</v>
      </c>
      <c r="J19" s="39">
        <f>(Table1[[#This Row],[Class B]]/$F$9*$J$9)+(Table1[[#This Row],[Class A]]/$F$10*$J$10)</f>
        <v>26817.29919191822</v>
      </c>
    </row>
    <row r="20" spans="2:10" x14ac:dyDescent="0.3">
      <c r="B20" t="s">
        <v>175</v>
      </c>
      <c r="C20" s="49">
        <v>0</v>
      </c>
      <c r="D20" s="49">
        <v>0</v>
      </c>
      <c r="E20" s="49">
        <v>4515</v>
      </c>
      <c r="F20" s="49">
        <f>SUM(C20:E20)</f>
        <v>4515</v>
      </c>
      <c r="G20" s="47">
        <f>F20/$F$12</f>
        <v>5.8049834143331022E-2</v>
      </c>
      <c r="H20" s="49">
        <f>(D20*$E$9)+(E20*$E$10)</f>
        <v>4515</v>
      </c>
      <c r="I20" s="47">
        <f>H20/$H$29</f>
        <v>3.055217214778725E-2</v>
      </c>
      <c r="J20" s="39">
        <f>(Table1[[#This Row],[Class B]]/$F$9*$J$9)+(Table1[[#This Row],[Class A]]/$F$10*$J$10)</f>
        <v>3572.843868261406</v>
      </c>
    </row>
    <row r="21" spans="2:10" x14ac:dyDescent="0.3">
      <c r="B21" t="s">
        <v>194</v>
      </c>
      <c r="C21" s="49">
        <v>0</v>
      </c>
      <c r="D21" s="49">
        <v>0</v>
      </c>
      <c r="E21" s="49">
        <v>3980</v>
      </c>
      <c r="F21" s="49">
        <f t="shared" ref="F21:F27" si="0">SUM(C21:E21)</f>
        <v>3980</v>
      </c>
      <c r="G21" s="47">
        <f t="shared" ref="G21:G25" si="1">F21/$F$12</f>
        <v>5.1171282367764664E-2</v>
      </c>
      <c r="H21" s="49">
        <f t="shared" ref="H21:H25" si="2">(D21*$E$9)+(E21*$E$10)</f>
        <v>3980</v>
      </c>
      <c r="I21" s="47">
        <f t="shared" ref="I21:I27" si="3">H21/$H$29</f>
        <v>2.6931925835701719E-2</v>
      </c>
      <c r="J21" s="39">
        <f>(Table1[[#This Row],[Class B]]/$F$9*$J$9)+(Table1[[#This Row],[Class A]]/$F$10*$J$10)</f>
        <v>3149.4836313799324</v>
      </c>
    </row>
    <row r="22" spans="2:10" x14ac:dyDescent="0.3">
      <c r="B22" t="s">
        <v>195</v>
      </c>
      <c r="C22" s="49">
        <v>0</v>
      </c>
      <c r="D22" s="49">
        <v>0</v>
      </c>
      <c r="E22" s="49">
        <v>600</v>
      </c>
      <c r="F22" s="49">
        <f t="shared" si="0"/>
        <v>600</v>
      </c>
      <c r="G22" s="47">
        <f t="shared" si="1"/>
        <v>7.7142636735323617E-3</v>
      </c>
      <c r="H22" s="49">
        <f t="shared" si="2"/>
        <v>600</v>
      </c>
      <c r="I22" s="47">
        <f t="shared" si="3"/>
        <v>4.0600893219650833E-3</v>
      </c>
      <c r="J22" s="39">
        <f>(Table1[[#This Row],[Class B]]/$F$9*$J$9)+(Table1[[#This Row],[Class A]]/$F$10*$J$10)</f>
        <v>474.79652734370842</v>
      </c>
    </row>
    <row r="23" spans="2:10" x14ac:dyDescent="0.3">
      <c r="B23" t="s">
        <v>196</v>
      </c>
      <c r="C23" s="49">
        <v>0</v>
      </c>
      <c r="D23" s="49">
        <v>0</v>
      </c>
      <c r="E23" s="49">
        <v>500</v>
      </c>
      <c r="F23" s="49">
        <f t="shared" si="0"/>
        <v>500</v>
      </c>
      <c r="G23" s="47">
        <f t="shared" si="1"/>
        <v>6.4285530612769679E-3</v>
      </c>
      <c r="H23" s="49">
        <f t="shared" si="2"/>
        <v>500</v>
      </c>
      <c r="I23" s="47">
        <f t="shared" si="3"/>
        <v>3.3834077683042359E-3</v>
      </c>
      <c r="J23" s="39">
        <f>(Table1[[#This Row],[Class B]]/$F$9*$J$9)+(Table1[[#This Row],[Class A]]/$F$10*$J$10)</f>
        <v>395.66377278642369</v>
      </c>
    </row>
    <row r="24" spans="2:10" x14ac:dyDescent="0.3">
      <c r="B24" t="s">
        <v>197</v>
      </c>
      <c r="C24" s="49">
        <v>0</v>
      </c>
      <c r="D24" s="49">
        <v>0</v>
      </c>
      <c r="E24" s="49">
        <v>285</v>
      </c>
      <c r="F24" s="49">
        <f t="shared" si="0"/>
        <v>285</v>
      </c>
      <c r="G24" s="47">
        <f t="shared" si="1"/>
        <v>3.6642752449278716E-3</v>
      </c>
      <c r="H24" s="49">
        <f t="shared" si="2"/>
        <v>285</v>
      </c>
      <c r="I24" s="47">
        <f t="shared" si="3"/>
        <v>1.9285424279334145E-3</v>
      </c>
      <c r="J24" s="39">
        <f>(Table1[[#This Row],[Class B]]/$F$9*$J$9)+(Table1[[#This Row],[Class A]]/$F$10*$J$10)</f>
        <v>225.52835048826148</v>
      </c>
    </row>
    <row r="25" spans="2:10" x14ac:dyDescent="0.3">
      <c r="B25" t="s">
        <v>198</v>
      </c>
      <c r="C25" s="49">
        <v>0</v>
      </c>
      <c r="D25" s="49">
        <v>0</v>
      </c>
      <c r="E25" s="49">
        <v>50</v>
      </c>
      <c r="F25" s="49">
        <f t="shared" si="0"/>
        <v>50</v>
      </c>
      <c r="G25" s="47">
        <f t="shared" si="1"/>
        <v>6.4285530612769677E-4</v>
      </c>
      <c r="H25" s="49">
        <f t="shared" si="2"/>
        <v>50</v>
      </c>
      <c r="I25" s="47">
        <f t="shared" si="3"/>
        <v>3.3834077683042363E-4</v>
      </c>
      <c r="J25" s="39">
        <f>(Table1[[#This Row],[Class B]]/$F$9*$J$9)+(Table1[[#This Row],[Class A]]/$F$10*$J$10)</f>
        <v>39.566377278642371</v>
      </c>
    </row>
    <row r="26" spans="2:10" x14ac:dyDescent="0.3">
      <c r="B26" t="s">
        <v>199</v>
      </c>
      <c r="C26" s="49">
        <v>0</v>
      </c>
      <c r="D26" s="49">
        <v>0</v>
      </c>
      <c r="E26" s="49">
        <v>50</v>
      </c>
      <c r="F26" s="49">
        <f t="shared" si="0"/>
        <v>50</v>
      </c>
      <c r="G26" s="47">
        <f>F26/$F$12</f>
        <v>6.4285530612769677E-4</v>
      </c>
      <c r="H26" s="49">
        <f>(D26*$E$9)+(E26*$E$10)</f>
        <v>50</v>
      </c>
      <c r="I26" s="47">
        <f t="shared" si="3"/>
        <v>3.3834077683042363E-4</v>
      </c>
      <c r="J26" s="39">
        <f>(Table1[[#This Row],[Class B]]/$F$9*$J$9)+(Table1[[#This Row],[Class A]]/$F$10*$J$10)</f>
        <v>39.566377278642371</v>
      </c>
    </row>
    <row r="27" spans="2:10" x14ac:dyDescent="0.3">
      <c r="B27" t="s">
        <v>200</v>
      </c>
      <c r="C27" s="49">
        <v>0</v>
      </c>
      <c r="D27" s="49">
        <v>0</v>
      </c>
      <c r="E27" s="49">
        <v>20</v>
      </c>
      <c r="F27" s="49">
        <f t="shared" si="0"/>
        <v>20</v>
      </c>
      <c r="G27" s="47">
        <f>F27/$F$12</f>
        <v>2.5714212245107871E-4</v>
      </c>
      <c r="H27" s="49">
        <f>(D27*$E$9)+(E27*$E$10)</f>
        <v>20</v>
      </c>
      <c r="I27" s="47">
        <f t="shared" si="3"/>
        <v>1.3533631073216944E-4</v>
      </c>
      <c r="J27" s="39">
        <f>(Table1[[#This Row],[Class B]]/$F$9*$J$9)+(Table1[[#This Row],[Class A]]/$F$10*$J$10)</f>
        <v>15.826550911456948</v>
      </c>
    </row>
    <row r="28" spans="2:10" x14ac:dyDescent="0.3">
      <c r="C28" s="49"/>
      <c r="D28" s="49"/>
      <c r="E28" s="49"/>
      <c r="F28" s="49"/>
      <c r="G28" s="47"/>
      <c r="H28" s="49"/>
      <c r="I28" s="47"/>
      <c r="J28" s="49">
        <f>(Table1[[#This Row],[Class B]]/$F$9*$J$9)+(Table1[[#This Row],[Class A]]/$F$10*$J$10)</f>
        <v>0</v>
      </c>
    </row>
    <row r="29" spans="2:10" x14ac:dyDescent="0.3">
      <c r="B29" t="s">
        <v>168</v>
      </c>
      <c r="C29" s="49">
        <f>SUM(C17:C28)</f>
        <v>0</v>
      </c>
      <c r="D29" s="49">
        <f>SUM(D17:D28)</f>
        <v>7778</v>
      </c>
      <c r="E29" s="49">
        <f>SUM(E17:E28)</f>
        <v>70000</v>
      </c>
      <c r="F29" s="49">
        <f>SUM(F17:F28)</f>
        <v>77778</v>
      </c>
      <c r="G29" s="47">
        <f>F29/$F$12</f>
        <v>1</v>
      </c>
      <c r="H29" s="49">
        <f>(D29*$E$9)+(E29*$E$10)</f>
        <v>147780</v>
      </c>
      <c r="I29" s="47">
        <f>SUM(I17:I28)</f>
        <v>0.99999999999999989</v>
      </c>
      <c r="J29" s="39">
        <f>SUM(J17:J20)</f>
        <v>57207.442252097848</v>
      </c>
    </row>
    <row r="33" spans="5:6" x14ac:dyDescent="0.3">
      <c r="F33" s="51"/>
    </row>
    <row r="36" spans="5:6" x14ac:dyDescent="0.3">
      <c r="E36" s="51"/>
    </row>
  </sheetData>
  <mergeCells count="2">
    <mergeCell ref="B1:J1"/>
    <mergeCell ref="B4:C4"/>
  </mergeCells>
  <pageMargins left="0.7" right="0.7" top="0.75" bottom="0.75" header="0.3" footer="0.3"/>
  <ignoredErrors>
    <ignoredError sqref="J9 J10:J12 J29 G12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E103-7A9E-45C0-837C-69F9FFCB2122}">
  <sheetPr>
    <outlinePr summaryBelow="0" summaryRight="0"/>
  </sheetPr>
  <dimension ref="B1:E58"/>
  <sheetViews>
    <sheetView tabSelected="1" topLeftCell="A34" workbookViewId="0">
      <selection activeCell="C52" sqref="C52"/>
    </sheetView>
  </sheetViews>
  <sheetFormatPr defaultColWidth="9.109375" defaultRowHeight="15" customHeight="1" outlineLevelRow="3" x14ac:dyDescent="0.25"/>
  <cols>
    <col min="1" max="1" width="9.109375" style="1"/>
    <col min="2" max="2" width="51.33203125" style="1" customWidth="1"/>
    <col min="3" max="5" width="10.109375" style="1" bestFit="1" customWidth="1"/>
    <col min="6" max="16384" width="9.109375" style="1"/>
  </cols>
  <sheetData>
    <row r="1" spans="2:5" ht="15" customHeight="1" x14ac:dyDescent="0.3">
      <c r="B1" s="68" t="s">
        <v>117</v>
      </c>
      <c r="C1" s="69"/>
      <c r="D1" s="44"/>
      <c r="E1" s="44"/>
    </row>
    <row r="2" spans="2:5" ht="15" customHeight="1" x14ac:dyDescent="0.3">
      <c r="B2" s="45">
        <f>Shareholders!B2</f>
        <v>94.95</v>
      </c>
    </row>
    <row r="3" spans="2:5" ht="15" customHeight="1" x14ac:dyDescent="0.25">
      <c r="B3" s="23"/>
      <c r="C3" s="23"/>
      <c r="D3" s="23"/>
      <c r="E3" s="23"/>
    </row>
    <row r="5" spans="2:5" ht="15" customHeight="1" x14ac:dyDescent="0.25">
      <c r="B5" s="22" t="s">
        <v>118</v>
      </c>
      <c r="C5" s="22"/>
      <c r="D5" s="22"/>
      <c r="E5" s="22"/>
    </row>
    <row r="6" spans="2:5" ht="15" customHeight="1" x14ac:dyDescent="0.25">
      <c r="B6" s="22" t="s">
        <v>119</v>
      </c>
      <c r="C6" s="22"/>
      <c r="D6" s="22"/>
      <c r="E6" s="22"/>
    </row>
    <row r="7" spans="2:5" ht="15" customHeight="1" x14ac:dyDescent="0.25">
      <c r="B7" s="22"/>
      <c r="C7" s="29">
        <v>45869</v>
      </c>
      <c r="D7" s="29">
        <v>45838</v>
      </c>
      <c r="E7" s="29">
        <v>45808</v>
      </c>
    </row>
    <row r="8" spans="2:5" ht="15" customHeight="1" x14ac:dyDescent="0.25">
      <c r="B8" s="9" t="s">
        <v>42</v>
      </c>
      <c r="C8" s="18">
        <f>SUM(C9:C13)</f>
        <v>731866.99786668119</v>
      </c>
      <c r="D8" s="18">
        <f>SUM(D9:D13)</f>
        <v>721424.88990986708</v>
      </c>
      <c r="E8" s="18">
        <f>SUM(E9:E13)</f>
        <v>0</v>
      </c>
    </row>
    <row r="9" spans="2:5" ht="15" customHeight="1" outlineLevel="1" x14ac:dyDescent="0.25">
      <c r="B9" s="13" t="s">
        <v>41</v>
      </c>
      <c r="C9" s="31">
        <v>443401.94445615966</v>
      </c>
      <c r="D9" s="31">
        <v>668772.55990986712</v>
      </c>
      <c r="E9" s="31">
        <v>0</v>
      </c>
    </row>
    <row r="10" spans="2:5" ht="15" customHeight="1" outlineLevel="1" x14ac:dyDescent="0.25">
      <c r="B10" s="16" t="s">
        <v>40</v>
      </c>
      <c r="C10" s="31">
        <v>7449</v>
      </c>
      <c r="D10" s="31">
        <v>0</v>
      </c>
      <c r="E10" s="31">
        <v>0</v>
      </c>
    </row>
    <row r="11" spans="2:5" ht="15" customHeight="1" outlineLevel="1" x14ac:dyDescent="0.25">
      <c r="B11" s="13" t="s">
        <v>39</v>
      </c>
      <c r="C11" s="31">
        <v>0</v>
      </c>
      <c r="D11" s="31">
        <v>0</v>
      </c>
      <c r="E11" s="31">
        <v>0</v>
      </c>
    </row>
    <row r="12" spans="2:5" ht="15" customHeight="1" outlineLevel="1" x14ac:dyDescent="0.25">
      <c r="B12" s="16" t="s">
        <v>38</v>
      </c>
      <c r="C12" s="31">
        <v>19468.179570956621</v>
      </c>
      <c r="D12" s="31">
        <v>0</v>
      </c>
      <c r="E12" s="31">
        <v>0</v>
      </c>
    </row>
    <row r="13" spans="2:5" ht="15" customHeight="1" outlineLevel="1" x14ac:dyDescent="0.25">
      <c r="B13" s="8" t="s">
        <v>37</v>
      </c>
      <c r="C13" s="7">
        <f>SUM(C14:C14)</f>
        <v>261547.87383956491</v>
      </c>
      <c r="D13" s="7">
        <f>SUM(D14:D14)</f>
        <v>52652.329999999994</v>
      </c>
      <c r="E13" s="7">
        <f>SUM(E14:E14)</f>
        <v>0</v>
      </c>
    </row>
    <row r="14" spans="2:5" ht="15" customHeight="1" outlineLevel="2" x14ac:dyDescent="0.25">
      <c r="B14" s="6" t="s">
        <v>36</v>
      </c>
      <c r="C14" s="31">
        <v>261547.87383956491</v>
      </c>
      <c r="D14" s="31">
        <v>52652.329999999994</v>
      </c>
      <c r="E14" s="31">
        <v>0</v>
      </c>
    </row>
    <row r="15" spans="2:5" ht="15" customHeight="1" x14ac:dyDescent="0.25">
      <c r="B15" s="17" t="s">
        <v>35</v>
      </c>
      <c r="C15" s="7">
        <f>C16+C17+C20+C21</f>
        <v>210978.41394595656</v>
      </c>
      <c r="D15" s="7">
        <f>D16+D17+D20+D21</f>
        <v>435405.58627884643</v>
      </c>
      <c r="E15" s="7">
        <f>E16+E17+E20+E21</f>
        <v>0</v>
      </c>
    </row>
    <row r="16" spans="2:5" ht="15" customHeight="1" outlineLevel="1" x14ac:dyDescent="0.25">
      <c r="B16" s="16" t="s">
        <v>34</v>
      </c>
      <c r="C16" s="31">
        <v>13750</v>
      </c>
      <c r="D16" s="31">
        <v>7600</v>
      </c>
      <c r="E16" s="31">
        <v>0</v>
      </c>
    </row>
    <row r="17" spans="2:5" ht="15" customHeight="1" outlineLevel="1" x14ac:dyDescent="0.25">
      <c r="B17" s="8" t="s">
        <v>0</v>
      </c>
      <c r="C17" s="7">
        <f>SUM(C18:C19)</f>
        <v>10565</v>
      </c>
      <c r="D17" s="7">
        <f>SUM(D18:D19)</f>
        <v>0</v>
      </c>
      <c r="E17" s="7">
        <f>SUM(E18:E19)</f>
        <v>0</v>
      </c>
    </row>
    <row r="18" spans="2:5" ht="15" customHeight="1" outlineLevel="2" x14ac:dyDescent="0.25">
      <c r="B18" s="6" t="s">
        <v>33</v>
      </c>
      <c r="C18" s="31">
        <v>10565</v>
      </c>
      <c r="D18" s="31">
        <v>0</v>
      </c>
      <c r="E18" s="31">
        <v>0</v>
      </c>
    </row>
    <row r="19" spans="2:5" ht="15" customHeight="1" outlineLevel="2" x14ac:dyDescent="0.25">
      <c r="B19" s="4" t="s">
        <v>32</v>
      </c>
      <c r="C19" s="31">
        <v>0</v>
      </c>
      <c r="D19" s="31">
        <v>0</v>
      </c>
      <c r="E19" s="31">
        <v>0</v>
      </c>
    </row>
    <row r="20" spans="2:5" ht="15" customHeight="1" outlineLevel="1" x14ac:dyDescent="0.25">
      <c r="B20" s="16" t="s">
        <v>31</v>
      </c>
      <c r="C20" s="31">
        <v>186663.41394595656</v>
      </c>
      <c r="D20" s="31">
        <v>427805.58627884643</v>
      </c>
      <c r="E20" s="31">
        <v>0</v>
      </c>
    </row>
    <row r="21" spans="2:5" ht="15" customHeight="1" outlineLevel="1" x14ac:dyDescent="0.25">
      <c r="B21" s="13" t="s">
        <v>30</v>
      </c>
      <c r="C21" s="31">
        <v>0</v>
      </c>
      <c r="D21" s="31">
        <v>0</v>
      </c>
      <c r="E21" s="31">
        <v>0</v>
      </c>
    </row>
    <row r="22" spans="2:5" ht="15" customHeight="1" x14ac:dyDescent="0.25">
      <c r="B22" s="9" t="s">
        <v>29</v>
      </c>
      <c r="C22" s="18">
        <f>C8-C15</f>
        <v>520888.58392072463</v>
      </c>
      <c r="D22" s="18">
        <f>D8-D15</f>
        <v>286019.30363102065</v>
      </c>
      <c r="E22" s="18">
        <f>E8-E15</f>
        <v>0</v>
      </c>
    </row>
    <row r="23" spans="2:5" ht="15" customHeight="1" outlineLevel="1" x14ac:dyDescent="0.25">
      <c r="B23" s="8" t="s">
        <v>28</v>
      </c>
      <c r="C23" s="7">
        <f>C24+C26</f>
        <v>0</v>
      </c>
      <c r="D23" s="7">
        <f>D24+D26</f>
        <v>0</v>
      </c>
      <c r="E23" s="7">
        <f>E24+E26</f>
        <v>0</v>
      </c>
    </row>
    <row r="24" spans="2:5" ht="15" customHeight="1" outlineLevel="2" x14ac:dyDescent="0.25">
      <c r="B24" s="6" t="s">
        <v>27</v>
      </c>
      <c r="C24" s="31">
        <v>0</v>
      </c>
      <c r="D24" s="31">
        <v>0</v>
      </c>
      <c r="E24" s="31">
        <v>0</v>
      </c>
    </row>
    <row r="25" spans="2:5" ht="15" customHeight="1" outlineLevel="2" x14ac:dyDescent="0.25">
      <c r="B25" s="4" t="s">
        <v>26</v>
      </c>
      <c r="C25" s="31">
        <v>12500</v>
      </c>
      <c r="D25" s="31">
        <v>5000</v>
      </c>
      <c r="E25" s="31">
        <v>0</v>
      </c>
    </row>
    <row r="26" spans="2:5" ht="15" customHeight="1" outlineLevel="2" x14ac:dyDescent="0.25">
      <c r="B26" s="6" t="s">
        <v>25</v>
      </c>
      <c r="C26" s="31">
        <v>0</v>
      </c>
      <c r="D26" s="31">
        <v>0</v>
      </c>
      <c r="E26" s="31">
        <v>0</v>
      </c>
    </row>
    <row r="27" spans="2:5" ht="15" customHeight="1" outlineLevel="1" x14ac:dyDescent="0.25">
      <c r="B27" s="8" t="s">
        <v>24</v>
      </c>
      <c r="C27" s="7">
        <f t="shared" ref="C27:E28" si="0">C28</f>
        <v>0</v>
      </c>
      <c r="D27" s="7">
        <f t="shared" si="0"/>
        <v>0</v>
      </c>
      <c r="E27" s="7">
        <f t="shared" si="0"/>
        <v>0</v>
      </c>
    </row>
    <row r="28" spans="2:5" ht="15" customHeight="1" outlineLevel="2" x14ac:dyDescent="0.25">
      <c r="B28" s="21" t="s">
        <v>23</v>
      </c>
      <c r="C28" s="33">
        <f t="shared" si="0"/>
        <v>0</v>
      </c>
      <c r="D28" s="33">
        <f t="shared" si="0"/>
        <v>0</v>
      </c>
      <c r="E28" s="33">
        <f t="shared" si="0"/>
        <v>0</v>
      </c>
    </row>
    <row r="29" spans="2:5" ht="15" customHeight="1" outlineLevel="3" x14ac:dyDescent="0.25">
      <c r="B29" s="20" t="s">
        <v>22</v>
      </c>
      <c r="C29" s="31">
        <v>0</v>
      </c>
      <c r="D29" s="31">
        <v>0</v>
      </c>
      <c r="E29" s="31">
        <v>0</v>
      </c>
    </row>
    <row r="30" spans="2:5" ht="15" customHeight="1" x14ac:dyDescent="0.25">
      <c r="B30" s="9" t="s">
        <v>21</v>
      </c>
      <c r="C30" s="18">
        <f>C22+C23-C25</f>
        <v>508388.58392072463</v>
      </c>
      <c r="D30" s="18">
        <f>D22+D23-D25</f>
        <v>281019.30363102065</v>
      </c>
      <c r="E30" s="18">
        <f>E22+E23-E25</f>
        <v>0</v>
      </c>
    </row>
    <row r="31" spans="2:5" ht="15" customHeight="1" outlineLevel="1" x14ac:dyDescent="0.25">
      <c r="B31" s="8" t="s">
        <v>20</v>
      </c>
      <c r="C31" s="7">
        <f>SUM(C32:C35)</f>
        <v>19720</v>
      </c>
      <c r="D31" s="7">
        <f>SUM(D32:D35)</f>
        <v>39840</v>
      </c>
      <c r="E31" s="7">
        <f>SUM(E32:E35)</f>
        <v>0</v>
      </c>
    </row>
    <row r="32" spans="2:5" ht="15" customHeight="1" outlineLevel="2" x14ac:dyDescent="0.25">
      <c r="B32" s="6" t="s">
        <v>19</v>
      </c>
      <c r="C32" s="31">
        <v>0</v>
      </c>
      <c r="D32" s="31">
        <v>18240</v>
      </c>
      <c r="E32" s="31">
        <v>0</v>
      </c>
    </row>
    <row r="33" spans="2:5" ht="15" customHeight="1" outlineLevel="2" x14ac:dyDescent="0.25">
      <c r="B33" s="4" t="s">
        <v>18</v>
      </c>
      <c r="C33" s="31">
        <v>19720</v>
      </c>
      <c r="D33" s="31">
        <v>21600</v>
      </c>
      <c r="E33" s="31">
        <v>0</v>
      </c>
    </row>
    <row r="34" spans="2:5" ht="15" customHeight="1" outlineLevel="2" x14ac:dyDescent="0.25">
      <c r="B34" s="6" t="s">
        <v>17</v>
      </c>
      <c r="C34" s="31">
        <v>0</v>
      </c>
      <c r="D34" s="31">
        <v>0</v>
      </c>
      <c r="E34" s="31">
        <v>0</v>
      </c>
    </row>
    <row r="35" spans="2:5" ht="15" customHeight="1" outlineLevel="2" x14ac:dyDescent="0.25">
      <c r="B35" s="4" t="s">
        <v>16</v>
      </c>
      <c r="C35" s="31">
        <v>0</v>
      </c>
      <c r="D35" s="31">
        <v>0</v>
      </c>
      <c r="E35" s="31">
        <v>0</v>
      </c>
    </row>
    <row r="36" spans="2:5" ht="15" customHeight="1" x14ac:dyDescent="0.25">
      <c r="B36" s="9" t="s">
        <v>15</v>
      </c>
      <c r="C36" s="18">
        <f>C30-C31</f>
        <v>488668.58392072463</v>
      </c>
      <c r="D36" s="18">
        <f>D30-D31</f>
        <v>241179.30363102065</v>
      </c>
      <c r="E36" s="18">
        <f>E30-E31</f>
        <v>0</v>
      </c>
    </row>
    <row r="37" spans="2:5" ht="15" customHeight="1" outlineLevel="1" x14ac:dyDescent="0.25">
      <c r="B37" s="13" t="s">
        <v>14</v>
      </c>
      <c r="C37" s="31">
        <v>0</v>
      </c>
      <c r="D37" s="31">
        <v>0</v>
      </c>
      <c r="E37" s="31">
        <v>0</v>
      </c>
    </row>
    <row r="38" spans="2:5" ht="15" customHeight="1" x14ac:dyDescent="0.25">
      <c r="B38" s="9" t="s">
        <v>13</v>
      </c>
      <c r="C38" s="18">
        <f>C36-C37</f>
        <v>488668.58392072463</v>
      </c>
      <c r="D38" s="18">
        <f>D36-D37</f>
        <v>241179.30363102065</v>
      </c>
      <c r="E38" s="18">
        <f>E36-E37</f>
        <v>0</v>
      </c>
    </row>
    <row r="39" spans="2:5" ht="15" customHeight="1" outlineLevel="1" x14ac:dyDescent="0.25">
      <c r="B39" s="13" t="s">
        <v>12</v>
      </c>
      <c r="C39" s="31">
        <v>0</v>
      </c>
      <c r="D39" s="31">
        <v>0</v>
      </c>
      <c r="E39" s="31">
        <v>0</v>
      </c>
    </row>
    <row r="40" spans="2:5" ht="15" customHeight="1" outlineLevel="1" x14ac:dyDescent="0.25">
      <c r="B40" s="13" t="s">
        <v>98</v>
      </c>
      <c r="C40" s="31">
        <v>61547.87383956492</v>
      </c>
      <c r="D40" s="31">
        <v>52652.329999999994</v>
      </c>
      <c r="E40" s="31">
        <v>0</v>
      </c>
    </row>
    <row r="41" spans="2:5" ht="15" customHeight="1" outlineLevel="1" x14ac:dyDescent="0.25">
      <c r="B41" s="16" t="s">
        <v>11</v>
      </c>
      <c r="C41" s="5">
        <f>C38-C39</f>
        <v>488668.58392072463</v>
      </c>
      <c r="D41" s="5">
        <f>D38-D39</f>
        <v>241179.30363102065</v>
      </c>
      <c r="E41" s="5">
        <f>E38-E39</f>
        <v>0</v>
      </c>
    </row>
    <row r="42" spans="2:5" ht="15" customHeight="1" x14ac:dyDescent="0.25">
      <c r="B42" s="17" t="s">
        <v>10</v>
      </c>
      <c r="C42" s="17"/>
      <c r="D42" s="17"/>
      <c r="E42" s="17"/>
    </row>
    <row r="43" spans="2:5" ht="15" customHeight="1" x14ac:dyDescent="0.25">
      <c r="B43" s="8" t="s">
        <v>9</v>
      </c>
      <c r="C43" s="15">
        <f>C41/C44</f>
        <v>6.2828638422269103</v>
      </c>
      <c r="D43" s="15">
        <f>D41/D44</f>
        <v>3.617725731722627</v>
      </c>
      <c r="E43" s="15">
        <f>E41/E44</f>
        <v>0</v>
      </c>
    </row>
    <row r="44" spans="2:5" ht="15" customHeight="1" outlineLevel="1" x14ac:dyDescent="0.25">
      <c r="B44" s="6" t="s">
        <v>8</v>
      </c>
      <c r="C44" s="32">
        <v>77778</v>
      </c>
      <c r="D44" s="32">
        <v>66666</v>
      </c>
      <c r="E44" s="32">
        <v>66666</v>
      </c>
    </row>
    <row r="45" spans="2:5" ht="15" customHeight="1" outlineLevel="1" x14ac:dyDescent="0.25">
      <c r="B45" s="4" t="s">
        <v>5</v>
      </c>
      <c r="C45" s="10">
        <f>C44</f>
        <v>77778</v>
      </c>
      <c r="D45" s="10">
        <f>D44</f>
        <v>66666</v>
      </c>
      <c r="E45" s="10">
        <f>E44</f>
        <v>66666</v>
      </c>
    </row>
    <row r="46" spans="2:5" ht="15" customHeight="1" x14ac:dyDescent="0.25">
      <c r="B46" s="8" t="s">
        <v>177</v>
      </c>
      <c r="C46" s="15">
        <f>C41/C47</f>
        <v>6.9442743203172466</v>
      </c>
      <c r="D46" s="15">
        <f t="shared" ref="D46:E46" si="1">D41/D47</f>
        <v>3.4273028795086065</v>
      </c>
      <c r="E46" s="15">
        <f t="shared" si="1"/>
        <v>0</v>
      </c>
    </row>
    <row r="47" spans="2:5" ht="15" customHeight="1" outlineLevel="1" x14ac:dyDescent="0.25">
      <c r="B47" s="4" t="s">
        <v>178</v>
      </c>
      <c r="C47" s="10">
        <f>AVERAGE(C45:E45)</f>
        <v>70370</v>
      </c>
      <c r="D47" s="10">
        <f>AVERAGE(C45:E45)</f>
        <v>70370</v>
      </c>
      <c r="E47" s="10">
        <f>AVERAGE(C45:E45)</f>
        <v>70370</v>
      </c>
    </row>
    <row r="48" spans="2:5" ht="15" customHeight="1" x14ac:dyDescent="0.25">
      <c r="B48" s="12" t="s">
        <v>7</v>
      </c>
      <c r="C48" s="11">
        <f>C41/C49</f>
        <v>1.7528950775194765</v>
      </c>
      <c r="D48" s="11">
        <f>D41/D49</f>
        <v>3.617725731722627</v>
      </c>
      <c r="E48" s="11">
        <f>E41/E49</f>
        <v>0</v>
      </c>
    </row>
    <row r="49" spans="2:5" ht="15" customHeight="1" outlineLevel="1" x14ac:dyDescent="0.25">
      <c r="B49" s="4" t="s">
        <v>6</v>
      </c>
      <c r="C49" s="32">
        <v>278778</v>
      </c>
      <c r="D49" s="32">
        <v>66666</v>
      </c>
      <c r="E49" s="32">
        <v>66666</v>
      </c>
    </row>
    <row r="50" spans="2:5" ht="15" customHeight="1" outlineLevel="1" x14ac:dyDescent="0.25">
      <c r="B50" s="6" t="s">
        <v>5</v>
      </c>
      <c r="C50" s="14">
        <f>C45</f>
        <v>77778</v>
      </c>
      <c r="D50" s="14">
        <f>D45</f>
        <v>66666</v>
      </c>
      <c r="E50" s="14">
        <f>E45</f>
        <v>66666</v>
      </c>
    </row>
    <row r="51" spans="2:5" ht="15" customHeight="1" x14ac:dyDescent="0.25">
      <c r="B51" s="13" t="s">
        <v>179</v>
      </c>
      <c r="C51" s="14" cm="1">
        <f t="array" ref="C51">INDEX(LINEST(C43:D43,D43:E43, TRUE, FALSE), 1)</f>
        <v>0.73668882279675818</v>
      </c>
      <c r="D51" s="14" cm="1">
        <f t="array" ref="D51">INDEX(LINEST(D43:D43,E43:E43, TRUE, FALSE), 1)</f>
        <v>0</v>
      </c>
      <c r="E51" s="34" t="s">
        <v>122</v>
      </c>
    </row>
    <row r="52" spans="2:5" ht="15" customHeight="1" x14ac:dyDescent="0.25">
      <c r="B52" s="12" t="s">
        <v>4</v>
      </c>
      <c r="C52" s="11">
        <f>C40/C44</f>
        <v>0.79132754557284735</v>
      </c>
      <c r="D52" s="11">
        <f>D40/D44</f>
        <v>0.78979284792847915</v>
      </c>
      <c r="E52" s="11">
        <f>E40/E44</f>
        <v>0</v>
      </c>
    </row>
    <row r="53" spans="2:5" ht="15" customHeight="1" outlineLevel="1" x14ac:dyDescent="0.25">
      <c r="B53" s="4" t="s">
        <v>3</v>
      </c>
      <c r="C53" s="10">
        <f>C52/C43</f>
        <v>0.12595013443620445</v>
      </c>
      <c r="D53" s="10">
        <f>D52/D43</f>
        <v>0.21831197456541546</v>
      </c>
      <c r="E53" s="34" t="s">
        <v>122</v>
      </c>
    </row>
    <row r="54" spans="2:5" ht="15" customHeight="1" x14ac:dyDescent="0.25">
      <c r="B54" s="9" t="s">
        <v>2</v>
      </c>
      <c r="C54" s="9"/>
      <c r="D54" s="9"/>
      <c r="E54" s="9"/>
    </row>
    <row r="55" spans="2:5" ht="15" customHeight="1" x14ac:dyDescent="0.25">
      <c r="B55" s="8" t="s">
        <v>2</v>
      </c>
      <c r="C55" s="7">
        <f>C56+C57</f>
        <v>531453.58392072469</v>
      </c>
      <c r="D55" s="7">
        <f>D56+D57</f>
        <v>286019.30363102065</v>
      </c>
      <c r="E55" s="7">
        <f>E56+E57</f>
        <v>0</v>
      </c>
    </row>
    <row r="56" spans="2:5" ht="15" customHeight="1" outlineLevel="1" x14ac:dyDescent="0.25">
      <c r="B56" s="6" t="s">
        <v>1</v>
      </c>
      <c r="C56" s="5">
        <f>C22</f>
        <v>520888.58392072463</v>
      </c>
      <c r="D56" s="5">
        <f>D22</f>
        <v>286019.30363102065</v>
      </c>
      <c r="E56" s="5">
        <f>E22</f>
        <v>0</v>
      </c>
    </row>
    <row r="57" spans="2:5" ht="15" customHeight="1" outlineLevel="1" x14ac:dyDescent="0.25">
      <c r="B57" s="4" t="s">
        <v>0</v>
      </c>
      <c r="C57" s="3">
        <f>C17</f>
        <v>10565</v>
      </c>
      <c r="D57" s="3">
        <f>D17</f>
        <v>0</v>
      </c>
      <c r="E57" s="3">
        <f>E17</f>
        <v>0</v>
      </c>
    </row>
    <row r="58" spans="2:5" ht="15" customHeight="1" x14ac:dyDescent="0.25">
      <c r="B58" s="2" t="s">
        <v>120</v>
      </c>
    </row>
  </sheetData>
  <mergeCells count="1">
    <mergeCell ref="B1:C1"/>
  </mergeCells>
  <pageMargins left="0.75" right="0.75" top="1" bottom="1" header="0.5" footer="0.5"/>
  <pageSetup orientation="portrait" horizontalDpi="300" verticalDpi="300" r:id="rId1"/>
  <ignoredErrors>
    <ignoredError sqref="C17 D17:E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612E-778F-4FC1-9A1F-15D9B65B80A5}">
  <sheetPr>
    <outlinePr summaryBelow="0" summaryRight="0"/>
  </sheetPr>
  <dimension ref="B1:M83"/>
  <sheetViews>
    <sheetView topLeftCell="A7" workbookViewId="0">
      <selection activeCell="B21" sqref="B21"/>
    </sheetView>
  </sheetViews>
  <sheetFormatPr defaultColWidth="9.109375" defaultRowHeight="15" customHeight="1" outlineLevelRow="3" x14ac:dyDescent="0.25"/>
  <cols>
    <col min="1" max="1" width="9.109375" style="1"/>
    <col min="2" max="2" width="53.109375" style="1" customWidth="1"/>
    <col min="3" max="5" width="11.6640625" style="1" bestFit="1" customWidth="1"/>
    <col min="6" max="7" width="9.109375" style="1"/>
    <col min="8" max="8" width="10.77734375" style="1" bestFit="1" customWidth="1"/>
    <col min="9" max="10" width="10.109375" style="1" bestFit="1" customWidth="1"/>
    <col min="11" max="16384" width="9.109375" style="1"/>
  </cols>
  <sheetData>
    <row r="1" spans="2:10" ht="15" customHeight="1" x14ac:dyDescent="0.3">
      <c r="B1" s="68" t="s">
        <v>117</v>
      </c>
      <c r="C1" s="69"/>
      <c r="D1" s="44"/>
      <c r="E1" s="44"/>
    </row>
    <row r="2" spans="2:10" ht="15" customHeight="1" x14ac:dyDescent="0.3">
      <c r="B2" s="45">
        <f>Shareholders!B2</f>
        <v>94.95</v>
      </c>
      <c r="C2" s="38"/>
      <c r="D2" s="38"/>
      <c r="E2" s="38"/>
    </row>
    <row r="3" spans="2:10" ht="15" customHeight="1" x14ac:dyDescent="0.25">
      <c r="B3" s="23"/>
    </row>
    <row r="5" spans="2:10" ht="15" customHeight="1" x14ac:dyDescent="0.25">
      <c r="B5" s="22" t="s">
        <v>118</v>
      </c>
      <c r="C5" s="22"/>
      <c r="D5" s="22"/>
      <c r="E5" s="22"/>
    </row>
    <row r="6" spans="2:10" ht="15" customHeight="1" x14ac:dyDescent="0.25">
      <c r="B6" s="22" t="s">
        <v>119</v>
      </c>
      <c r="C6" s="22"/>
      <c r="D6" s="22"/>
      <c r="E6" s="22"/>
    </row>
    <row r="7" spans="2:10" ht="15" customHeight="1" x14ac:dyDescent="0.25">
      <c r="B7" s="22"/>
      <c r="C7" s="29">
        <v>45869</v>
      </c>
      <c r="D7" s="29">
        <v>45838</v>
      </c>
      <c r="E7" s="29">
        <v>45808</v>
      </c>
    </row>
    <row r="8" spans="2:10" ht="15" customHeight="1" x14ac:dyDescent="0.25">
      <c r="B8" s="17" t="s">
        <v>81</v>
      </c>
      <c r="C8" s="17"/>
      <c r="D8" s="17"/>
      <c r="E8" s="17"/>
    </row>
    <row r="9" spans="2:10" ht="15" customHeight="1" outlineLevel="1" x14ac:dyDescent="0.25">
      <c r="B9" s="12" t="s">
        <v>80</v>
      </c>
      <c r="C9" s="11">
        <f>SUM(C10:C11)</f>
        <v>1307725.84445616</v>
      </c>
      <c r="D9" s="11">
        <f>SUM(D10:D11)</f>
        <v>390384.23</v>
      </c>
      <c r="E9" s="11">
        <f>SUM(E10:E11)</f>
        <v>126760</v>
      </c>
    </row>
    <row r="10" spans="2:10" ht="15" customHeight="1" outlineLevel="2" x14ac:dyDescent="0.25">
      <c r="B10" s="4" t="s">
        <v>79</v>
      </c>
      <c r="C10" s="32">
        <v>929654.84445615986</v>
      </c>
      <c r="D10" s="32">
        <v>390384.23</v>
      </c>
      <c r="E10" s="32">
        <v>126760</v>
      </c>
    </row>
    <row r="11" spans="2:10" ht="15" customHeight="1" outlineLevel="2" x14ac:dyDescent="0.25">
      <c r="B11" s="4" t="s">
        <v>121</v>
      </c>
      <c r="C11" s="32">
        <v>378071</v>
      </c>
      <c r="D11" s="32">
        <v>0</v>
      </c>
      <c r="E11" s="32">
        <v>0</v>
      </c>
    </row>
    <row r="12" spans="2:10" ht="15" customHeight="1" outlineLevel="1" x14ac:dyDescent="0.25">
      <c r="B12" s="16" t="s">
        <v>78</v>
      </c>
      <c r="C12" s="32">
        <v>0</v>
      </c>
      <c r="D12" s="32">
        <v>187200</v>
      </c>
      <c r="E12" s="32">
        <v>0</v>
      </c>
    </row>
    <row r="13" spans="2:10" ht="15" customHeight="1" outlineLevel="1" x14ac:dyDescent="0.25">
      <c r="B13" s="8" t="s">
        <v>77</v>
      </c>
      <c r="C13" s="15">
        <f>SUM(C14:C17)</f>
        <v>480000</v>
      </c>
      <c r="D13" s="15">
        <f>SUM(D14:D17)</f>
        <v>20000</v>
      </c>
      <c r="E13" s="15">
        <f>SUM(E14:E17)</f>
        <v>0</v>
      </c>
      <c r="H13" s="37"/>
    </row>
    <row r="14" spans="2:10" ht="15" customHeight="1" outlineLevel="2" x14ac:dyDescent="0.25">
      <c r="B14" s="4" t="s">
        <v>127</v>
      </c>
      <c r="C14" s="32">
        <v>20000</v>
      </c>
      <c r="D14" s="32">
        <v>20000</v>
      </c>
      <c r="E14" s="32">
        <v>0</v>
      </c>
    </row>
    <row r="15" spans="2:10" ht="15" customHeight="1" outlineLevel="2" x14ac:dyDescent="0.25">
      <c r="B15" s="4" t="s">
        <v>128</v>
      </c>
      <c r="C15" s="32">
        <v>160000</v>
      </c>
      <c r="D15" s="32">
        <v>0</v>
      </c>
      <c r="E15" s="32">
        <v>0</v>
      </c>
      <c r="I15" s="37"/>
    </row>
    <row r="16" spans="2:10" ht="15" customHeight="1" outlineLevel="2" x14ac:dyDescent="0.25">
      <c r="B16" s="4" t="s">
        <v>129</v>
      </c>
      <c r="C16" s="32">
        <v>300000</v>
      </c>
      <c r="D16" s="32">
        <v>0</v>
      </c>
      <c r="E16" s="32">
        <v>0</v>
      </c>
      <c r="J16" s="37"/>
    </row>
    <row r="17" spans="2:10" ht="15" customHeight="1" outlineLevel="2" x14ac:dyDescent="0.25">
      <c r="B17" s="6" t="s">
        <v>76</v>
      </c>
      <c r="C17" s="32">
        <v>0</v>
      </c>
      <c r="D17" s="32">
        <v>0</v>
      </c>
      <c r="E17" s="32">
        <v>0</v>
      </c>
      <c r="J17" s="37"/>
    </row>
    <row r="18" spans="2:10" ht="15" customHeight="1" outlineLevel="1" x14ac:dyDescent="0.25">
      <c r="B18" s="13" t="s">
        <v>75</v>
      </c>
      <c r="C18" s="32">
        <v>0</v>
      </c>
      <c r="D18" s="32">
        <v>0</v>
      </c>
      <c r="E18" s="32">
        <v>0</v>
      </c>
      <c r="H18" s="37"/>
    </row>
    <row r="19" spans="2:10" ht="15" customHeight="1" outlineLevel="1" x14ac:dyDescent="0.25">
      <c r="B19" s="53" t="s">
        <v>142</v>
      </c>
      <c r="C19" s="55">
        <f>C20</f>
        <v>0</v>
      </c>
      <c r="D19" s="55">
        <f t="shared" ref="D19:E19" si="0">D20</f>
        <v>5758.984375</v>
      </c>
      <c r="E19" s="55">
        <f t="shared" si="0"/>
        <v>18770.25</v>
      </c>
      <c r="H19" s="37"/>
    </row>
    <row r="20" spans="2:10" ht="15" customHeight="1" outlineLevel="2" x14ac:dyDescent="0.25">
      <c r="B20" s="54" t="s">
        <v>142</v>
      </c>
      <c r="C20" s="56">
        <v>0</v>
      </c>
      <c r="D20" s="56">
        <v>5758.984375</v>
      </c>
      <c r="E20" s="56">
        <v>18770.25</v>
      </c>
      <c r="H20" s="37"/>
    </row>
    <row r="21" spans="2:10" ht="15" customHeight="1" outlineLevel="1" x14ac:dyDescent="0.25">
      <c r="B21" s="42" t="s">
        <v>74</v>
      </c>
      <c r="C21" s="52">
        <f>C22-C29</f>
        <v>11357.5</v>
      </c>
      <c r="D21" s="52">
        <f>D22-D29</f>
        <v>21922.5</v>
      </c>
      <c r="E21" s="52">
        <f>E22-E29</f>
        <v>0</v>
      </c>
    </row>
    <row r="22" spans="2:10" ht="15" customHeight="1" outlineLevel="2" x14ac:dyDescent="0.25">
      <c r="B22" s="43" t="s">
        <v>143</v>
      </c>
      <c r="C22" s="52">
        <f>SUM(C23:C28)</f>
        <v>21922.5</v>
      </c>
      <c r="D22" s="52">
        <f>SUM(D23:D28)</f>
        <v>21922.5</v>
      </c>
      <c r="E22" s="52">
        <f>SUM(E23:E28)</f>
        <v>0</v>
      </c>
    </row>
    <row r="23" spans="2:10" ht="15" customHeight="1" outlineLevel="3" x14ac:dyDescent="0.25">
      <c r="B23" s="20" t="s">
        <v>141</v>
      </c>
      <c r="C23" s="32">
        <v>1585</v>
      </c>
      <c r="D23" s="32">
        <v>1585</v>
      </c>
      <c r="E23" s="32">
        <v>0</v>
      </c>
    </row>
    <row r="24" spans="2:10" ht="15" customHeight="1" outlineLevel="3" x14ac:dyDescent="0.25">
      <c r="B24" s="20" t="s">
        <v>144</v>
      </c>
      <c r="C24" s="32">
        <v>0</v>
      </c>
      <c r="D24" s="32">
        <v>0</v>
      </c>
      <c r="E24" s="32">
        <v>0</v>
      </c>
    </row>
    <row r="25" spans="2:10" ht="15" customHeight="1" outlineLevel="3" x14ac:dyDescent="0.25">
      <c r="B25" s="20" t="s">
        <v>145</v>
      </c>
      <c r="C25" s="32">
        <v>20337.5</v>
      </c>
      <c r="D25" s="32">
        <v>20337.5</v>
      </c>
      <c r="E25" s="32">
        <v>0</v>
      </c>
    </row>
    <row r="26" spans="2:10" ht="15" customHeight="1" outlineLevel="3" x14ac:dyDescent="0.25">
      <c r="B26" s="20" t="s">
        <v>146</v>
      </c>
      <c r="C26" s="32">
        <v>0</v>
      </c>
      <c r="D26" s="32">
        <v>0</v>
      </c>
      <c r="E26" s="32">
        <v>0</v>
      </c>
    </row>
    <row r="27" spans="2:10" ht="15" customHeight="1" outlineLevel="3" x14ac:dyDescent="0.25">
      <c r="B27" s="20" t="s">
        <v>147</v>
      </c>
      <c r="C27" s="32">
        <v>0</v>
      </c>
      <c r="D27" s="32">
        <v>0</v>
      </c>
      <c r="E27" s="32">
        <v>0</v>
      </c>
    </row>
    <row r="28" spans="2:10" ht="15" customHeight="1" outlineLevel="3" x14ac:dyDescent="0.25">
      <c r="B28" s="20" t="s">
        <v>148</v>
      </c>
      <c r="C28" s="32">
        <v>0</v>
      </c>
      <c r="D28" s="32">
        <v>0</v>
      </c>
      <c r="E28" s="32">
        <v>0</v>
      </c>
    </row>
    <row r="29" spans="2:10" ht="15" customHeight="1" outlineLevel="2" x14ac:dyDescent="0.25">
      <c r="B29" s="43" t="s">
        <v>149</v>
      </c>
      <c r="C29" s="52">
        <f>SUM(C30:C34)</f>
        <v>10565</v>
      </c>
      <c r="D29" s="52">
        <f>SUM(D30:D34)</f>
        <v>0</v>
      </c>
      <c r="E29" s="52">
        <f>SUM(E30:E34)</f>
        <v>0</v>
      </c>
    </row>
    <row r="30" spans="2:10" ht="15" customHeight="1" outlineLevel="3" x14ac:dyDescent="0.25">
      <c r="B30" s="20" t="s">
        <v>141</v>
      </c>
      <c r="C30" s="32">
        <v>396.25</v>
      </c>
      <c r="D30" s="32">
        <v>0</v>
      </c>
      <c r="E30" s="32">
        <v>0</v>
      </c>
    </row>
    <row r="31" spans="2:10" ht="15" customHeight="1" outlineLevel="3" x14ac:dyDescent="0.25">
      <c r="B31" s="20" t="s">
        <v>144</v>
      </c>
      <c r="C31" s="32">
        <v>0</v>
      </c>
      <c r="D31" s="32">
        <v>0</v>
      </c>
      <c r="E31" s="32">
        <v>0</v>
      </c>
    </row>
    <row r="32" spans="2:10" ht="15" customHeight="1" outlineLevel="3" x14ac:dyDescent="0.25">
      <c r="B32" s="20" t="s">
        <v>145</v>
      </c>
      <c r="C32" s="32">
        <v>10168.75</v>
      </c>
      <c r="D32" s="32">
        <v>0</v>
      </c>
      <c r="E32" s="32">
        <v>0</v>
      </c>
    </row>
    <row r="33" spans="2:8" ht="15" customHeight="1" outlineLevel="3" x14ac:dyDescent="0.25">
      <c r="B33" s="20" t="s">
        <v>146</v>
      </c>
      <c r="C33" s="32">
        <v>0</v>
      </c>
      <c r="D33" s="32">
        <v>0</v>
      </c>
      <c r="E33" s="32">
        <v>0</v>
      </c>
    </row>
    <row r="34" spans="2:8" ht="15" customHeight="1" outlineLevel="3" x14ac:dyDescent="0.25">
      <c r="B34" s="20" t="s">
        <v>147</v>
      </c>
      <c r="C34" s="32">
        <v>0</v>
      </c>
      <c r="D34" s="32">
        <v>0</v>
      </c>
      <c r="E34" s="32">
        <v>0</v>
      </c>
    </row>
    <row r="35" spans="2:8" ht="15" customHeight="1" outlineLevel="1" x14ac:dyDescent="0.25">
      <c r="B35" s="13" t="s">
        <v>73</v>
      </c>
      <c r="C35" s="32">
        <v>0</v>
      </c>
      <c r="D35" s="32">
        <v>0</v>
      </c>
      <c r="E35" s="32">
        <v>0</v>
      </c>
      <c r="H35" s="37"/>
    </row>
    <row r="36" spans="2:8" ht="15" customHeight="1" outlineLevel="1" x14ac:dyDescent="0.25">
      <c r="B36" s="12" t="s">
        <v>72</v>
      </c>
      <c r="C36" s="11">
        <f>SUM(C37:C38)</f>
        <v>0</v>
      </c>
      <c r="D36" s="11">
        <f>SUM(D37:D38)</f>
        <v>0</v>
      </c>
      <c r="E36" s="11">
        <f>SUM(E37:E38)</f>
        <v>0</v>
      </c>
    </row>
    <row r="37" spans="2:8" ht="15" customHeight="1" outlineLevel="2" x14ac:dyDescent="0.25">
      <c r="B37" s="4" t="s">
        <v>71</v>
      </c>
      <c r="C37" s="32">
        <v>0</v>
      </c>
      <c r="D37" s="32">
        <v>0</v>
      </c>
      <c r="E37" s="32">
        <v>0</v>
      </c>
    </row>
    <row r="38" spans="2:8" ht="15" customHeight="1" outlineLevel="2" x14ac:dyDescent="0.25">
      <c r="B38" s="6" t="s">
        <v>70</v>
      </c>
      <c r="C38" s="32">
        <v>0</v>
      </c>
      <c r="D38" s="32">
        <v>0</v>
      </c>
      <c r="E38" s="32">
        <v>0</v>
      </c>
    </row>
    <row r="39" spans="2:8" ht="15" customHeight="1" x14ac:dyDescent="0.25">
      <c r="B39" s="13" t="s">
        <v>69</v>
      </c>
      <c r="C39" s="10">
        <f>C9+C12+C13+C18+C21+C35+C36+C19</f>
        <v>1799083.34445616</v>
      </c>
      <c r="D39" s="10">
        <f>D9+D12+D13+D18+D21+D35+D36+D19</f>
        <v>625265.71437499998</v>
      </c>
      <c r="E39" s="10">
        <f>E9+E12+E13+E18+E21+E35+E36+E19</f>
        <v>145530.25</v>
      </c>
    </row>
    <row r="40" spans="2:8" ht="15" customHeight="1" x14ac:dyDescent="0.25">
      <c r="B40" s="9" t="s">
        <v>68</v>
      </c>
      <c r="C40" s="9"/>
      <c r="D40" s="9"/>
      <c r="E40" s="9"/>
    </row>
    <row r="41" spans="2:8" ht="15" customHeight="1" x14ac:dyDescent="0.25">
      <c r="B41" s="8" t="s">
        <v>67</v>
      </c>
      <c r="C41" s="17"/>
      <c r="D41" s="17"/>
      <c r="E41" s="17"/>
    </row>
    <row r="42" spans="2:8" ht="15" customHeight="1" outlineLevel="1" x14ac:dyDescent="0.25">
      <c r="B42" s="21" t="s">
        <v>66</v>
      </c>
      <c r="C42" s="11">
        <f>SUM(C43:C46)</f>
        <v>164047.87383956491</v>
      </c>
      <c r="D42" s="11">
        <f>SUM(D43:D46)</f>
        <v>155152.32999999999</v>
      </c>
      <c r="E42" s="11">
        <f>SUM(E43:E46)</f>
        <v>0</v>
      </c>
    </row>
    <row r="43" spans="2:8" ht="15" customHeight="1" outlineLevel="2" x14ac:dyDescent="0.25">
      <c r="B43" s="20" t="s">
        <v>65</v>
      </c>
      <c r="C43" s="32">
        <v>2500</v>
      </c>
      <c r="D43" s="32">
        <v>2500</v>
      </c>
      <c r="E43" s="32">
        <v>0</v>
      </c>
    </row>
    <row r="44" spans="2:8" ht="15" customHeight="1" outlineLevel="2" x14ac:dyDescent="0.25">
      <c r="B44" s="24" t="s">
        <v>112</v>
      </c>
      <c r="C44" s="32">
        <v>0</v>
      </c>
      <c r="D44" s="32">
        <v>0</v>
      </c>
      <c r="E44" s="32">
        <v>0</v>
      </c>
    </row>
    <row r="45" spans="2:8" ht="15" customHeight="1" outlineLevel="2" x14ac:dyDescent="0.25">
      <c r="B45" s="24" t="s">
        <v>139</v>
      </c>
      <c r="C45" s="32">
        <v>61547.87383956492</v>
      </c>
      <c r="D45" s="32">
        <v>52652.329999999994</v>
      </c>
      <c r="E45" s="32">
        <v>0</v>
      </c>
    </row>
    <row r="46" spans="2:8" ht="15" customHeight="1" outlineLevel="2" x14ac:dyDescent="0.25">
      <c r="B46" s="28" t="s">
        <v>64</v>
      </c>
      <c r="C46" s="11">
        <f>SUM(C47:C48)</f>
        <v>100000</v>
      </c>
      <c r="D46" s="11">
        <f>SUM(D47:D48)</f>
        <v>100000</v>
      </c>
      <c r="E46" s="11">
        <f>SUM(E47:E48)</f>
        <v>0</v>
      </c>
    </row>
    <row r="47" spans="2:8" ht="15" customHeight="1" outlineLevel="3" x14ac:dyDescent="0.25">
      <c r="B47" s="27" t="s">
        <v>63</v>
      </c>
      <c r="C47" s="32">
        <v>100000</v>
      </c>
      <c r="D47" s="32">
        <v>100000</v>
      </c>
      <c r="E47" s="32">
        <v>0</v>
      </c>
    </row>
    <row r="48" spans="2:8" ht="15" customHeight="1" outlineLevel="3" x14ac:dyDescent="0.25">
      <c r="B48" s="26" t="s">
        <v>62</v>
      </c>
      <c r="C48" s="32">
        <v>0</v>
      </c>
      <c r="D48" s="32">
        <v>0</v>
      </c>
      <c r="E48" s="32">
        <v>0</v>
      </c>
    </row>
    <row r="49" spans="2:12" ht="15" customHeight="1" outlineLevel="1" x14ac:dyDescent="0.25">
      <c r="B49" s="4" t="s">
        <v>61</v>
      </c>
      <c r="C49" s="32">
        <v>0</v>
      </c>
      <c r="D49" s="32">
        <v>0</v>
      </c>
      <c r="E49" s="32">
        <v>0</v>
      </c>
    </row>
    <row r="50" spans="2:12" ht="15" customHeight="1" outlineLevel="1" x14ac:dyDescent="0.3">
      <c r="B50" s="6" t="s">
        <v>60</v>
      </c>
      <c r="C50" s="32">
        <v>0</v>
      </c>
      <c r="D50" s="32">
        <v>0</v>
      </c>
      <c r="E50" s="32">
        <v>0</v>
      </c>
      <c r="L50"/>
    </row>
    <row r="51" spans="2:12" ht="15" customHeight="1" outlineLevel="1" x14ac:dyDescent="0.3">
      <c r="B51" s="25" t="s">
        <v>130</v>
      </c>
      <c r="C51" s="15">
        <f>SUM(C52:C59)</f>
        <v>390455.18</v>
      </c>
      <c r="D51" s="15">
        <f>SUM(D52:D59)</f>
        <v>229842.01012748535</v>
      </c>
      <c r="E51" s="15">
        <f>SUM(E52:E59)</f>
        <v>0</v>
      </c>
      <c r="L51"/>
    </row>
    <row r="52" spans="2:12" ht="15" customHeight="1" outlineLevel="2" x14ac:dyDescent="0.3">
      <c r="B52" s="6" t="s">
        <v>131</v>
      </c>
      <c r="C52" s="32">
        <v>165276.4</v>
      </c>
      <c r="D52" s="32">
        <v>139306.491083517</v>
      </c>
      <c r="E52" s="32">
        <v>0</v>
      </c>
      <c r="L52"/>
    </row>
    <row r="53" spans="2:12" ht="15" customHeight="1" outlineLevel="2" x14ac:dyDescent="0.3">
      <c r="B53" s="6" t="s">
        <v>132</v>
      </c>
      <c r="C53" s="32">
        <v>97337.8</v>
      </c>
      <c r="D53" s="32">
        <v>0</v>
      </c>
      <c r="E53" s="32">
        <v>0</v>
      </c>
      <c r="L53"/>
    </row>
    <row r="54" spans="2:12" ht="15" customHeight="1" outlineLevel="2" x14ac:dyDescent="0.3">
      <c r="B54" s="6" t="s">
        <v>133</v>
      </c>
      <c r="C54" s="32">
        <v>96759.15</v>
      </c>
      <c r="D54" s="32">
        <v>81555.374717395403</v>
      </c>
      <c r="E54" s="32">
        <v>0</v>
      </c>
      <c r="L54"/>
    </row>
    <row r="55" spans="2:12" ht="15" customHeight="1" outlineLevel="2" x14ac:dyDescent="0.3">
      <c r="B55" s="6" t="s">
        <v>134</v>
      </c>
      <c r="C55" s="32">
        <v>11377.45</v>
      </c>
      <c r="D55" s="32">
        <v>0</v>
      </c>
      <c r="E55" s="32">
        <v>0</v>
      </c>
      <c r="L55"/>
    </row>
    <row r="56" spans="2:12" ht="15" customHeight="1" outlineLevel="2" x14ac:dyDescent="0.3">
      <c r="B56" s="6" t="s">
        <v>135</v>
      </c>
      <c r="C56" s="32">
        <v>10432.41</v>
      </c>
      <c r="D56" s="32">
        <v>0</v>
      </c>
      <c r="E56" s="32">
        <v>0</v>
      </c>
      <c r="L56"/>
    </row>
    <row r="57" spans="2:12" ht="15" customHeight="1" outlineLevel="2" x14ac:dyDescent="0.3">
      <c r="B57" s="6" t="s">
        <v>136</v>
      </c>
      <c r="C57" s="32">
        <v>9270.32</v>
      </c>
      <c r="D57" s="32">
        <v>7813.6772467198798</v>
      </c>
      <c r="E57" s="32">
        <v>0</v>
      </c>
      <c r="L57"/>
    </row>
    <row r="58" spans="2:12" ht="15" customHeight="1" outlineLevel="2" x14ac:dyDescent="0.3">
      <c r="B58" s="6" t="s">
        <v>137</v>
      </c>
      <c r="C58" s="32">
        <v>1.65</v>
      </c>
      <c r="D58" s="32">
        <v>1.38729854911401</v>
      </c>
      <c r="E58" s="32">
        <v>0</v>
      </c>
      <c r="L58"/>
    </row>
    <row r="59" spans="2:12" ht="15" customHeight="1" outlineLevel="2" x14ac:dyDescent="0.3">
      <c r="B59" s="6" t="s">
        <v>138</v>
      </c>
      <c r="C59" s="32">
        <v>0</v>
      </c>
      <c r="D59" s="32">
        <v>1165.0797813039501</v>
      </c>
      <c r="E59" s="32">
        <v>0</v>
      </c>
      <c r="L59"/>
    </row>
    <row r="60" spans="2:12" ht="15" customHeight="1" outlineLevel="1" x14ac:dyDescent="0.25">
      <c r="B60" s="25" t="s">
        <v>59</v>
      </c>
      <c r="C60" s="15">
        <f>SUM(C61:C61)</f>
        <v>0</v>
      </c>
      <c r="D60" s="15">
        <f>SUM(D61:D61)</f>
        <v>0</v>
      </c>
      <c r="E60" s="15">
        <f>SUM(E61:E61)</f>
        <v>0</v>
      </c>
    </row>
    <row r="61" spans="2:12" ht="15" customHeight="1" outlineLevel="2" x14ac:dyDescent="0.25">
      <c r="B61" s="24" t="s">
        <v>58</v>
      </c>
      <c r="C61" s="32">
        <v>0</v>
      </c>
      <c r="D61" s="32">
        <v>0</v>
      </c>
      <c r="E61" s="32">
        <v>0</v>
      </c>
    </row>
    <row r="62" spans="2:12" ht="15" customHeight="1" x14ac:dyDescent="0.25">
      <c r="B62" s="4" t="s">
        <v>57</v>
      </c>
      <c r="C62" s="10">
        <f>C42+C49+C50+C51+C60</f>
        <v>554503.05383956491</v>
      </c>
      <c r="D62" s="10">
        <f>D42+D49+D50+D51+D60</f>
        <v>384994.34012748534</v>
      </c>
      <c r="E62" s="10">
        <f>E42+E49+E50+E51+E60</f>
        <v>0</v>
      </c>
    </row>
    <row r="63" spans="2:12" ht="15" customHeight="1" x14ac:dyDescent="0.25">
      <c r="B63" s="12" t="s">
        <v>56</v>
      </c>
      <c r="C63" s="9"/>
      <c r="D63" s="9"/>
      <c r="E63" s="9"/>
    </row>
    <row r="64" spans="2:12" ht="15" customHeight="1" outlineLevel="1" x14ac:dyDescent="0.25">
      <c r="B64" s="25" t="s">
        <v>55</v>
      </c>
      <c r="C64" s="15">
        <f>SUM(C65:C66)</f>
        <v>0</v>
      </c>
      <c r="D64" s="15">
        <f>SUM(D65:D66)</f>
        <v>0</v>
      </c>
      <c r="E64" s="15">
        <f>SUM(E65:E66)</f>
        <v>0</v>
      </c>
      <c r="I64" s="37"/>
    </row>
    <row r="65" spans="2:13" ht="15" customHeight="1" outlineLevel="2" x14ac:dyDescent="0.25">
      <c r="B65" s="24" t="s">
        <v>54</v>
      </c>
      <c r="C65" s="32">
        <v>0</v>
      </c>
      <c r="D65" s="32">
        <v>0</v>
      </c>
      <c r="E65" s="32">
        <v>0</v>
      </c>
    </row>
    <row r="66" spans="2:13" ht="15" customHeight="1" outlineLevel="2" x14ac:dyDescent="0.25">
      <c r="B66" s="20" t="s">
        <v>53</v>
      </c>
      <c r="C66" s="32">
        <v>0</v>
      </c>
      <c r="D66" s="32">
        <v>0</v>
      </c>
      <c r="E66" s="32">
        <v>0</v>
      </c>
      <c r="L66" s="37"/>
    </row>
    <row r="67" spans="2:13" ht="15" customHeight="1" outlineLevel="1" x14ac:dyDescent="0.25">
      <c r="B67" s="21" t="s">
        <v>52</v>
      </c>
      <c r="C67" s="11">
        <f>SUM(C68:C70)</f>
        <v>1244580.2906165952</v>
      </c>
      <c r="D67" s="11">
        <f>SUM(D68:D70)</f>
        <v>240271.37424751435</v>
      </c>
      <c r="E67" s="11">
        <f>SUM(E68:E70)</f>
        <v>145530.25</v>
      </c>
    </row>
    <row r="68" spans="2:13" ht="15" customHeight="1" outlineLevel="2" x14ac:dyDescent="0.25">
      <c r="B68" s="20" t="s">
        <v>51</v>
      </c>
      <c r="C68" s="32">
        <v>77778</v>
      </c>
      <c r="D68" s="32">
        <v>66666</v>
      </c>
      <c r="E68" s="32">
        <v>66666</v>
      </c>
      <c r="I68" s="37"/>
      <c r="L68" s="37"/>
      <c r="M68" s="37"/>
    </row>
    <row r="69" spans="2:13" ht="15" customHeight="1" outlineLevel="2" x14ac:dyDescent="0.25">
      <c r="B69" s="24" t="s">
        <v>50</v>
      </c>
      <c r="C69" s="32">
        <v>982172.82506611897</v>
      </c>
      <c r="D69" s="32">
        <v>91550.825066118909</v>
      </c>
      <c r="E69" s="32">
        <v>78864.25</v>
      </c>
      <c r="J69" s="37"/>
    </row>
    <row r="70" spans="2:13" ht="15" customHeight="1" outlineLevel="2" x14ac:dyDescent="0.25">
      <c r="B70" s="20" t="s">
        <v>49</v>
      </c>
      <c r="C70" s="32">
        <v>184629.46555047622</v>
      </c>
      <c r="D70" s="32">
        <v>82054.549181395443</v>
      </c>
      <c r="E70" s="32">
        <v>0</v>
      </c>
      <c r="H70" s="37"/>
    </row>
    <row r="71" spans="2:13" ht="15" customHeight="1" outlineLevel="1" x14ac:dyDescent="0.25">
      <c r="B71" s="4" t="s">
        <v>48</v>
      </c>
      <c r="C71" s="10">
        <f>C64+C67</f>
        <v>1244580.2906165952</v>
      </c>
      <c r="D71" s="10">
        <f>D64+D67</f>
        <v>240271.37424751435</v>
      </c>
      <c r="E71" s="10">
        <f>E64+E67</f>
        <v>145530.25</v>
      </c>
      <c r="H71" s="37"/>
    </row>
    <row r="72" spans="2:13" ht="15" customHeight="1" outlineLevel="1" x14ac:dyDescent="0.25">
      <c r="B72" s="6" t="s">
        <v>47</v>
      </c>
      <c r="C72" s="32">
        <v>0</v>
      </c>
      <c r="D72" s="32">
        <v>0</v>
      </c>
      <c r="E72" s="32">
        <v>0</v>
      </c>
      <c r="H72" s="37"/>
    </row>
    <row r="73" spans="2:13" ht="15" customHeight="1" x14ac:dyDescent="0.25">
      <c r="B73" s="4" t="s">
        <v>46</v>
      </c>
      <c r="C73" s="10">
        <f>SUM(C71:C72)</f>
        <v>1244580.2906165952</v>
      </c>
      <c r="D73" s="10">
        <f>SUM(D71:D72)</f>
        <v>240271.37424751435</v>
      </c>
      <c r="E73" s="10">
        <f>SUM(E71:E72)</f>
        <v>145530.25</v>
      </c>
    </row>
    <row r="74" spans="2:13" ht="15" customHeight="1" x14ac:dyDescent="0.25">
      <c r="B74" s="16" t="s">
        <v>45</v>
      </c>
      <c r="C74" s="14">
        <f>C62+C73</f>
        <v>1799083.34445616</v>
      </c>
      <c r="D74" s="14">
        <f>D62+D73</f>
        <v>625265.71437499975</v>
      </c>
      <c r="E74" s="14">
        <f>E62+E73</f>
        <v>145530.25</v>
      </c>
    </row>
    <row r="75" spans="2:13" ht="15" customHeight="1" x14ac:dyDescent="0.25">
      <c r="B75" s="17" t="s">
        <v>150</v>
      </c>
      <c r="C75" s="14"/>
      <c r="D75" s="14"/>
      <c r="E75" s="14"/>
      <c r="H75" s="37"/>
    </row>
    <row r="76" spans="2:13" ht="15" customHeight="1" outlineLevel="1" x14ac:dyDescent="0.25">
      <c r="B76" s="16" t="s">
        <v>181</v>
      </c>
      <c r="C76" s="14">
        <f>C39-C62</f>
        <v>1244580.2906165952</v>
      </c>
      <c r="D76" s="14">
        <f t="shared" ref="D76:E76" si="1">D39-D62</f>
        <v>240271.37424751464</v>
      </c>
      <c r="E76" s="14">
        <f t="shared" si="1"/>
        <v>145530.25</v>
      </c>
    </row>
    <row r="77" spans="2:13" ht="15" customHeight="1" outlineLevel="1" x14ac:dyDescent="0.25">
      <c r="B77" s="16" t="s">
        <v>180</v>
      </c>
      <c r="C77" s="14">
        <f>C39-C62+C51</f>
        <v>1635035.4706165951</v>
      </c>
      <c r="D77" s="14">
        <f t="shared" ref="D77:E77" si="2">D39-D62+D51</f>
        <v>470113.38437500002</v>
      </c>
      <c r="E77" s="14">
        <f t="shared" si="2"/>
        <v>145530.25</v>
      </c>
    </row>
    <row r="78" spans="2:13" ht="15" customHeight="1" x14ac:dyDescent="0.25">
      <c r="B78" s="17" t="s">
        <v>10</v>
      </c>
      <c r="C78" s="17"/>
      <c r="D78" s="17"/>
      <c r="E78" s="17"/>
    </row>
    <row r="79" spans="2:13" ht="15" customHeight="1" outlineLevel="1" x14ac:dyDescent="0.25">
      <c r="B79" s="16" t="s">
        <v>44</v>
      </c>
      <c r="C79" s="14">
        <f>C71/'Income Statement'!C44</f>
        <v>16.001700874496581</v>
      </c>
      <c r="D79" s="14">
        <f>D71/'Income Statement'!D44</f>
        <v>3.6041066547792631</v>
      </c>
      <c r="E79" s="14">
        <f>E71/'Income Statement'!E44</f>
        <v>2.1829755797557975</v>
      </c>
    </row>
    <row r="80" spans="2:13" ht="15" customHeight="1" outlineLevel="1" x14ac:dyDescent="0.25">
      <c r="B80" s="13" t="s">
        <v>43</v>
      </c>
      <c r="C80" s="10">
        <f>(C67-C38)/'Income Statement'!C44</f>
        <v>16.001700874496581</v>
      </c>
      <c r="D80" s="10">
        <f>(D67-D38)/'Income Statement'!D44</f>
        <v>3.6041066547792631</v>
      </c>
      <c r="E80" s="10">
        <f>(E67-E38)/'Income Statement'!E44</f>
        <v>2.1829755797557975</v>
      </c>
    </row>
    <row r="81" spans="2:5" ht="15" customHeight="1" x14ac:dyDescent="0.25">
      <c r="B81" s="2" t="s">
        <v>120</v>
      </c>
    </row>
    <row r="83" spans="2:5" ht="15" customHeight="1" x14ac:dyDescent="0.3">
      <c r="C83" t="str">
        <f>IF(C74=C39,"OK",C39-C74)</f>
        <v>OK</v>
      </c>
      <c r="D83" t="str">
        <f>IF(D74=D39,"OK",D39-D74)</f>
        <v>OK</v>
      </c>
      <c r="E83" t="str">
        <f>IF(E74=E39,"OK",E39-E74)</f>
        <v>OK</v>
      </c>
    </row>
  </sheetData>
  <mergeCells count="1">
    <mergeCell ref="B1:C1"/>
  </mergeCells>
  <conditionalFormatting sqref="C14:E16">
    <cfRule type="cellIs" dxfId="4" priority="2" operator="lessThan">
      <formula>0</formula>
    </cfRule>
  </conditionalFormatting>
  <conditionalFormatting sqref="C44:E45">
    <cfRule type="cellIs" dxfId="3" priority="1" operator="lessThan">
      <formula>0</formula>
    </cfRule>
  </conditionalFormatting>
  <pageMargins left="0.75" right="0.75" top="1" bottom="1" header="0.5" footer="0.5"/>
  <pageSetup orientation="portrait" horizontalDpi="300" verticalDpi="300" r:id="rId1"/>
  <ignoredErrors>
    <ignoredError sqref="C46 C9 C29 D9:E9 C13:E13 D29:E29 D46:E4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4EB5-4759-451E-90EF-AEE4632FD463}">
  <sheetPr>
    <outlinePr summaryBelow="0" summaryRight="0"/>
  </sheetPr>
  <dimension ref="B1:M53"/>
  <sheetViews>
    <sheetView workbookViewId="0">
      <selection activeCell="C13" sqref="C13"/>
    </sheetView>
  </sheetViews>
  <sheetFormatPr defaultColWidth="9.109375" defaultRowHeight="15" customHeight="1" outlineLevelRow="3" x14ac:dyDescent="0.25"/>
  <cols>
    <col min="1" max="1" width="9.109375" style="1"/>
    <col min="2" max="2" width="51.33203125" style="1" customWidth="1"/>
    <col min="3" max="5" width="9.109375" style="1" bestFit="1" customWidth="1"/>
    <col min="6" max="16384" width="9.109375" style="1"/>
  </cols>
  <sheetData>
    <row r="1" spans="2:5" ht="15" customHeight="1" x14ac:dyDescent="0.3">
      <c r="B1" s="68" t="s">
        <v>117</v>
      </c>
      <c r="C1" s="69"/>
      <c r="D1" s="44"/>
      <c r="E1" s="44"/>
    </row>
    <row r="2" spans="2:5" ht="15" customHeight="1" x14ac:dyDescent="0.3">
      <c r="B2" s="45">
        <f>Shareholders!B2</f>
        <v>94.95</v>
      </c>
    </row>
    <row r="3" spans="2:5" ht="15" customHeight="1" x14ac:dyDescent="0.25">
      <c r="B3" s="23"/>
      <c r="C3" s="23"/>
      <c r="D3" s="23"/>
      <c r="E3" s="23"/>
    </row>
    <row r="5" spans="2:5" ht="15" customHeight="1" x14ac:dyDescent="0.25">
      <c r="B5" s="22" t="s">
        <v>118</v>
      </c>
      <c r="C5" s="22"/>
      <c r="D5" s="22"/>
      <c r="E5" s="22"/>
    </row>
    <row r="6" spans="2:5" ht="15" customHeight="1" x14ac:dyDescent="0.25">
      <c r="B6" s="22" t="s">
        <v>119</v>
      </c>
      <c r="C6" s="22"/>
      <c r="D6" s="22"/>
      <c r="E6" s="22"/>
    </row>
    <row r="7" spans="2:5" ht="15" customHeight="1" x14ac:dyDescent="0.25">
      <c r="B7" s="22"/>
      <c r="C7" s="29">
        <v>45869</v>
      </c>
      <c r="D7" s="29">
        <v>45838</v>
      </c>
      <c r="E7" s="29">
        <v>45808</v>
      </c>
    </row>
    <row r="8" spans="2:5" ht="15" customHeight="1" x14ac:dyDescent="0.25">
      <c r="B8" s="9" t="s">
        <v>116</v>
      </c>
      <c r="C8" s="9"/>
      <c r="D8" s="9"/>
      <c r="E8" s="9"/>
    </row>
    <row r="9" spans="2:5" ht="15" customHeight="1" outlineLevel="1" x14ac:dyDescent="0.25">
      <c r="B9" s="13" t="s">
        <v>124</v>
      </c>
      <c r="C9" s="3">
        <f>'Income Statement'!C36</f>
        <v>488668.58392072463</v>
      </c>
      <c r="D9" s="3">
        <f>'Income Statement'!D36</f>
        <v>241179.30363102065</v>
      </c>
      <c r="E9" s="3">
        <f>'Income Statement'!E36</f>
        <v>0</v>
      </c>
    </row>
    <row r="10" spans="2:5" ht="15" customHeight="1" outlineLevel="2" x14ac:dyDescent="0.25">
      <c r="B10" s="35" t="s">
        <v>123</v>
      </c>
      <c r="C10" s="58">
        <f>'Income Statement'!C17</f>
        <v>10565</v>
      </c>
      <c r="D10" s="58">
        <f>'Income Statement'!D17</f>
        <v>0</v>
      </c>
      <c r="E10" s="58">
        <f>'Income Statement'!E17</f>
        <v>0</v>
      </c>
    </row>
    <row r="11" spans="2:5" ht="15" customHeight="1" outlineLevel="2" x14ac:dyDescent="0.25">
      <c r="B11" s="35" t="s">
        <v>89</v>
      </c>
      <c r="C11" s="59">
        <v>0</v>
      </c>
      <c r="D11" s="59">
        <v>0</v>
      </c>
      <c r="E11" s="59">
        <v>0</v>
      </c>
    </row>
    <row r="12" spans="2:5" ht="15" customHeight="1" outlineLevel="1" x14ac:dyDescent="0.25">
      <c r="B12" s="13" t="s">
        <v>115</v>
      </c>
      <c r="C12" s="36">
        <f>C9+C10-C11</f>
        <v>499233.58392072463</v>
      </c>
      <c r="D12" s="36">
        <f>D9+D10-D11</f>
        <v>241179.30363102065</v>
      </c>
      <c r="E12" s="36">
        <f>E9+E10-E11</f>
        <v>0</v>
      </c>
    </row>
    <row r="13" spans="2:5" ht="15" customHeight="1" outlineLevel="1" x14ac:dyDescent="0.25">
      <c r="B13" s="12" t="s">
        <v>114</v>
      </c>
      <c r="C13" s="18">
        <f>SUM(C14:C17)</f>
        <v>174188.734375</v>
      </c>
      <c r="D13" s="18">
        <f>SUM(D14:D17)</f>
        <v>-174188.734375</v>
      </c>
      <c r="E13" s="18">
        <f>SUM(E14:E17)</f>
        <v>-18770.25</v>
      </c>
    </row>
    <row r="14" spans="2:5" ht="15" customHeight="1" outlineLevel="2" x14ac:dyDescent="0.25">
      <c r="B14" s="4" t="s">
        <v>113</v>
      </c>
      <c r="C14" s="31">
        <v>187200</v>
      </c>
      <c r="D14" s="31">
        <v>-187200</v>
      </c>
      <c r="E14" s="31">
        <v>0</v>
      </c>
    </row>
    <row r="15" spans="2:5" ht="15" customHeight="1" outlineLevel="2" x14ac:dyDescent="0.25">
      <c r="B15" s="6" t="s">
        <v>112</v>
      </c>
      <c r="C15" s="31">
        <v>0</v>
      </c>
      <c r="D15" s="31">
        <v>0</v>
      </c>
      <c r="E15" s="31">
        <v>0</v>
      </c>
    </row>
    <row r="16" spans="2:5" ht="15" customHeight="1" outlineLevel="2" x14ac:dyDescent="0.25">
      <c r="B16" s="4" t="s">
        <v>111</v>
      </c>
      <c r="C16" s="31">
        <v>0</v>
      </c>
      <c r="D16" s="31">
        <v>0</v>
      </c>
      <c r="E16" s="31">
        <v>0</v>
      </c>
    </row>
    <row r="17" spans="2:5" ht="15" customHeight="1" outlineLevel="2" x14ac:dyDescent="0.25">
      <c r="B17" s="6" t="s">
        <v>110</v>
      </c>
      <c r="C17" s="31">
        <v>-13011.265625</v>
      </c>
      <c r="D17" s="31">
        <v>13011.265625</v>
      </c>
      <c r="E17" s="31">
        <v>-18770.25</v>
      </c>
    </row>
    <row r="18" spans="2:5" ht="15" customHeight="1" x14ac:dyDescent="0.25">
      <c r="B18" s="13" t="s">
        <v>109</v>
      </c>
      <c r="C18" s="3">
        <f>C12+C13</f>
        <v>673422.31829572469</v>
      </c>
      <c r="D18" s="3">
        <f>D12+D13</f>
        <v>66990.569256020652</v>
      </c>
      <c r="E18" s="3">
        <f>E12+E13</f>
        <v>-18770.25</v>
      </c>
    </row>
    <row r="19" spans="2:5" ht="15" customHeight="1" x14ac:dyDescent="0.25">
      <c r="B19" s="9" t="s">
        <v>108</v>
      </c>
      <c r="C19" s="9"/>
      <c r="D19" s="9"/>
      <c r="E19" s="9"/>
    </row>
    <row r="20" spans="2:5" ht="15" customHeight="1" outlineLevel="1" x14ac:dyDescent="0.25">
      <c r="B20" s="8" t="s">
        <v>107</v>
      </c>
      <c r="C20" s="7">
        <f>SUM(C21:C22)</f>
        <v>0</v>
      </c>
      <c r="D20" s="7">
        <f>SUM(D21:D22)</f>
        <v>-21922.5</v>
      </c>
      <c r="E20" s="7">
        <f>SUM(E21:E22)</f>
        <v>0</v>
      </c>
    </row>
    <row r="21" spans="2:5" ht="15" customHeight="1" outlineLevel="2" x14ac:dyDescent="0.25">
      <c r="B21" s="6" t="s">
        <v>106</v>
      </c>
      <c r="C21" s="31">
        <v>0</v>
      </c>
      <c r="D21" s="31">
        <v>-20337.5</v>
      </c>
      <c r="E21" s="31">
        <v>0</v>
      </c>
    </row>
    <row r="22" spans="2:5" ht="15" customHeight="1" outlineLevel="2" x14ac:dyDescent="0.25">
      <c r="B22" s="6" t="s">
        <v>125</v>
      </c>
      <c r="C22" s="31">
        <v>0</v>
      </c>
      <c r="D22" s="31">
        <v>-1585</v>
      </c>
      <c r="E22" s="31">
        <v>0</v>
      </c>
    </row>
    <row r="23" spans="2:5" ht="15" customHeight="1" outlineLevel="1" x14ac:dyDescent="0.25">
      <c r="B23" s="13" t="s">
        <v>105</v>
      </c>
      <c r="C23" s="31">
        <v>0</v>
      </c>
      <c r="D23" s="31">
        <v>0</v>
      </c>
      <c r="E23" s="31">
        <v>0</v>
      </c>
    </row>
    <row r="24" spans="2:5" ht="15" customHeight="1" outlineLevel="1" x14ac:dyDescent="0.25">
      <c r="B24" s="12" t="s">
        <v>104</v>
      </c>
      <c r="C24" s="18">
        <f>C26-C25</f>
        <v>-160000</v>
      </c>
      <c r="D24" s="18">
        <f>D26-D25</f>
        <v>-20000</v>
      </c>
      <c r="E24" s="18">
        <f>E26-E25</f>
        <v>0</v>
      </c>
    </row>
    <row r="25" spans="2:5" ht="15" customHeight="1" outlineLevel="2" x14ac:dyDescent="0.25">
      <c r="B25" s="4" t="s">
        <v>103</v>
      </c>
      <c r="C25" s="31">
        <v>160000</v>
      </c>
      <c r="D25" s="31">
        <v>20000</v>
      </c>
      <c r="E25" s="31">
        <v>0</v>
      </c>
    </row>
    <row r="26" spans="2:5" ht="15" customHeight="1" outlineLevel="2" x14ac:dyDescent="0.25">
      <c r="B26" s="6" t="s">
        <v>102</v>
      </c>
      <c r="C26" s="31">
        <v>0</v>
      </c>
      <c r="D26" s="31">
        <v>0</v>
      </c>
      <c r="E26" s="31">
        <v>0</v>
      </c>
    </row>
    <row r="27" spans="2:5" ht="15" customHeight="1" outlineLevel="1" x14ac:dyDescent="0.25">
      <c r="B27" s="8" t="s">
        <v>89</v>
      </c>
      <c r="C27" s="7">
        <f>SUM(C28:C29)</f>
        <v>0</v>
      </c>
      <c r="D27" s="7">
        <f>SUM(D28:D29)</f>
        <v>0</v>
      </c>
      <c r="E27" s="7">
        <f>SUM(E28:E29)</f>
        <v>0</v>
      </c>
    </row>
    <row r="28" spans="2:5" ht="15" customHeight="1" outlineLevel="2" x14ac:dyDescent="0.25">
      <c r="B28" s="6" t="s">
        <v>88</v>
      </c>
      <c r="C28" s="31">
        <v>0</v>
      </c>
      <c r="D28" s="31">
        <v>0</v>
      </c>
      <c r="E28" s="31">
        <v>0</v>
      </c>
    </row>
    <row r="29" spans="2:5" ht="15" customHeight="1" outlineLevel="2" x14ac:dyDescent="0.25">
      <c r="B29" s="4" t="s">
        <v>87</v>
      </c>
      <c r="C29" s="31">
        <v>0</v>
      </c>
      <c r="D29" s="31">
        <v>0</v>
      </c>
      <c r="E29" s="31">
        <v>0</v>
      </c>
    </row>
    <row r="30" spans="2:5" ht="15" customHeight="1" x14ac:dyDescent="0.25">
      <c r="B30" s="16" t="s">
        <v>101</v>
      </c>
      <c r="C30" s="5">
        <f>C20+C23+C24+C27</f>
        <v>-160000</v>
      </c>
      <c r="D30" s="5">
        <f>D20+D23+D24+D27</f>
        <v>-41922.5</v>
      </c>
      <c r="E30" s="5">
        <f>E20+E23+E24+E27</f>
        <v>0</v>
      </c>
    </row>
    <row r="31" spans="2:5" ht="15" customHeight="1" x14ac:dyDescent="0.25">
      <c r="B31" s="17" t="s">
        <v>100</v>
      </c>
      <c r="C31" s="17"/>
      <c r="D31" s="17"/>
      <c r="E31" s="17"/>
    </row>
    <row r="32" spans="2:5" ht="15" customHeight="1" outlineLevel="1" x14ac:dyDescent="0.25">
      <c r="B32" s="12" t="s">
        <v>99</v>
      </c>
      <c r="C32" s="18">
        <f>SUM(C33:C34)</f>
        <v>-52652.33</v>
      </c>
      <c r="D32" s="18">
        <f>SUM(D33:D34)</f>
        <v>0</v>
      </c>
      <c r="E32" s="18">
        <f>SUM(E33:E34)</f>
        <v>0</v>
      </c>
    </row>
    <row r="33" spans="2:13" ht="15" customHeight="1" outlineLevel="2" x14ac:dyDescent="0.25">
      <c r="B33" s="4" t="s">
        <v>98</v>
      </c>
      <c r="C33" s="31">
        <v>-52652.33</v>
      </c>
      <c r="D33" s="31">
        <v>0</v>
      </c>
      <c r="E33" s="31">
        <v>0</v>
      </c>
    </row>
    <row r="34" spans="2:13" ht="15" customHeight="1" outlineLevel="2" x14ac:dyDescent="0.25">
      <c r="B34" s="6" t="s">
        <v>12</v>
      </c>
      <c r="C34" s="31">
        <v>0</v>
      </c>
      <c r="D34" s="31">
        <v>0</v>
      </c>
      <c r="E34" s="31">
        <v>0</v>
      </c>
    </row>
    <row r="35" spans="2:13" ht="15" customHeight="1" outlineLevel="1" x14ac:dyDescent="0.25">
      <c r="B35" s="8" t="s">
        <v>97</v>
      </c>
      <c r="C35" s="7">
        <f>SUM(C36:C36)</f>
        <v>0</v>
      </c>
      <c r="D35" s="7">
        <f>SUM(D36:D36)</f>
        <v>0</v>
      </c>
      <c r="E35" s="7">
        <f>SUM(E36:E36)</f>
        <v>0</v>
      </c>
    </row>
    <row r="36" spans="2:13" ht="15" customHeight="1" outlineLevel="2" x14ac:dyDescent="0.25">
      <c r="B36" s="6" t="s">
        <v>96</v>
      </c>
      <c r="C36" s="31">
        <v>0</v>
      </c>
      <c r="D36" s="31">
        <v>0</v>
      </c>
      <c r="E36" s="31">
        <v>0</v>
      </c>
    </row>
    <row r="37" spans="2:13" ht="15" customHeight="1" outlineLevel="2" x14ac:dyDescent="0.25">
      <c r="B37" s="25" t="s">
        <v>95</v>
      </c>
      <c r="C37" s="7">
        <f>SUM(C38:C39)</f>
        <v>900622</v>
      </c>
      <c r="D37" s="7">
        <f>SUM(D38:D39)</f>
        <v>0</v>
      </c>
      <c r="E37" s="7">
        <f>SUM(E38:E39)</f>
        <v>126760</v>
      </c>
      <c r="M37" s="57"/>
    </row>
    <row r="38" spans="2:13" ht="15" customHeight="1" outlineLevel="3" x14ac:dyDescent="0.25">
      <c r="B38" s="24" t="s">
        <v>94</v>
      </c>
      <c r="C38" s="31">
        <v>900622</v>
      </c>
      <c r="D38" s="31">
        <v>0</v>
      </c>
      <c r="E38" s="31">
        <v>126760</v>
      </c>
    </row>
    <row r="39" spans="2:13" ht="15" customHeight="1" outlineLevel="3" x14ac:dyDescent="0.25">
      <c r="B39" s="20" t="s">
        <v>126</v>
      </c>
      <c r="C39" s="31">
        <v>0</v>
      </c>
      <c r="D39" s="31">
        <v>0</v>
      </c>
      <c r="E39" s="31">
        <v>0</v>
      </c>
    </row>
    <row r="40" spans="2:13" ht="15" customHeight="1" outlineLevel="1" x14ac:dyDescent="0.25">
      <c r="B40" s="8" t="s">
        <v>93</v>
      </c>
      <c r="C40" s="7">
        <f>C41</f>
        <v>0</v>
      </c>
      <c r="D40" s="7">
        <f>D41</f>
        <v>100000</v>
      </c>
      <c r="E40" s="7">
        <f>E41</f>
        <v>0</v>
      </c>
      <c r="M40" s="57"/>
    </row>
    <row r="41" spans="2:13" ht="15" customHeight="1" outlineLevel="2" x14ac:dyDescent="0.25">
      <c r="B41" s="21" t="s">
        <v>92</v>
      </c>
      <c r="C41" s="18">
        <f>C42+C43</f>
        <v>0</v>
      </c>
      <c r="D41" s="18">
        <f>D42+D43</f>
        <v>100000</v>
      </c>
      <c r="E41" s="18">
        <f>E42+E43</f>
        <v>0</v>
      </c>
    </row>
    <row r="42" spans="2:13" ht="15" customHeight="1" outlineLevel="3" x14ac:dyDescent="0.25">
      <c r="B42" s="20" t="s">
        <v>91</v>
      </c>
      <c r="C42" s="31">
        <v>0</v>
      </c>
      <c r="D42" s="31">
        <v>100000</v>
      </c>
      <c r="E42" s="31">
        <v>0</v>
      </c>
    </row>
    <row r="43" spans="2:13" ht="15" customHeight="1" outlineLevel="3" x14ac:dyDescent="0.25">
      <c r="B43" s="24" t="s">
        <v>90</v>
      </c>
      <c r="C43" s="31">
        <v>0</v>
      </c>
      <c r="D43" s="31">
        <v>0</v>
      </c>
      <c r="E43" s="31">
        <v>0</v>
      </c>
    </row>
    <row r="44" spans="2:13" ht="15" customHeight="1" outlineLevel="1" x14ac:dyDescent="0.25">
      <c r="B44" s="8" t="s">
        <v>89</v>
      </c>
      <c r="C44" s="7">
        <f>SUM(C45:C46)</f>
        <v>100000</v>
      </c>
      <c r="D44" s="7">
        <f>SUM(D45:D46)</f>
        <v>176501</v>
      </c>
      <c r="E44" s="7">
        <f>SUM(E45:E46)</f>
        <v>0</v>
      </c>
    </row>
    <row r="45" spans="2:13" ht="15" customHeight="1" outlineLevel="2" x14ac:dyDescent="0.25">
      <c r="B45" s="6" t="s">
        <v>88</v>
      </c>
      <c r="C45" s="31">
        <v>0</v>
      </c>
      <c r="D45" s="31">
        <v>0</v>
      </c>
      <c r="E45" s="30">
        <f>-'Change in Equity'!E29</f>
        <v>0</v>
      </c>
    </row>
    <row r="46" spans="2:13" ht="15" customHeight="1" outlineLevel="2" x14ac:dyDescent="0.25">
      <c r="B46" s="4" t="s">
        <v>87</v>
      </c>
      <c r="C46" s="31">
        <v>100000</v>
      </c>
      <c r="D46" s="31">
        <v>176501</v>
      </c>
      <c r="E46" s="31">
        <v>0</v>
      </c>
    </row>
    <row r="47" spans="2:13" ht="15" customHeight="1" x14ac:dyDescent="0.25">
      <c r="B47" s="16" t="s">
        <v>86</v>
      </c>
      <c r="C47" s="5">
        <f>C32+C35+C37+C40+C44</f>
        <v>947969.67</v>
      </c>
      <c r="D47" s="5">
        <f>D32+D35+D37+D40+D44</f>
        <v>276501</v>
      </c>
      <c r="E47" s="5">
        <f>E32+E35+E37+E40+E44</f>
        <v>126760</v>
      </c>
    </row>
    <row r="48" spans="2:13" ht="15" customHeight="1" x14ac:dyDescent="0.25">
      <c r="B48" s="19" t="s">
        <v>85</v>
      </c>
      <c r="C48" s="5">
        <f>C18+C30+C47</f>
        <v>1461391.9882957246</v>
      </c>
      <c r="D48" s="5">
        <f>D18+D30+D47</f>
        <v>301569.06925602065</v>
      </c>
      <c r="E48" s="5">
        <f>E18+E30+E47</f>
        <v>107989.75</v>
      </c>
    </row>
    <row r="49" spans="2:5" ht="15" customHeight="1" x14ac:dyDescent="0.25">
      <c r="B49" s="17" t="s">
        <v>84</v>
      </c>
      <c r="C49" s="7">
        <f>C18+C20</f>
        <v>673422.31829572469</v>
      </c>
      <c r="D49" s="7">
        <f>D18+D20</f>
        <v>45068.069256020652</v>
      </c>
      <c r="E49" s="7">
        <f>E18+E20</f>
        <v>-18770.25</v>
      </c>
    </row>
    <row r="50" spans="2:5" ht="15" customHeight="1" outlineLevel="1" x14ac:dyDescent="0.25">
      <c r="B50" s="16" t="s">
        <v>83</v>
      </c>
      <c r="C50" s="14">
        <f>C49/'Income Statement'!C44</f>
        <v>8.658262211624427</v>
      </c>
      <c r="D50" s="14">
        <f>D49/'Income Statement'!D44</f>
        <v>0.67602779911830091</v>
      </c>
      <c r="E50" s="14">
        <f>E49/'Income Statement'!E44</f>
        <v>-0.28155656556565567</v>
      </c>
    </row>
    <row r="51" spans="2:5" ht="15" customHeight="1" outlineLevel="1" x14ac:dyDescent="0.25">
      <c r="B51" s="13" t="s">
        <v>82</v>
      </c>
      <c r="C51" s="10">
        <f>C50/C52</f>
        <v>9.1187595699046095E-2</v>
      </c>
      <c r="D51" s="10">
        <f>D50/D52</f>
        <v>0.35580410479910574</v>
      </c>
      <c r="E51" s="10">
        <f>E50/E52</f>
        <v>-0.1481876660871872</v>
      </c>
    </row>
    <row r="52" spans="2:5" ht="15" customHeight="1" outlineLevel="1" x14ac:dyDescent="0.25">
      <c r="B52" s="13" t="s">
        <v>182</v>
      </c>
      <c r="C52" s="32">
        <v>94.95</v>
      </c>
      <c r="D52" s="32">
        <v>1.9</v>
      </c>
      <c r="E52" s="32">
        <v>1.9</v>
      </c>
    </row>
    <row r="53" spans="2:5" ht="15" customHeight="1" x14ac:dyDescent="0.25">
      <c r="B53" s="2" t="s">
        <v>120</v>
      </c>
    </row>
  </sheetData>
  <mergeCells count="1">
    <mergeCell ref="B1:C1"/>
  </mergeCells>
  <conditionalFormatting sqref="C22:E22">
    <cfRule type="cellIs" dxfId="2" priority="2" operator="lessThan">
      <formula>0</formula>
    </cfRule>
  </conditionalFormatting>
  <conditionalFormatting sqref="C39:E39">
    <cfRule type="cellIs" dxfId="1" priority="1" operator="lessThan">
      <formula>0</formula>
    </cfRule>
  </conditionalFormatting>
  <pageMargins left="0.75" right="0.75" top="1" bottom="1" header="0.5" footer="0.5"/>
  <ignoredErrors>
    <ignoredError sqref="C20 D20:E2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E44-A039-4D2F-B034-80A56E4366CA}">
  <sheetPr>
    <outlinePr summaryBelow="0" summaryRight="0"/>
  </sheetPr>
  <dimension ref="B1:I40"/>
  <sheetViews>
    <sheetView topLeftCell="A16" workbookViewId="0">
      <selection activeCell="H39" sqref="H39"/>
    </sheetView>
  </sheetViews>
  <sheetFormatPr defaultColWidth="9.109375" defaultRowHeight="15" customHeight="1" outlineLevelRow="1" x14ac:dyDescent="0.25"/>
  <cols>
    <col min="1" max="1" width="9.109375" style="1"/>
    <col min="2" max="2" width="51.33203125" style="1" customWidth="1"/>
    <col min="3" max="5" width="9.109375" style="1" bestFit="1" customWidth="1"/>
    <col min="6" max="7" width="9.109375" style="1"/>
    <col min="8" max="8" width="18" style="1" bestFit="1" customWidth="1"/>
    <col min="9" max="9" width="17.33203125" style="1" bestFit="1" customWidth="1"/>
    <col min="10" max="16384" width="9.109375" style="1"/>
  </cols>
  <sheetData>
    <row r="1" spans="2:5" ht="15" customHeight="1" x14ac:dyDescent="0.3">
      <c r="B1" s="68" t="s">
        <v>117</v>
      </c>
      <c r="C1" s="69"/>
      <c r="D1" s="44"/>
      <c r="E1" s="44"/>
    </row>
    <row r="2" spans="2:5" ht="15" customHeight="1" x14ac:dyDescent="0.3">
      <c r="B2" s="45">
        <f>Shareholders!B2</f>
        <v>94.95</v>
      </c>
    </row>
    <row r="3" spans="2:5" ht="15" customHeight="1" x14ac:dyDescent="0.25">
      <c r="B3" s="23"/>
      <c r="C3" s="23"/>
      <c r="D3" s="23"/>
      <c r="E3" s="23"/>
    </row>
    <row r="5" spans="2:5" ht="15" customHeight="1" x14ac:dyDescent="0.25">
      <c r="B5" s="22" t="s">
        <v>118</v>
      </c>
      <c r="C5" s="22"/>
      <c r="D5" s="22"/>
      <c r="E5" s="22"/>
    </row>
    <row r="6" spans="2:5" ht="15" customHeight="1" x14ac:dyDescent="0.25">
      <c r="B6" s="22" t="s">
        <v>119</v>
      </c>
      <c r="C6" s="22"/>
      <c r="D6" s="22"/>
      <c r="E6" s="22"/>
    </row>
    <row r="7" spans="2:5" ht="15" customHeight="1" x14ac:dyDescent="0.25">
      <c r="B7" s="22"/>
      <c r="C7" s="29">
        <v>45869</v>
      </c>
      <c r="D7" s="29">
        <v>45838</v>
      </c>
      <c r="E7" s="29">
        <v>45808</v>
      </c>
    </row>
    <row r="8" spans="2:5" ht="15" customHeight="1" x14ac:dyDescent="0.25">
      <c r="B8" s="9" t="s">
        <v>140</v>
      </c>
      <c r="C8" s="9"/>
      <c r="D8" s="9"/>
      <c r="E8" s="9"/>
    </row>
    <row r="9" spans="2:5" ht="15" customHeight="1" x14ac:dyDescent="0.25">
      <c r="B9" s="60" t="s">
        <v>183</v>
      </c>
      <c r="C9" s="61">
        <f>D14</f>
        <v>66666</v>
      </c>
      <c r="D9" s="61">
        <f>E14</f>
        <v>66666</v>
      </c>
      <c r="E9" s="61">
        <v>0</v>
      </c>
    </row>
    <row r="10" spans="2:5" ht="15" customHeight="1" outlineLevel="1" x14ac:dyDescent="0.25">
      <c r="B10" s="4" t="s">
        <v>187</v>
      </c>
      <c r="C10" s="31">
        <v>11112</v>
      </c>
      <c r="D10" s="31">
        <v>0</v>
      </c>
      <c r="E10" s="31">
        <v>66666</v>
      </c>
    </row>
    <row r="11" spans="2:5" ht="15" customHeight="1" outlineLevel="1" x14ac:dyDescent="0.25">
      <c r="B11" s="6" t="s">
        <v>96</v>
      </c>
      <c r="C11" s="31">
        <v>0</v>
      </c>
      <c r="D11" s="31">
        <v>0</v>
      </c>
      <c r="E11" s="31">
        <v>0</v>
      </c>
    </row>
    <row r="12" spans="2:5" ht="15" customHeight="1" outlineLevel="1" x14ac:dyDescent="0.25">
      <c r="B12" s="4" t="s">
        <v>188</v>
      </c>
      <c r="C12" s="31">
        <v>0</v>
      </c>
      <c r="D12" s="31">
        <v>0</v>
      </c>
      <c r="E12" s="31">
        <v>0</v>
      </c>
    </row>
    <row r="13" spans="2:5" ht="15" customHeight="1" outlineLevel="1" x14ac:dyDescent="0.25">
      <c r="B13" s="6" t="s">
        <v>189</v>
      </c>
      <c r="C13" s="31">
        <v>0</v>
      </c>
      <c r="D13" s="31">
        <v>0</v>
      </c>
      <c r="E13" s="31">
        <v>0</v>
      </c>
    </row>
    <row r="14" spans="2:5" ht="15" customHeight="1" x14ac:dyDescent="0.25">
      <c r="B14" s="60" t="s">
        <v>184</v>
      </c>
      <c r="C14" s="61">
        <f>SUM(C9:C13)</f>
        <v>77778</v>
      </c>
      <c r="D14" s="61">
        <f t="shared" ref="D14:E14" si="0">SUM(D9:D13)</f>
        <v>66666</v>
      </c>
      <c r="E14" s="61">
        <f t="shared" si="0"/>
        <v>66666</v>
      </c>
    </row>
    <row r="15" spans="2:5" ht="15" customHeight="1" x14ac:dyDescent="0.25">
      <c r="B15" s="9" t="s">
        <v>185</v>
      </c>
      <c r="C15" s="9"/>
      <c r="D15" s="9"/>
      <c r="E15" s="9"/>
    </row>
    <row r="16" spans="2:5" ht="15" customHeight="1" x14ac:dyDescent="0.25">
      <c r="B16" s="60" t="s">
        <v>183</v>
      </c>
      <c r="C16" s="61">
        <f>D23</f>
        <v>91550.825066118909</v>
      </c>
      <c r="D16" s="61">
        <f>E23</f>
        <v>78864.25</v>
      </c>
      <c r="E16" s="61">
        <v>0</v>
      </c>
    </row>
    <row r="17" spans="2:9" ht="15" customHeight="1" outlineLevel="1" x14ac:dyDescent="0.25">
      <c r="B17" s="6" t="s">
        <v>187</v>
      </c>
      <c r="C17" s="31">
        <v>890622</v>
      </c>
      <c r="D17" s="31">
        <v>0</v>
      </c>
      <c r="E17" s="31">
        <v>78864.25</v>
      </c>
    </row>
    <row r="18" spans="2:9" ht="15" customHeight="1" outlineLevel="1" x14ac:dyDescent="0.25">
      <c r="B18" s="6" t="s">
        <v>96</v>
      </c>
      <c r="C18" s="31">
        <v>0</v>
      </c>
      <c r="D18" s="31">
        <v>0</v>
      </c>
      <c r="E18" s="31">
        <v>0</v>
      </c>
    </row>
    <row r="19" spans="2:9" ht="15" customHeight="1" outlineLevel="1" x14ac:dyDescent="0.25">
      <c r="B19" s="6" t="s">
        <v>188</v>
      </c>
      <c r="C19" s="31">
        <v>0</v>
      </c>
      <c r="D19" s="31">
        <v>0</v>
      </c>
      <c r="E19" s="31">
        <v>0</v>
      </c>
    </row>
    <row r="20" spans="2:9" ht="15" customHeight="1" outlineLevel="1" x14ac:dyDescent="0.25">
      <c r="B20" s="6" t="s">
        <v>189</v>
      </c>
      <c r="C20" s="31">
        <v>0</v>
      </c>
      <c r="D20" s="31">
        <v>0</v>
      </c>
      <c r="E20" s="31">
        <v>0</v>
      </c>
    </row>
    <row r="21" spans="2:9" ht="15" customHeight="1" outlineLevel="1" x14ac:dyDescent="0.25">
      <c r="B21" s="6" t="s">
        <v>192</v>
      </c>
      <c r="C21" s="31">
        <v>0</v>
      </c>
      <c r="D21" s="31">
        <v>0</v>
      </c>
      <c r="E21" s="31">
        <v>0</v>
      </c>
    </row>
    <row r="22" spans="2:9" ht="15" customHeight="1" outlineLevel="1" x14ac:dyDescent="0.25">
      <c r="B22" s="6" t="s">
        <v>190</v>
      </c>
      <c r="C22" s="31">
        <v>0</v>
      </c>
      <c r="D22" s="31">
        <v>12686.575066118909</v>
      </c>
      <c r="E22" s="31">
        <v>0</v>
      </c>
    </row>
    <row r="23" spans="2:9" ht="15" customHeight="1" x14ac:dyDescent="0.25">
      <c r="B23" s="60" t="s">
        <v>184</v>
      </c>
      <c r="C23" s="62">
        <f>SUM(C16:C22)</f>
        <v>982172.82506611897</v>
      </c>
      <c r="D23" s="62">
        <f t="shared" ref="D23:E23" si="1">SUM(D16:D22)</f>
        <v>91550.825066118909</v>
      </c>
      <c r="E23" s="62">
        <f t="shared" si="1"/>
        <v>78864.25</v>
      </c>
    </row>
    <row r="24" spans="2:9" ht="15" customHeight="1" x14ac:dyDescent="0.25">
      <c r="B24" s="17" t="s">
        <v>49</v>
      </c>
      <c r="C24" s="17"/>
      <c r="D24" s="17"/>
      <c r="E24" s="17"/>
    </row>
    <row r="25" spans="2:9" ht="15" customHeight="1" x14ac:dyDescent="0.25">
      <c r="B25" s="60" t="s">
        <v>183</v>
      </c>
      <c r="C25" s="61">
        <f>D32</f>
        <v>82054.549181395443</v>
      </c>
      <c r="D25" s="61">
        <f>E32</f>
        <v>0</v>
      </c>
      <c r="E25" s="61">
        <v>0</v>
      </c>
    </row>
    <row r="26" spans="2:9" ht="15" customHeight="1" outlineLevel="1" x14ac:dyDescent="0.25">
      <c r="B26" s="6" t="s">
        <v>13</v>
      </c>
      <c r="C26" s="65">
        <f>'Income Statement'!C41</f>
        <v>488668.58392072463</v>
      </c>
      <c r="D26" s="65">
        <v>241179.30363102065</v>
      </c>
      <c r="E26" s="65">
        <v>0</v>
      </c>
    </row>
    <row r="27" spans="2:9" ht="15" customHeight="1" outlineLevel="1" x14ac:dyDescent="0.25">
      <c r="B27" s="4" t="s">
        <v>98</v>
      </c>
      <c r="C27" s="31">
        <v>-61547.873839564898</v>
      </c>
      <c r="D27" s="31">
        <v>-52652.33</v>
      </c>
      <c r="E27" s="31">
        <v>0</v>
      </c>
      <c r="H27" s="57"/>
    </row>
    <row r="28" spans="2:9" ht="15" customHeight="1" outlineLevel="1" x14ac:dyDescent="0.25">
      <c r="B28" s="6" t="s">
        <v>12</v>
      </c>
      <c r="C28" s="31">
        <v>0</v>
      </c>
      <c r="D28" s="31">
        <v>0</v>
      </c>
      <c r="E28" s="31">
        <v>0</v>
      </c>
      <c r="I28" s="63"/>
    </row>
    <row r="29" spans="2:9" ht="15" customHeight="1" outlineLevel="1" x14ac:dyDescent="0.25">
      <c r="B29" s="6" t="s">
        <v>191</v>
      </c>
      <c r="C29" s="31">
        <v>-324545.793712079</v>
      </c>
      <c r="D29" s="31">
        <v>-106472.42444962519</v>
      </c>
      <c r="E29" s="31">
        <v>0</v>
      </c>
      <c r="H29" s="57"/>
    </row>
    <row r="30" spans="2:9" ht="15" customHeight="1" outlineLevel="1" x14ac:dyDescent="0.25">
      <c r="B30" s="6" t="s">
        <v>96</v>
      </c>
      <c r="C30" s="31">
        <v>0</v>
      </c>
      <c r="D30" s="31">
        <v>0</v>
      </c>
      <c r="E30" s="31">
        <v>0</v>
      </c>
      <c r="I30" s="57"/>
    </row>
    <row r="31" spans="2:9" ht="15" customHeight="1" outlineLevel="1" x14ac:dyDescent="0.25">
      <c r="B31" s="6" t="s">
        <v>192</v>
      </c>
      <c r="C31" s="31">
        <v>0</v>
      </c>
      <c r="D31" s="31">
        <v>0</v>
      </c>
      <c r="E31" s="31">
        <v>0</v>
      </c>
    </row>
    <row r="32" spans="2:9" ht="15" customHeight="1" x14ac:dyDescent="0.25">
      <c r="B32" s="60" t="s">
        <v>184</v>
      </c>
      <c r="C32" s="62">
        <f>SUM(C25:C31)</f>
        <v>184629.46555047622</v>
      </c>
      <c r="D32" s="62">
        <f t="shared" ref="D32:E32" si="2">SUM(D25:D31)</f>
        <v>82054.549181395443</v>
      </c>
      <c r="E32" s="62">
        <f t="shared" si="2"/>
        <v>0</v>
      </c>
      <c r="H32" s="57"/>
      <c r="I32" s="57"/>
    </row>
    <row r="33" spans="2:9" ht="15" customHeight="1" x14ac:dyDescent="0.25">
      <c r="B33" s="17" t="s">
        <v>186</v>
      </c>
      <c r="C33" s="17"/>
      <c r="D33" s="17"/>
      <c r="E33" s="17"/>
      <c r="H33" s="64"/>
    </row>
    <row r="34" spans="2:9" ht="15" customHeight="1" x14ac:dyDescent="0.25">
      <c r="B34" s="60" t="s">
        <v>183</v>
      </c>
      <c r="C34" s="62">
        <f>D36</f>
        <v>0</v>
      </c>
      <c r="D34" s="62">
        <f>E36</f>
        <v>0</v>
      </c>
      <c r="E34" s="62">
        <v>0</v>
      </c>
      <c r="H34" s="63"/>
      <c r="I34" s="57"/>
    </row>
    <row r="35" spans="2:9" ht="15" customHeight="1" outlineLevel="1" x14ac:dyDescent="0.25">
      <c r="B35" s="6" t="s">
        <v>193</v>
      </c>
      <c r="C35" s="31">
        <v>0</v>
      </c>
      <c r="D35" s="31">
        <v>0</v>
      </c>
      <c r="E35" s="31">
        <v>0</v>
      </c>
    </row>
    <row r="36" spans="2:9" ht="15" customHeight="1" x14ac:dyDescent="0.25">
      <c r="B36" s="60" t="s">
        <v>184</v>
      </c>
      <c r="C36" s="62">
        <f>SUM(C34:C35)</f>
        <v>0</v>
      </c>
      <c r="D36" s="62">
        <f t="shared" ref="D36:E36" si="3">SUM(D34:D35)</f>
        <v>0</v>
      </c>
      <c r="E36" s="62">
        <f t="shared" si="3"/>
        <v>0</v>
      </c>
      <c r="H36" s="37"/>
    </row>
    <row r="37" spans="2:9" ht="15" customHeight="1" x14ac:dyDescent="0.25">
      <c r="B37" s="17" t="s">
        <v>46</v>
      </c>
      <c r="C37" s="7">
        <f>C14+C23+C32</f>
        <v>1244580.2906165952</v>
      </c>
      <c r="D37" s="7">
        <f t="shared" ref="D37:E37" si="4">D14+D23+D32</f>
        <v>240271.37424751435</v>
      </c>
      <c r="E37" s="7">
        <f t="shared" si="4"/>
        <v>145530.25</v>
      </c>
    </row>
    <row r="38" spans="2:9" ht="15" customHeight="1" x14ac:dyDescent="0.25">
      <c r="B38" s="2" t="s">
        <v>120</v>
      </c>
    </row>
    <row r="39" spans="2:9" ht="15" customHeight="1" x14ac:dyDescent="0.25">
      <c r="H39" s="57"/>
    </row>
    <row r="40" spans="2:9" ht="15" customHeight="1" x14ac:dyDescent="0.25">
      <c r="C40" s="1" t="str">
        <f>IF(C37='Balance Sheet'!C73, "OK", C37-'Balance Sheet'!C73)</f>
        <v>OK</v>
      </c>
      <c r="D40" s="1" t="str">
        <f>IF(D37='Balance Sheet'!D73, "OK", D37-'Balance Sheet'!D73)</f>
        <v>OK</v>
      </c>
      <c r="E40" s="1" t="str">
        <f>IF(E37='Balance Sheet'!E73, "OK", E37-'Balance Sheet'!E73)</f>
        <v>OK</v>
      </c>
    </row>
  </sheetData>
  <mergeCells count="1">
    <mergeCell ref="B1:C1"/>
  </mergeCells>
  <conditionalFormatting sqref="C19:E19">
    <cfRule type="cellIs" dxfId="0" priority="2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Shareholders</vt:lpstr>
      <vt:lpstr>Income Statement</vt:lpstr>
      <vt:lpstr>Balance Sheet</vt:lpstr>
      <vt:lpstr>Cash Flow</vt:lpstr>
      <vt:lpstr>Change in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Wong</dc:creator>
  <cp:lastModifiedBy>Trevor Wong</cp:lastModifiedBy>
  <dcterms:created xsi:type="dcterms:W3CDTF">2025-07-19T07:04:05Z</dcterms:created>
  <dcterms:modified xsi:type="dcterms:W3CDTF">2025-08-01T23:12:52Z</dcterms:modified>
</cp:coreProperties>
</file>