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omed\producao\ACOMPANHAMENTO ORÇAMENTÁRIO\"/>
    </mc:Choice>
  </mc:AlternateContent>
  <bookViews>
    <workbookView xWindow="0" yWindow="0" windowWidth="28800" windowHeight="1372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" i="1" l="1"/>
  <c r="E127" i="1"/>
  <c r="Q110" i="1"/>
  <c r="Q114" i="1"/>
  <c r="Q117" i="1" l="1"/>
  <c r="P117" i="1"/>
  <c r="O117" i="1"/>
  <c r="N117" i="1"/>
  <c r="M117" i="1"/>
  <c r="L117" i="1"/>
  <c r="K117" i="1"/>
  <c r="J117" i="1"/>
  <c r="I117" i="1"/>
  <c r="H117" i="1"/>
  <c r="G117" i="1"/>
  <c r="F117" i="1"/>
  <c r="E117" i="1"/>
  <c r="Q116" i="1"/>
  <c r="P115" i="1"/>
  <c r="O115" i="1"/>
  <c r="P111" i="1" l="1"/>
  <c r="O110" i="1" l="1"/>
  <c r="P110" i="1"/>
  <c r="Q109" i="1"/>
  <c r="E14" i="1" l="1"/>
  <c r="P57" i="1" l="1"/>
  <c r="E110" i="1" l="1"/>
  <c r="P54" i="1" l="1"/>
  <c r="O101" i="1"/>
  <c r="Q29" i="1" l="1"/>
  <c r="L105" i="1" l="1"/>
  <c r="L56" i="1"/>
  <c r="K57" i="1" l="1"/>
  <c r="F71" i="1" l="1"/>
  <c r="D115" i="1" l="1"/>
  <c r="G58" i="1"/>
  <c r="E124" i="1" l="1"/>
  <c r="N115" i="1"/>
  <c r="M115" i="1"/>
  <c r="I57" i="1" l="1"/>
  <c r="J57" i="1" l="1"/>
  <c r="L115" i="1" l="1"/>
  <c r="K115" i="1"/>
  <c r="R49" i="1" l="1"/>
  <c r="Q49" i="1"/>
  <c r="S49" i="1" s="1"/>
  <c r="E71" i="1" l="1"/>
  <c r="H57" i="1" l="1"/>
  <c r="F57" i="1"/>
  <c r="G110" i="1" l="1"/>
  <c r="Q17" i="1" l="1"/>
  <c r="S17" i="1" s="1"/>
  <c r="Q90" i="1"/>
  <c r="D112" i="1" l="1"/>
  <c r="H32" i="1" l="1"/>
  <c r="J115" i="1" l="1"/>
  <c r="I115" i="1"/>
  <c r="F50" i="1"/>
  <c r="D71" i="1" l="1"/>
  <c r="D101" i="1" l="1"/>
  <c r="R62" i="1" l="1"/>
  <c r="Q62" i="1"/>
  <c r="R80" i="1"/>
  <c r="Q80" i="1"/>
  <c r="S62" i="1" l="1"/>
  <c r="S80" i="1"/>
  <c r="R53" i="1"/>
  <c r="Q53" i="1"/>
  <c r="S53" i="1" l="1"/>
  <c r="D105" i="1" l="1"/>
  <c r="F105" i="1"/>
  <c r="D95" i="1"/>
  <c r="D83" i="1"/>
  <c r="D57" i="1"/>
  <c r="D114" i="1" l="1"/>
  <c r="E123" i="1" s="1"/>
  <c r="H115" i="1"/>
  <c r="G115" i="1"/>
  <c r="F115" i="1"/>
  <c r="E115" i="1"/>
  <c r="Q115" i="1" l="1"/>
  <c r="E126" i="1" s="1"/>
  <c r="E28" i="1"/>
  <c r="E11" i="1" l="1"/>
  <c r="E6" i="1"/>
  <c r="E72" i="1"/>
  <c r="F56" i="1"/>
  <c r="F58" i="1"/>
  <c r="Q7" i="1" l="1"/>
  <c r="P21" i="1" l="1"/>
  <c r="P113" i="1" s="1"/>
  <c r="O21" i="1"/>
  <c r="O111" i="1" s="1"/>
  <c r="N21" i="1"/>
  <c r="N111" i="1" s="1"/>
  <c r="M21" i="1"/>
  <c r="M111" i="1" s="1"/>
  <c r="M113" i="1" s="1"/>
  <c r="L21" i="1"/>
  <c r="L111" i="1" s="1"/>
  <c r="K21" i="1"/>
  <c r="K111" i="1" s="1"/>
  <c r="K113" i="1" s="1"/>
  <c r="J21" i="1"/>
  <c r="J111" i="1" s="1"/>
  <c r="I21" i="1"/>
  <c r="I111" i="1" s="1"/>
  <c r="G21" i="1"/>
  <c r="G111" i="1" s="1"/>
  <c r="K114" i="1" l="1"/>
  <c r="P114" i="1"/>
  <c r="M114" i="1"/>
  <c r="N113" i="1"/>
  <c r="N114" i="1" s="1"/>
  <c r="O113" i="1"/>
  <c r="O114" i="1" s="1"/>
  <c r="L113" i="1" l="1"/>
  <c r="L114" i="1" s="1"/>
  <c r="J113" i="1" l="1"/>
  <c r="J114" i="1" s="1"/>
  <c r="G113" i="1" l="1"/>
  <c r="G114" i="1" s="1"/>
  <c r="I113" i="1"/>
  <c r="I114" i="1" s="1"/>
  <c r="Q112" i="1"/>
  <c r="U118" i="1" l="1"/>
  <c r="H21" i="1"/>
  <c r="H111" i="1" s="1"/>
  <c r="H113" i="1" l="1"/>
  <c r="H114" i="1" l="1"/>
  <c r="F21" i="1"/>
  <c r="F111" i="1" l="1"/>
  <c r="F113" i="1" s="1"/>
  <c r="F114" i="1" s="1"/>
  <c r="E21" i="1"/>
  <c r="E111" i="1" s="1"/>
  <c r="R103" i="1"/>
  <c r="E113" i="1" l="1"/>
  <c r="Q113" i="1" l="1"/>
  <c r="E114" i="1"/>
  <c r="Q105" i="1"/>
  <c r="R104" i="1"/>
  <c r="Q104" i="1"/>
  <c r="R102" i="1"/>
  <c r="Q102" i="1"/>
  <c r="R101" i="1"/>
  <c r="Q101" i="1"/>
  <c r="R99" i="1"/>
  <c r="Q99" i="1"/>
  <c r="R95" i="1"/>
  <c r="Q95" i="1"/>
  <c r="R94" i="1"/>
  <c r="Q94" i="1"/>
  <c r="Q93" i="1"/>
  <c r="S93" i="1" s="1"/>
  <c r="R91" i="1"/>
  <c r="Q91" i="1"/>
  <c r="R88" i="1"/>
  <c r="Q88" i="1"/>
  <c r="Q87" i="1"/>
  <c r="S87" i="1" s="1"/>
  <c r="R86" i="1"/>
  <c r="Q86" i="1"/>
  <c r="R84" i="1"/>
  <c r="Q84" i="1"/>
  <c r="R81" i="1"/>
  <c r="Q81" i="1"/>
  <c r="R75" i="1"/>
  <c r="Q75" i="1"/>
  <c r="R74" i="1"/>
  <c r="Q74" i="1"/>
  <c r="R72" i="1"/>
  <c r="Q72" i="1"/>
  <c r="R71" i="1"/>
  <c r="Q71" i="1"/>
  <c r="R69" i="1"/>
  <c r="Q69" i="1"/>
  <c r="R68" i="1"/>
  <c r="Q68" i="1"/>
  <c r="R66" i="1"/>
  <c r="Q66" i="1"/>
  <c r="Q64" i="1"/>
  <c r="S64" i="1" s="1"/>
  <c r="R61" i="1"/>
  <c r="Q61" i="1"/>
  <c r="R60" i="1"/>
  <c r="Q60" i="1"/>
  <c r="R59" i="1"/>
  <c r="Q59" i="1"/>
  <c r="R58" i="1"/>
  <c r="Q58" i="1"/>
  <c r="Q57" i="1"/>
  <c r="Q56" i="1"/>
  <c r="S56" i="1" s="1"/>
  <c r="R54" i="1"/>
  <c r="Q54" i="1"/>
  <c r="Q50" i="1"/>
  <c r="R48" i="1"/>
  <c r="Q48" i="1"/>
  <c r="R46" i="1"/>
  <c r="Q46" i="1"/>
  <c r="R45" i="1"/>
  <c r="Q45" i="1"/>
  <c r="R44" i="1"/>
  <c r="Q44" i="1"/>
  <c r="R42" i="1"/>
  <c r="Q42" i="1"/>
  <c r="Q103" i="1"/>
  <c r="S103" i="1" s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28" i="1"/>
  <c r="Q28" i="1"/>
  <c r="Q23" i="1"/>
  <c r="S23" i="1" s="1"/>
  <c r="R20" i="1"/>
  <c r="Q20" i="1"/>
  <c r="Q19" i="1"/>
  <c r="S19" i="1" s="1"/>
  <c r="R18" i="1"/>
  <c r="Q18" i="1"/>
  <c r="R16" i="1"/>
  <c r="Q16" i="1"/>
  <c r="R15" i="1"/>
  <c r="Q15" i="1"/>
  <c r="R14" i="1"/>
  <c r="Q14" i="1"/>
  <c r="R13" i="1"/>
  <c r="Q13" i="1"/>
  <c r="R12" i="1"/>
  <c r="Q12" i="1"/>
  <c r="Q11" i="1"/>
  <c r="S11" i="1" s="1"/>
  <c r="R10" i="1"/>
  <c r="Q10" i="1"/>
  <c r="R9" i="1"/>
  <c r="Q9" i="1"/>
  <c r="Q8" i="1"/>
  <c r="S8" i="1" s="1"/>
  <c r="R6" i="1"/>
  <c r="Q6" i="1"/>
  <c r="R5" i="1"/>
  <c r="Q5" i="1"/>
  <c r="R4" i="1"/>
  <c r="Q4" i="1"/>
  <c r="R3" i="1"/>
  <c r="Q3" i="1"/>
  <c r="R2" i="1"/>
  <c r="Q2" i="1"/>
  <c r="E121" i="1" l="1"/>
  <c r="E128" i="1" s="1"/>
  <c r="S4" i="1"/>
  <c r="S16" i="1"/>
  <c r="S81" i="1"/>
  <c r="S104" i="1"/>
  <c r="S15" i="1"/>
  <c r="S75" i="1"/>
  <c r="S84" i="1"/>
  <c r="S102" i="1"/>
  <c r="S72" i="1"/>
  <c r="S60" i="1"/>
  <c r="S54" i="1"/>
  <c r="S38" i="1"/>
  <c r="S91" i="1"/>
  <c r="S46" i="1"/>
  <c r="S88" i="1"/>
  <c r="S2" i="1"/>
  <c r="S99" i="1"/>
  <c r="S32" i="1"/>
  <c r="S66" i="1"/>
  <c r="S69" i="1"/>
  <c r="S86" i="1"/>
  <c r="S94" i="1"/>
  <c r="S20" i="1"/>
  <c r="S33" i="1"/>
  <c r="S35" i="1"/>
  <c r="S59" i="1"/>
  <c r="S68" i="1"/>
  <c r="S95" i="1"/>
  <c r="S61" i="1"/>
  <c r="S14" i="1"/>
  <c r="S28" i="1"/>
  <c r="S3" i="1"/>
  <c r="S5" i="1"/>
  <c r="S10" i="1"/>
  <c r="S12" i="1"/>
  <c r="S37" i="1"/>
  <c r="S45" i="1"/>
  <c r="S71" i="1"/>
  <c r="S74" i="1"/>
  <c r="S115" i="1"/>
  <c r="S6" i="1"/>
  <c r="S9" i="1"/>
  <c r="S13" i="1"/>
  <c r="S18" i="1"/>
  <c r="S34" i="1"/>
  <c r="S42" i="1"/>
  <c r="S44" i="1"/>
  <c r="S48" i="1"/>
  <c r="S58" i="1"/>
  <c r="S105" i="1"/>
  <c r="S36" i="1"/>
  <c r="S101" i="1"/>
  <c r="R21" i="1"/>
  <c r="R114" i="1"/>
  <c r="R50" i="1"/>
  <c r="S50" i="1" s="1"/>
  <c r="R57" i="1"/>
  <c r="S57" i="1" s="1"/>
  <c r="Q21" i="1" l="1"/>
  <c r="S114" i="1" l="1"/>
  <c r="T114" i="1"/>
  <c r="S21" i="1"/>
</calcChain>
</file>

<file path=xl/sharedStrings.xml><?xml version="1.0" encoding="utf-8"?>
<sst xmlns="http://schemas.openxmlformats.org/spreadsheetml/2006/main" count="154" uniqueCount="152">
  <si>
    <t xml:space="preserve">CREDENCIADO </t>
  </si>
  <si>
    <t>EMPENHO</t>
  </si>
  <si>
    <t>NE</t>
  </si>
  <si>
    <t>Jan_Exec</t>
  </si>
  <si>
    <t>Fev_Exec</t>
  </si>
  <si>
    <t>Mar_Exec</t>
  </si>
  <si>
    <t>Abr_Exec</t>
  </si>
  <si>
    <t>Mai_Exec</t>
  </si>
  <si>
    <t>Jun_Exec</t>
  </si>
  <si>
    <t>Jul_Exec</t>
  </si>
  <si>
    <t>Ago_Exec</t>
  </si>
  <si>
    <t>Set_Exec</t>
  </si>
  <si>
    <t>Out_Exec</t>
  </si>
  <si>
    <t>Nov_Exec</t>
  </si>
  <si>
    <t>Dez_exec</t>
  </si>
  <si>
    <t>Tot_Exec</t>
  </si>
  <si>
    <t>Tot. Part. Serv.</t>
  </si>
  <si>
    <t>% Exec</t>
  </si>
  <si>
    <t>SALDO</t>
  </si>
  <si>
    <t>ALESSANDRA CAMPOS W. P. DE LEÃO</t>
  </si>
  <si>
    <t>ALESSANDRA GORAYEB SANTIAGO</t>
  </si>
  <si>
    <t>ALEXANDRA MARIA DE SOUSA VALENTE</t>
  </si>
  <si>
    <t>ANA LÚCIA DUTRA VIEIRA</t>
  </si>
  <si>
    <t>DÉBORA FERRETTI</t>
  </si>
  <si>
    <t>HERÁCLIO BARBOSA</t>
  </si>
  <si>
    <t>JIHAN AMUD DO NASCIMENTO</t>
  </si>
  <si>
    <t>JOSYVALDA MARIA</t>
  </si>
  <si>
    <t>JULIANE CARNEIRO</t>
  </si>
  <si>
    <t>JUSSARA MARIA H. DE CARVALHO</t>
  </si>
  <si>
    <t>MARIA ANTÔNIA BELMONT DE LIMA</t>
  </si>
  <si>
    <t>MARIA CECÍLIA MENDES CARVALHO</t>
  </si>
  <si>
    <t>MARISILVIA PARDO</t>
  </si>
  <si>
    <t>MICAELA BENCHIMOL DE R. GARCIA</t>
  </si>
  <si>
    <t>SHEILA MARIA</t>
  </si>
  <si>
    <t>SONIA COLFERAI</t>
  </si>
  <si>
    <t>TOTAL PESSOA FÍSICA</t>
  </si>
  <si>
    <t>ANESTESIOLOGISTAS</t>
  </si>
  <si>
    <t>BENEFICENTE PORTUGUESA</t>
  </si>
  <si>
    <t xml:space="preserve">CDL – CTO DE DIAGN LAB. (SANTOS E VIDAL) </t>
  </si>
  <si>
    <t>CEDOA - CTO DE DIAG. OFTAL. AMAZÔNIA</t>
  </si>
  <si>
    <t>CEDOF</t>
  </si>
  <si>
    <t>CENTRO MÉDICO SALUS</t>
  </si>
  <si>
    <t xml:space="preserve">CHECK  UP </t>
  </si>
  <si>
    <t>C.I.A.</t>
  </si>
  <si>
    <t>CIMO</t>
  </si>
  <si>
    <t>CLÍN. DE IMAGEM MOLECULAR</t>
  </si>
  <si>
    <t>CLIF - CL DE FISIOTERAPIA</t>
  </si>
  <si>
    <t>CLINFIT</t>
  </si>
  <si>
    <t>CPDE</t>
  </si>
  <si>
    <t>C.O.M</t>
  </si>
  <si>
    <t>CROMA (Clínica de Radiologia Odontológica)</t>
  </si>
  <si>
    <t>DENTSCLIN</t>
  </si>
  <si>
    <t>FISIOCENTER (João Batista Gomes)</t>
  </si>
  <si>
    <t>HOSPITAL SANTO ALBERTO</t>
  </si>
  <si>
    <t xml:space="preserve">HOSPITAL  SANTA  JÚLIA </t>
  </si>
  <si>
    <t>HOSPITAL E MATERNIDADE SAMEL</t>
  </si>
  <si>
    <t>I.A.C</t>
  </si>
  <si>
    <t>I C V - INST. CARDIOVASCULAR</t>
  </si>
  <si>
    <t>IAAM - INST. DE ACUP. DO AM (RRS SERV)</t>
  </si>
  <si>
    <t>ICON – INST DE CIR OC DO N (S. Domingos)</t>
  </si>
  <si>
    <t>KENYA KONASUGAWA (LAB. KENYA)</t>
  </si>
  <si>
    <t>LAB. ANALISES CLÍNIC. COSTA CURTA</t>
  </si>
  <si>
    <t>LIFE SAÚDE</t>
  </si>
  <si>
    <t>LUCILENE MARIA LÉDO MOREIRA</t>
  </si>
  <si>
    <t>LUNA ODONTOLOGIA</t>
  </si>
  <si>
    <t>MAGSCAN</t>
  </si>
  <si>
    <t>MAGTERRA</t>
  </si>
  <si>
    <t>NEUROENDO</t>
  </si>
  <si>
    <t>OCULISTAS ASSOCIADOS DE MANAUS</t>
  </si>
  <si>
    <t>ODONTOLOGIA MODERNA</t>
  </si>
  <si>
    <t>OFTALCENTER</t>
  </si>
  <si>
    <t>OTORRINO SKY</t>
  </si>
  <si>
    <t>OTORRINO CENTER</t>
  </si>
  <si>
    <t>PRODIMAGEM</t>
  </si>
  <si>
    <r>
      <t>RDB (</t>
    </r>
    <r>
      <rPr>
        <b/>
        <sz val="5"/>
        <rFont val="Garamond"/>
        <family val="1"/>
      </rPr>
      <t>ANÁLISES CLINICAS</t>
    </r>
    <r>
      <rPr>
        <b/>
        <sz val="7"/>
        <rFont val="Garamond"/>
        <family val="1"/>
      </rPr>
      <t>)</t>
    </r>
  </si>
  <si>
    <t>REUNIDOS</t>
  </si>
  <si>
    <t>SEFAT</t>
  </si>
  <si>
    <t xml:space="preserve">SENSUMED - IMAM - INST. DE MAMA </t>
  </si>
  <si>
    <t>SERV. DE ELET. E MARCA-PASSO S/S LTDA.</t>
  </si>
  <si>
    <t>UNIODONTO</t>
  </si>
  <si>
    <t>UNIMED NORTE NORDESTE</t>
  </si>
  <si>
    <t>UROCLIN</t>
  </si>
  <si>
    <t>RETORNO REAL</t>
  </si>
  <si>
    <t>REEMBOLSO</t>
  </si>
  <si>
    <t>PREVIDÊNCIA/GPS</t>
  </si>
  <si>
    <t>INSTITUTO DE ORTODONTIA-IOB</t>
  </si>
  <si>
    <t>UROMED</t>
  </si>
  <si>
    <t>RAUL CESAR FREITAS</t>
  </si>
  <si>
    <t xml:space="preserve"> SPAÇO REVIVER</t>
  </si>
  <si>
    <t>SADOF</t>
  </si>
  <si>
    <t>BIOCENTER</t>
  </si>
  <si>
    <t>ONCOCLIN</t>
  </si>
  <si>
    <t>VISION</t>
  </si>
  <si>
    <t>CITOAM</t>
  </si>
  <si>
    <t>ORTHOFIT</t>
  </si>
  <si>
    <t>ORAL CLIN</t>
  </si>
  <si>
    <t>ARTE ODONTOLÓGICA</t>
  </si>
  <si>
    <t>RENATA FRANCO</t>
  </si>
  <si>
    <t>SABIN</t>
  </si>
  <si>
    <t>C&amp;F GASTROENTEROLOGIA</t>
  </si>
  <si>
    <t>CONSULCLIN</t>
  </si>
  <si>
    <t>S B COMÉRCIO</t>
  </si>
  <si>
    <t>TOTAL DE DÉBITOS</t>
  </si>
  <si>
    <t>TOTAL DE CRÉDITOS</t>
  </si>
  <si>
    <t>rebe</t>
  </si>
  <si>
    <t>ATELIÊ DO SORRISO</t>
  </si>
  <si>
    <t>EQUILIBRIUM</t>
  </si>
  <si>
    <t>JC SERVIÇOS MÉDICOS</t>
  </si>
  <si>
    <t>AMAZONCOR</t>
  </si>
  <si>
    <t>GRIZELDA AMORIM</t>
  </si>
  <si>
    <t>CLINFISIO</t>
  </si>
  <si>
    <t>SANTÉ PLUS</t>
  </si>
  <si>
    <t>SHEILA MARIA SENA</t>
  </si>
  <si>
    <t>INSTITUTO DE NEUROCIRURGIA</t>
  </si>
  <si>
    <t>MENTALCOR</t>
  </si>
  <si>
    <t>BELLA PELE</t>
  </si>
  <si>
    <t>TOTAL PESSOA JURÍDICA</t>
  </si>
  <si>
    <t>AMAZODONTO (ABDIAS TELES)</t>
  </si>
  <si>
    <t>ACOMPANHAMENTO ORÇAMENTÁRIO PROMED e PROFARMA</t>
  </si>
  <si>
    <t>ORÇAMENTO RECEBIDO 2018</t>
  </si>
  <si>
    <t>REBECCA BARBOSA</t>
  </si>
  <si>
    <t>SALDO ATÉ O MOMENTO</t>
  </si>
  <si>
    <t>TOTAL DE SERVIÇOS DE 2017 PAGOS COM O ORÇAMENTO DE 2018</t>
  </si>
  <si>
    <t>DESPESA 2017</t>
  </si>
  <si>
    <t>FISIOVITA</t>
  </si>
  <si>
    <t>OCULLARE</t>
  </si>
  <si>
    <t>INNAM</t>
  </si>
  <si>
    <t>TOTAL DE SERVIÇOS DE 2017 PAGOS COM A PARTICIP. DO SERVIDOR</t>
  </si>
  <si>
    <t xml:space="preserve">TOTAL DE DÉBITOS 2018 </t>
  </si>
  <si>
    <t>MARCOS DE CARVALHO (M.A.L. DE CARVALHO)</t>
  </si>
  <si>
    <t>PINA</t>
  </si>
  <si>
    <t>PARTICIPAÇÃO DOS SERVIDORES</t>
  </si>
  <si>
    <t>DENTAL KIDS (ÉRIKA PERINI)</t>
  </si>
  <si>
    <t>INSTITUTO VITOR DIB</t>
  </si>
  <si>
    <t>PAIS &amp; FILHOS</t>
  </si>
  <si>
    <t>CLINICA DE ESTEOPOROSE</t>
  </si>
  <si>
    <t>MAIS CLÍNICA</t>
  </si>
  <si>
    <t>AUXILIO PORTARIA 73/2018</t>
  </si>
  <si>
    <t>ESPAÇO SAUDE (HM SERVIÇOS)</t>
  </si>
  <si>
    <t>HOSPITAL ADVENTISTA</t>
  </si>
  <si>
    <t>SANTA CLARA</t>
  </si>
  <si>
    <t xml:space="preserve">NOSSA CLÍNICA </t>
  </si>
  <si>
    <t>-</t>
  </si>
  <si>
    <t xml:space="preserve"> </t>
  </si>
  <si>
    <t>UNIÃO</t>
  </si>
  <si>
    <t>AMARELO</t>
  </si>
  <si>
    <t>VERDE</t>
  </si>
  <si>
    <t>PATICIPAÇÃO DO SERVIDOR</t>
  </si>
  <si>
    <t>AZUL</t>
  </si>
  <si>
    <t>SEM PAGAMENTO</t>
  </si>
  <si>
    <t>MENSALIDADE</t>
  </si>
  <si>
    <t>COPARTICIPAÇÃO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</si>
</sst>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"/>
      <name val="Garamond"/>
      <family val="1"/>
    </font>
    <font>
      <b/>
      <sz val="8"/>
      <name val="Garamond"/>
      <family val="1"/>
    </font>
    <font>
      <b/>
      <sz val="8"/>
      <color indexed="18"/>
      <name val="Garamond"/>
      <family val="1"/>
    </font>
    <font>
      <sz val="8"/>
      <name val="Garamond"/>
      <family val="1"/>
    </font>
    <font>
      <sz val="8"/>
      <color indexed="18"/>
      <name val="Garamond"/>
      <family val="1"/>
    </font>
    <font>
      <sz val="8"/>
      <color indexed="10"/>
      <name val="Garamond"/>
      <family val="1"/>
    </font>
    <font>
      <sz val="8"/>
      <color theme="8" tint="-0.499984740745262"/>
      <name val="Garamond"/>
      <family val="1"/>
    </font>
    <font>
      <b/>
      <sz val="7"/>
      <color theme="9" tint="-0.499984740745262"/>
      <name val="Garamond"/>
      <family val="1"/>
    </font>
    <font>
      <b/>
      <sz val="8"/>
      <color theme="9" tint="-0.499984740745262"/>
      <name val="Garamond"/>
      <family val="1"/>
    </font>
    <font>
      <b/>
      <sz val="5"/>
      <name val="Garamond"/>
      <family val="1"/>
    </font>
    <font>
      <sz val="7"/>
      <name val="Garamond"/>
      <family val="1"/>
    </font>
    <font>
      <b/>
      <sz val="7"/>
      <color theme="8" tint="-0.249977111117893"/>
      <name val="Garamond"/>
      <family val="1"/>
    </font>
    <font>
      <b/>
      <sz val="8"/>
      <color theme="8" tint="-0.249977111117893"/>
      <name val="Garamond"/>
      <family val="1"/>
    </font>
    <font>
      <sz val="8"/>
      <color theme="8" tint="-0.249977111117893"/>
      <name val="Garamond"/>
      <family val="1"/>
    </font>
    <font>
      <b/>
      <sz val="7"/>
      <color rgb="FF7030A0"/>
      <name val="Garamond"/>
      <family val="1"/>
    </font>
    <font>
      <b/>
      <sz val="8"/>
      <color rgb="FF7030A0"/>
      <name val="Garamond"/>
      <family val="1"/>
    </font>
    <font>
      <sz val="8"/>
      <color rgb="FF7030A0"/>
      <name val="Garamond"/>
      <family val="1"/>
    </font>
    <font>
      <b/>
      <sz val="11"/>
      <name val="Garamond"/>
      <family val="1"/>
    </font>
    <font>
      <sz val="11"/>
      <color indexed="10"/>
      <name val="Garamond"/>
      <family val="1"/>
    </font>
    <font>
      <sz val="11"/>
      <color indexed="18"/>
      <name val="Garamond"/>
      <family val="1"/>
    </font>
    <font>
      <sz val="11"/>
      <name val="Garamond"/>
      <family val="1"/>
    </font>
    <font>
      <sz val="8"/>
      <color rgb="FFFF0000"/>
      <name val="Garamond"/>
      <family val="1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2">
    <xf numFmtId="0" fontId="0" fillId="0" borderId="0" xfId="0"/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5" fillId="0" borderId="0" xfId="0" applyNumberFormat="1" applyFont="1" applyBorder="1"/>
    <xf numFmtId="0" fontId="5" fillId="0" borderId="0" xfId="0" applyFont="1" applyBorder="1"/>
    <xf numFmtId="0" fontId="5" fillId="0" borderId="0" xfId="0" applyFont="1"/>
    <xf numFmtId="0" fontId="2" fillId="0" borderId="1" xfId="0" applyFont="1" applyFill="1" applyBorder="1"/>
    <xf numFmtId="165" fontId="5" fillId="0" borderId="1" xfId="0" applyNumberFormat="1" applyFont="1" applyFill="1" applyBorder="1"/>
    <xf numFmtId="1" fontId="6" fillId="0" borderId="1" xfId="0" applyNumberFormat="1" applyFont="1" applyFill="1" applyBorder="1" applyAlignment="1">
      <alignment horizontal="center"/>
    </xf>
    <xf numFmtId="43" fontId="5" fillId="0" borderId="1" xfId="1" applyFont="1" applyFill="1" applyBorder="1" applyAlignment="1">
      <alignment horizontal="center"/>
    </xf>
    <xf numFmtId="43" fontId="7" fillId="0" borderId="1" xfId="1" applyFont="1" applyFill="1" applyBorder="1" applyAlignment="1">
      <alignment horizontal="right"/>
    </xf>
    <xf numFmtId="43" fontId="6" fillId="0" borderId="1" xfId="1" applyFont="1" applyFill="1" applyBorder="1"/>
    <xf numFmtId="43" fontId="7" fillId="0" borderId="1" xfId="1" applyFont="1" applyFill="1" applyBorder="1"/>
    <xf numFmtId="43" fontId="8" fillId="0" borderId="1" xfId="1" applyFont="1" applyFill="1" applyBorder="1"/>
    <xf numFmtId="43" fontId="5" fillId="0" borderId="1" xfId="1" applyFont="1" applyBorder="1"/>
    <xf numFmtId="10" fontId="3" fillId="0" borderId="1" xfId="1" applyNumberFormat="1" applyFont="1" applyFill="1" applyBorder="1" applyAlignment="1">
      <alignment horizontal="center"/>
    </xf>
    <xf numFmtId="43" fontId="4" fillId="0" borderId="1" xfId="1" applyFont="1" applyFill="1" applyBorder="1"/>
    <xf numFmtId="165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165" fontId="7" fillId="0" borderId="0" xfId="0" applyNumberFormat="1" applyFont="1" applyFill="1" applyBorder="1"/>
    <xf numFmtId="165" fontId="7" fillId="0" borderId="1" xfId="0" applyNumberFormat="1" applyFont="1" applyFill="1" applyBorder="1"/>
    <xf numFmtId="0" fontId="2" fillId="0" borderId="2" xfId="0" applyFont="1" applyFill="1" applyBorder="1"/>
    <xf numFmtId="165" fontId="5" fillId="0" borderId="2" xfId="0" applyNumberFormat="1" applyFont="1" applyFill="1" applyBorder="1"/>
    <xf numFmtId="1" fontId="6" fillId="0" borderId="2" xfId="0" applyNumberFormat="1" applyFont="1" applyFill="1" applyBorder="1" applyAlignment="1">
      <alignment horizontal="center"/>
    </xf>
    <xf numFmtId="43" fontId="5" fillId="0" borderId="2" xfId="1" applyFont="1" applyFill="1" applyBorder="1" applyAlignment="1">
      <alignment horizontal="center"/>
    </xf>
    <xf numFmtId="43" fontId="7" fillId="0" borderId="2" xfId="1" applyFont="1" applyFill="1" applyBorder="1" applyAlignment="1">
      <alignment horizontal="right"/>
    </xf>
    <xf numFmtId="43" fontId="6" fillId="0" borderId="2" xfId="1" applyFont="1" applyFill="1" applyBorder="1"/>
    <xf numFmtId="43" fontId="7" fillId="0" borderId="2" xfId="1" applyFont="1" applyFill="1" applyBorder="1"/>
    <xf numFmtId="0" fontId="2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165" fontId="10" fillId="0" borderId="2" xfId="0" applyNumberFormat="1" applyFont="1" applyFill="1" applyBorder="1"/>
    <xf numFmtId="1" fontId="10" fillId="0" borderId="2" xfId="0" applyNumberFormat="1" applyFont="1" applyFill="1" applyBorder="1" applyAlignment="1">
      <alignment horizontal="center"/>
    </xf>
    <xf numFmtId="43" fontId="10" fillId="0" borderId="2" xfId="1" applyFont="1" applyFill="1" applyBorder="1" applyAlignment="1">
      <alignment horizontal="center"/>
    </xf>
    <xf numFmtId="43" fontId="10" fillId="0" borderId="2" xfId="1" applyFont="1" applyFill="1" applyBorder="1" applyAlignment="1">
      <alignment horizontal="right"/>
    </xf>
    <xf numFmtId="43" fontId="10" fillId="0" borderId="1" xfId="1" applyFont="1" applyFill="1" applyBorder="1"/>
    <xf numFmtId="165" fontId="10" fillId="0" borderId="0" xfId="0" applyNumberFormat="1" applyFont="1" applyFill="1" applyBorder="1"/>
    <xf numFmtId="0" fontId="10" fillId="0" borderId="0" xfId="0" applyFont="1" applyFill="1" applyBorder="1"/>
    <xf numFmtId="0" fontId="10" fillId="0" borderId="0" xfId="0" applyFont="1" applyFill="1"/>
    <xf numFmtId="0" fontId="2" fillId="0" borderId="1" xfId="0" applyFont="1" applyFill="1" applyBorder="1" applyAlignment="1">
      <alignment vertical="center"/>
    </xf>
    <xf numFmtId="165" fontId="5" fillId="0" borderId="1" xfId="0" applyNumberFormat="1" applyFont="1" applyBorder="1"/>
    <xf numFmtId="43" fontId="5" fillId="0" borderId="1" xfId="1" applyFont="1" applyBorder="1" applyAlignment="1">
      <alignment horizontal="center"/>
    </xf>
    <xf numFmtId="43" fontId="7" fillId="0" borderId="1" xfId="1" applyFont="1" applyBorder="1" applyAlignment="1">
      <alignment horizontal="right"/>
    </xf>
    <xf numFmtId="43" fontId="6" fillId="0" borderId="1" xfId="1" applyFont="1" applyBorder="1"/>
    <xf numFmtId="43" fontId="7" fillId="0" borderId="1" xfId="1" applyFont="1" applyBorder="1"/>
    <xf numFmtId="43" fontId="4" fillId="0" borderId="1" xfId="1" applyFont="1" applyBorder="1"/>
    <xf numFmtId="10" fontId="3" fillId="0" borderId="1" xfId="1" applyNumberFormat="1" applyFont="1" applyBorder="1" applyAlignment="1">
      <alignment horizontal="center"/>
    </xf>
    <xf numFmtId="0" fontId="2" fillId="0" borderId="1" xfId="0" applyFont="1" applyBorder="1"/>
    <xf numFmtId="43" fontId="7" fillId="0" borderId="0" xfId="1" applyFont="1" applyBorder="1" applyAlignment="1">
      <alignment horizontal="right"/>
    </xf>
    <xf numFmtId="43" fontId="6" fillId="0" borderId="0" xfId="1" applyFont="1" applyBorder="1"/>
    <xf numFmtId="43" fontId="7" fillId="0" borderId="0" xfId="1" applyFont="1" applyBorder="1"/>
    <xf numFmtId="43" fontId="5" fillId="0" borderId="0" xfId="1" applyFont="1" applyBorder="1"/>
    <xf numFmtId="10" fontId="3" fillId="0" borderId="0" xfId="1" applyNumberFormat="1" applyFont="1" applyBorder="1" applyAlignment="1">
      <alignment horizontal="center"/>
    </xf>
    <xf numFmtId="43" fontId="4" fillId="0" borderId="0" xfId="1" applyFont="1" applyBorder="1"/>
    <xf numFmtId="165" fontId="7" fillId="0" borderId="0" xfId="0" applyNumberFormat="1" applyFont="1" applyBorder="1"/>
    <xf numFmtId="0" fontId="12" fillId="0" borderId="0" xfId="0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0" fontId="6" fillId="0" borderId="0" xfId="0" applyFont="1"/>
    <xf numFmtId="0" fontId="13" fillId="3" borderId="2" xfId="0" applyFont="1" applyFill="1" applyBorder="1" applyAlignment="1">
      <alignment vertical="center"/>
    </xf>
    <xf numFmtId="165" fontId="14" fillId="3" borderId="2" xfId="0" applyNumberFormat="1" applyFont="1" applyFill="1" applyBorder="1"/>
    <xf numFmtId="1" fontId="14" fillId="3" borderId="2" xfId="0" applyNumberFormat="1" applyFont="1" applyFill="1" applyBorder="1" applyAlignment="1">
      <alignment horizontal="center"/>
    </xf>
    <xf numFmtId="43" fontId="14" fillId="3" borderId="2" xfId="1" applyFont="1" applyFill="1" applyBorder="1" applyAlignment="1">
      <alignment horizontal="center"/>
    </xf>
    <xf numFmtId="43" fontId="14" fillId="3" borderId="2" xfId="1" applyFont="1" applyFill="1" applyBorder="1" applyAlignment="1">
      <alignment horizontal="right"/>
    </xf>
    <xf numFmtId="43" fontId="15" fillId="3" borderId="1" xfId="1" applyFont="1" applyFill="1" applyBorder="1"/>
    <xf numFmtId="43" fontId="15" fillId="4" borderId="1" xfId="1" applyFont="1" applyFill="1" applyBorder="1"/>
    <xf numFmtId="10" fontId="14" fillId="4" borderId="1" xfId="1" applyNumberFormat="1" applyFont="1" applyFill="1" applyBorder="1" applyAlignment="1">
      <alignment horizontal="center"/>
    </xf>
    <xf numFmtId="43" fontId="14" fillId="4" borderId="1" xfId="1" applyFont="1" applyFill="1" applyBorder="1"/>
    <xf numFmtId="165" fontId="14" fillId="4" borderId="0" xfId="0" applyNumberFormat="1" applyFont="1" applyFill="1" applyBorder="1"/>
    <xf numFmtId="0" fontId="14" fillId="4" borderId="0" xfId="0" applyFont="1" applyFill="1" applyBorder="1"/>
    <xf numFmtId="0" fontId="14" fillId="4" borderId="0" xfId="0" applyFont="1" applyFill="1"/>
    <xf numFmtId="43" fontId="17" fillId="4" borderId="1" xfId="1" applyFont="1" applyFill="1" applyBorder="1"/>
    <xf numFmtId="43" fontId="18" fillId="4" borderId="1" xfId="1" applyFont="1" applyFill="1" applyBorder="1"/>
    <xf numFmtId="10" fontId="17" fillId="4" borderId="1" xfId="1" applyNumberFormat="1" applyFont="1" applyFill="1" applyBorder="1" applyAlignment="1">
      <alignment horizontal="center"/>
    </xf>
    <xf numFmtId="165" fontId="18" fillId="4" borderId="0" xfId="0" applyNumberFormat="1" applyFont="1" applyFill="1" applyBorder="1"/>
    <xf numFmtId="0" fontId="18" fillId="4" borderId="0" xfId="0" applyFont="1" applyFill="1" applyBorder="1"/>
    <xf numFmtId="0" fontId="18" fillId="4" borderId="0" xfId="0" applyFont="1" applyFill="1"/>
    <xf numFmtId="164" fontId="18" fillId="4" borderId="0" xfId="0" applyNumberFormat="1" applyFont="1" applyFill="1" applyBorder="1"/>
    <xf numFmtId="43" fontId="20" fillId="0" borderId="0" xfId="1" applyFont="1" applyBorder="1" applyAlignment="1">
      <alignment horizontal="right"/>
    </xf>
    <xf numFmtId="1" fontId="21" fillId="0" borderId="0" xfId="0" applyNumberFormat="1" applyFont="1" applyFill="1" applyBorder="1" applyAlignment="1">
      <alignment horizontal="center"/>
    </xf>
    <xf numFmtId="43" fontId="22" fillId="0" borderId="0" xfId="1" applyFont="1" applyBorder="1" applyAlignment="1">
      <alignment horizontal="center"/>
    </xf>
    <xf numFmtId="0" fontId="22" fillId="0" borderId="1" xfId="0" applyFont="1" applyFill="1" applyBorder="1"/>
    <xf numFmtId="165" fontId="22" fillId="0" borderId="1" xfId="0" applyNumberFormat="1" applyFont="1" applyBorder="1"/>
    <xf numFmtId="1" fontId="21" fillId="0" borderId="1" xfId="0" applyNumberFormat="1" applyFont="1" applyFill="1" applyBorder="1" applyAlignment="1">
      <alignment horizontal="center"/>
    </xf>
    <xf numFmtId="43" fontId="22" fillId="0" borderId="1" xfId="1" applyFont="1" applyBorder="1" applyAlignment="1">
      <alignment horizontal="center"/>
    </xf>
    <xf numFmtId="165" fontId="19" fillId="0" borderId="1" xfId="0" applyNumberFormat="1" applyFont="1" applyBorder="1"/>
    <xf numFmtId="0" fontId="19" fillId="0" borderId="1" xfId="0" applyFont="1" applyFill="1" applyBorder="1"/>
    <xf numFmtId="0" fontId="19" fillId="0" borderId="0" xfId="0" applyFont="1" applyFill="1" applyBorder="1"/>
    <xf numFmtId="164" fontId="22" fillId="0" borderId="0" xfId="0" applyNumberFormat="1" applyFont="1"/>
    <xf numFmtId="1" fontId="22" fillId="0" borderId="0" xfId="0" applyNumberFormat="1" applyFont="1"/>
    <xf numFmtId="0" fontId="22" fillId="0" borderId="0" xfId="0" applyFont="1"/>
    <xf numFmtId="43" fontId="5" fillId="5" borderId="1" xfId="1" applyFont="1" applyFill="1" applyBorder="1" applyAlignment="1">
      <alignment horizontal="center"/>
    </xf>
    <xf numFmtId="43" fontId="7" fillId="5" borderId="1" xfId="1" applyFont="1" applyFill="1" applyBorder="1" applyAlignment="1">
      <alignment horizontal="right"/>
    </xf>
    <xf numFmtId="43" fontId="5" fillId="0" borderId="0" xfId="0" applyNumberFormat="1" applyFont="1" applyFill="1" applyBorder="1"/>
    <xf numFmtId="43" fontId="7" fillId="5" borderId="1" xfId="1" applyFont="1" applyFill="1" applyBorder="1"/>
    <xf numFmtId="43" fontId="15" fillId="4" borderId="2" xfId="1" applyFont="1" applyFill="1" applyBorder="1"/>
    <xf numFmtId="0" fontId="13" fillId="3" borderId="1" xfId="0" applyFont="1" applyFill="1" applyBorder="1"/>
    <xf numFmtId="165" fontId="15" fillId="3" borderId="1" xfId="0" applyNumberFormat="1" applyFont="1" applyFill="1" applyBorder="1"/>
    <xf numFmtId="1" fontId="15" fillId="3" borderId="1" xfId="0" applyNumberFormat="1" applyFont="1" applyFill="1" applyBorder="1" applyAlignment="1">
      <alignment horizontal="center"/>
    </xf>
    <xf numFmtId="43" fontId="5" fillId="3" borderId="1" xfId="1" applyFont="1" applyFill="1" applyBorder="1" applyAlignment="1">
      <alignment horizontal="center"/>
    </xf>
    <xf numFmtId="43" fontId="15" fillId="3" borderId="1" xfId="1" applyFont="1" applyFill="1" applyBorder="1" applyAlignment="1">
      <alignment horizontal="right"/>
    </xf>
    <xf numFmtId="43" fontId="5" fillId="3" borderId="1" xfId="1" applyFont="1" applyFill="1" applyBorder="1"/>
    <xf numFmtId="0" fontId="16" fillId="6" borderId="1" xfId="0" applyFont="1" applyFill="1" applyBorder="1" applyAlignment="1">
      <alignment vertical="center"/>
    </xf>
    <xf numFmtId="165" fontId="17" fillId="6" borderId="1" xfId="0" applyNumberFormat="1" applyFont="1" applyFill="1" applyBorder="1"/>
    <xf numFmtId="1" fontId="17" fillId="6" borderId="1" xfId="0" applyNumberFormat="1" applyFont="1" applyFill="1" applyBorder="1" applyAlignment="1">
      <alignment horizontal="center"/>
    </xf>
    <xf numFmtId="43" fontId="3" fillId="6" borderId="1" xfId="1" applyFont="1" applyFill="1" applyBorder="1" applyAlignment="1">
      <alignment horizontal="right"/>
    </xf>
    <xf numFmtId="43" fontId="17" fillId="6" borderId="1" xfId="1" applyFont="1" applyFill="1" applyBorder="1" applyAlignment="1">
      <alignment horizontal="right"/>
    </xf>
    <xf numFmtId="43" fontId="17" fillId="6" borderId="1" xfId="1" applyFont="1" applyFill="1" applyBorder="1"/>
    <xf numFmtId="0" fontId="16" fillId="6" borderId="1" xfId="0" applyFont="1" applyFill="1" applyBorder="1"/>
    <xf numFmtId="165" fontId="18" fillId="6" borderId="1" xfId="0" applyNumberFormat="1" applyFont="1" applyFill="1" applyBorder="1"/>
    <xf numFmtId="1" fontId="18" fillId="6" borderId="1" xfId="0" applyNumberFormat="1" applyFont="1" applyFill="1" applyBorder="1" applyAlignment="1">
      <alignment horizontal="center"/>
    </xf>
    <xf numFmtId="43" fontId="5" fillId="6" borderId="1" xfId="1" applyFont="1" applyFill="1" applyBorder="1" applyAlignment="1">
      <alignment horizontal="center"/>
    </xf>
    <xf numFmtId="43" fontId="18" fillId="6" borderId="1" xfId="1" applyFont="1" applyFill="1" applyBorder="1" applyAlignment="1">
      <alignment horizontal="right"/>
    </xf>
    <xf numFmtId="43" fontId="18" fillId="6" borderId="1" xfId="1" applyFont="1" applyFill="1" applyBorder="1"/>
    <xf numFmtId="43" fontId="7" fillId="0" borderId="0" xfId="1" applyNumberFormat="1" applyFont="1" applyBorder="1"/>
    <xf numFmtId="43" fontId="7" fillId="7" borderId="1" xfId="1" applyFont="1" applyFill="1" applyBorder="1" applyAlignment="1">
      <alignment horizontal="right"/>
    </xf>
    <xf numFmtId="43" fontId="7" fillId="7" borderId="1" xfId="1" applyFont="1" applyFill="1" applyBorder="1"/>
    <xf numFmtId="43" fontId="7" fillId="5" borderId="2" xfId="1" applyFont="1" applyFill="1" applyBorder="1" applyAlignment="1">
      <alignment horizontal="right"/>
    </xf>
    <xf numFmtId="43" fontId="7" fillId="7" borderId="2" xfId="1" applyFont="1" applyFill="1" applyBorder="1"/>
    <xf numFmtId="43" fontId="23" fillId="7" borderId="1" xfId="1" applyFont="1" applyFill="1" applyBorder="1" applyAlignment="1">
      <alignment horizontal="right"/>
    </xf>
    <xf numFmtId="43" fontId="22" fillId="0" borderId="1" xfId="1" applyFont="1" applyBorder="1" applyAlignment="1">
      <alignment horizontal="right"/>
    </xf>
    <xf numFmtId="43" fontId="7" fillId="4" borderId="1" xfId="1" applyFont="1" applyFill="1" applyBorder="1"/>
    <xf numFmtId="43" fontId="7" fillId="8" borderId="1" xfId="1" applyFont="1" applyFill="1" applyBorder="1"/>
    <xf numFmtId="43" fontId="23" fillId="7" borderId="1" xfId="1" applyFont="1" applyFill="1" applyBorder="1"/>
    <xf numFmtId="4" fontId="22" fillId="0" borderId="0" xfId="0" applyNumberFormat="1" applyFont="1"/>
    <xf numFmtId="43" fontId="7" fillId="9" borderId="1" xfId="1" applyFont="1" applyFill="1" applyBorder="1"/>
    <xf numFmtId="43" fontId="7" fillId="10" borderId="1" xfId="1" applyFont="1" applyFill="1" applyBorder="1"/>
    <xf numFmtId="43" fontId="23" fillId="0" borderId="0" xfId="1" applyNumberFormat="1" applyFont="1" applyBorder="1"/>
    <xf numFmtId="43" fontId="7" fillId="7" borderId="0" xfId="1" applyFont="1" applyFill="1" applyBorder="1"/>
    <xf numFmtId="43" fontId="5" fillId="7" borderId="0" xfId="1" applyFont="1" applyFill="1" applyBorder="1"/>
    <xf numFmtId="43" fontId="7" fillId="5" borderId="0" xfId="1" applyFont="1" applyFill="1" applyBorder="1"/>
    <xf numFmtId="43" fontId="5" fillId="5" borderId="0" xfId="1" applyFont="1" applyFill="1" applyBorder="1"/>
    <xf numFmtId="43" fontId="7" fillId="11" borderId="1" xfId="1" applyFont="1" applyFill="1" applyBorder="1" applyAlignment="1">
      <alignment horizontal="right"/>
    </xf>
    <xf numFmtId="43" fontId="7" fillId="11" borderId="1" xfId="1" applyFont="1" applyFill="1" applyBorder="1"/>
    <xf numFmtId="43" fontId="7" fillId="11" borderId="0" xfId="1" applyFont="1" applyFill="1" applyBorder="1"/>
    <xf numFmtId="43" fontId="5" fillId="11" borderId="0" xfId="1" applyFont="1" applyFill="1" applyBorder="1"/>
    <xf numFmtId="43" fontId="7" fillId="4" borderId="1" xfId="1" applyFont="1" applyFill="1" applyBorder="1" applyAlignment="1">
      <alignment horizontal="right"/>
    </xf>
    <xf numFmtId="0" fontId="19" fillId="0" borderId="4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2" fillId="0" borderId="1" xfId="0" applyFont="1" applyFill="1" applyBorder="1"/>
    <xf numFmtId="8" fontId="7" fillId="0" borderId="0" xfId="1" applyNumberFormat="1" applyFont="1" applyBorder="1"/>
    <xf numFmtId="8" fontId="24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/>
    <xf numFmtId="43" fontId="23" fillId="0" borderId="0" xfId="0" applyNumberFormat="1" applyFont="1" applyBorder="1"/>
    <xf numFmtId="43" fontId="5" fillId="0" borderId="0" xfId="0" applyNumberFormat="1" applyFont="1" applyBorder="1"/>
    <xf numFmtId="8" fontId="5" fillId="0" borderId="0" xfId="0" applyNumberFormat="1" applyFon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abSelected="1" zoomScaleNormal="100" workbookViewId="0">
      <pane ySplit="1" topLeftCell="A101" activePane="bottomLeft" state="frozen"/>
      <selection pane="bottomLeft" activeCell="G135" sqref="G135"/>
    </sheetView>
  </sheetViews>
  <sheetFormatPr defaultRowHeight="11.25" outlineLevelRow="1" outlineLevelCol="2" x14ac:dyDescent="0.2"/>
  <cols>
    <col min="1" max="1" width="34.140625" style="58" customWidth="1"/>
    <col min="2" max="2" width="17.5703125" style="59" hidden="1" customWidth="1"/>
    <col min="3" max="3" width="8.85546875" style="60" hidden="1" customWidth="1" outlineLevel="1"/>
    <col min="4" max="4" width="16.5703125" style="8" customWidth="1" outlineLevel="1"/>
    <col min="5" max="5" width="16.28515625" style="8" customWidth="1" outlineLevel="1"/>
    <col min="6" max="6" width="14.85546875" style="8" customWidth="1" outlineLevel="1"/>
    <col min="7" max="7" width="16.42578125" style="8" customWidth="1" outlineLevel="1"/>
    <col min="8" max="8" width="15.85546875" style="8" customWidth="1" outlineLevel="1"/>
    <col min="9" max="9" width="10.28515625" style="8" customWidth="1" outlineLevel="1"/>
    <col min="10" max="10" width="10.28515625" style="61" customWidth="1" outlineLevel="1"/>
    <col min="11" max="12" width="10" style="8" customWidth="1" outlineLevel="1"/>
    <col min="13" max="13" width="9.85546875" style="8" customWidth="1" outlineLevel="1"/>
    <col min="14" max="14" width="9.7109375" style="8" customWidth="1" outlineLevel="1"/>
    <col min="15" max="15" width="9.7109375" style="8" customWidth="1" outlineLevel="2"/>
    <col min="16" max="16" width="9.85546875" style="8" customWidth="1" outlineLevel="1"/>
    <col min="17" max="17" width="10" style="8" customWidth="1" outlineLevel="2"/>
    <col min="18" max="18" width="10" style="62" hidden="1" customWidth="1" outlineLevel="2"/>
    <col min="19" max="19" width="10.140625" style="8" hidden="1" customWidth="1" outlineLevel="2"/>
    <col min="20" max="20" width="10.140625" style="8" hidden="1" customWidth="1" outlineLevel="1"/>
    <col min="21" max="21" width="10.140625" style="6" customWidth="1" collapsed="1"/>
    <col min="22" max="22" width="9.42578125" style="7" customWidth="1"/>
    <col min="23" max="26" width="9.140625" style="7"/>
    <col min="27" max="27" width="24.5703125" style="7" customWidth="1"/>
    <col min="28" max="28" width="12.7109375" style="7" customWidth="1"/>
    <col min="29" max="30" width="9.140625" style="7"/>
    <col min="31" max="244" width="9.140625" style="8"/>
    <col min="245" max="245" width="29.5703125" style="8" customWidth="1"/>
    <col min="246" max="246" width="10" style="8" customWidth="1"/>
    <col min="247" max="248" width="0" style="8" hidden="1" customWidth="1"/>
    <col min="249" max="249" width="9" style="8" customWidth="1"/>
    <col min="250" max="250" width="9.28515625" style="8" customWidth="1"/>
    <col min="251" max="251" width="9.42578125" style="8" customWidth="1"/>
    <col min="252" max="253" width="9" style="8" customWidth="1"/>
    <col min="254" max="254" width="9.140625" style="8" customWidth="1"/>
    <col min="255" max="255" width="9" style="8" customWidth="1"/>
    <col min="256" max="256" width="11.42578125" style="8" customWidth="1"/>
    <col min="257" max="257" width="8.7109375" style="8" customWidth="1"/>
    <col min="258" max="258" width="8.85546875" style="8" customWidth="1"/>
    <col min="259" max="259" width="9.85546875" style="8" customWidth="1"/>
    <col min="260" max="260" width="8.85546875" style="8" customWidth="1"/>
    <col min="261" max="261" width="9" style="8" customWidth="1"/>
    <col min="262" max="262" width="8.7109375" style="8" customWidth="1"/>
    <col min="263" max="263" width="9.140625" style="8" customWidth="1"/>
    <col min="264" max="265" width="8.85546875" style="8" customWidth="1"/>
    <col min="266" max="266" width="9" style="8" customWidth="1"/>
    <col min="267" max="268" width="9.140625" style="8" customWidth="1"/>
    <col min="269" max="270" width="8.85546875" style="8" customWidth="1"/>
    <col min="271" max="272" width="8.7109375" style="8" customWidth="1"/>
    <col min="273" max="273" width="10.42578125" style="8" customWidth="1"/>
    <col min="274" max="274" width="8.28515625" style="8" customWidth="1"/>
    <col min="275" max="275" width="6.85546875" style="8" customWidth="1"/>
    <col min="276" max="276" width="10.85546875" style="8" customWidth="1"/>
    <col min="277" max="277" width="10.140625" style="8" customWidth="1"/>
    <col min="278" max="278" width="9.42578125" style="8" customWidth="1"/>
    <col min="279" max="282" width="9.140625" style="8"/>
    <col min="283" max="283" width="24.5703125" style="8" customWidth="1"/>
    <col min="284" max="284" width="12.7109375" style="8" customWidth="1"/>
    <col min="285" max="500" width="9.140625" style="8"/>
    <col min="501" max="501" width="29.5703125" style="8" customWidth="1"/>
    <col min="502" max="502" width="10" style="8" customWidth="1"/>
    <col min="503" max="504" width="0" style="8" hidden="1" customWidth="1"/>
    <col min="505" max="505" width="9" style="8" customWidth="1"/>
    <col min="506" max="506" width="9.28515625" style="8" customWidth="1"/>
    <col min="507" max="507" width="9.42578125" style="8" customWidth="1"/>
    <col min="508" max="509" width="9" style="8" customWidth="1"/>
    <col min="510" max="510" width="9.140625" style="8" customWidth="1"/>
    <col min="511" max="511" width="9" style="8" customWidth="1"/>
    <col min="512" max="512" width="11.42578125" style="8" customWidth="1"/>
    <col min="513" max="513" width="8.7109375" style="8" customWidth="1"/>
    <col min="514" max="514" width="8.85546875" style="8" customWidth="1"/>
    <col min="515" max="515" width="9.85546875" style="8" customWidth="1"/>
    <col min="516" max="516" width="8.85546875" style="8" customWidth="1"/>
    <col min="517" max="517" width="9" style="8" customWidth="1"/>
    <col min="518" max="518" width="8.7109375" style="8" customWidth="1"/>
    <col min="519" max="519" width="9.140625" style="8" customWidth="1"/>
    <col min="520" max="521" width="8.85546875" style="8" customWidth="1"/>
    <col min="522" max="522" width="9" style="8" customWidth="1"/>
    <col min="523" max="524" width="9.140625" style="8" customWidth="1"/>
    <col min="525" max="526" width="8.85546875" style="8" customWidth="1"/>
    <col min="527" max="528" width="8.7109375" style="8" customWidth="1"/>
    <col min="529" max="529" width="10.42578125" style="8" customWidth="1"/>
    <col min="530" max="530" width="8.28515625" style="8" customWidth="1"/>
    <col min="531" max="531" width="6.85546875" style="8" customWidth="1"/>
    <col min="532" max="532" width="10.85546875" style="8" customWidth="1"/>
    <col min="533" max="533" width="10.140625" style="8" customWidth="1"/>
    <col min="534" max="534" width="9.42578125" style="8" customWidth="1"/>
    <col min="535" max="538" width="9.140625" style="8"/>
    <col min="539" max="539" width="24.5703125" style="8" customWidth="1"/>
    <col min="540" max="540" width="12.7109375" style="8" customWidth="1"/>
    <col min="541" max="756" width="9.140625" style="8"/>
    <col min="757" max="757" width="29.5703125" style="8" customWidth="1"/>
    <col min="758" max="758" width="10" style="8" customWidth="1"/>
    <col min="759" max="760" width="0" style="8" hidden="1" customWidth="1"/>
    <col min="761" max="761" width="9" style="8" customWidth="1"/>
    <col min="762" max="762" width="9.28515625" style="8" customWidth="1"/>
    <col min="763" max="763" width="9.42578125" style="8" customWidth="1"/>
    <col min="764" max="765" width="9" style="8" customWidth="1"/>
    <col min="766" max="766" width="9.140625" style="8" customWidth="1"/>
    <col min="767" max="767" width="9" style="8" customWidth="1"/>
    <col min="768" max="768" width="11.42578125" style="8" customWidth="1"/>
    <col min="769" max="769" width="8.7109375" style="8" customWidth="1"/>
    <col min="770" max="770" width="8.85546875" style="8" customWidth="1"/>
    <col min="771" max="771" width="9.85546875" style="8" customWidth="1"/>
    <col min="772" max="772" width="8.85546875" style="8" customWidth="1"/>
    <col min="773" max="773" width="9" style="8" customWidth="1"/>
    <col min="774" max="774" width="8.7109375" style="8" customWidth="1"/>
    <col min="775" max="775" width="9.140625" style="8" customWidth="1"/>
    <col min="776" max="777" width="8.85546875" style="8" customWidth="1"/>
    <col min="778" max="778" width="9" style="8" customWidth="1"/>
    <col min="779" max="780" width="9.140625" style="8" customWidth="1"/>
    <col min="781" max="782" width="8.85546875" style="8" customWidth="1"/>
    <col min="783" max="784" width="8.7109375" style="8" customWidth="1"/>
    <col min="785" max="785" width="10.42578125" style="8" customWidth="1"/>
    <col min="786" max="786" width="8.28515625" style="8" customWidth="1"/>
    <col min="787" max="787" width="6.85546875" style="8" customWidth="1"/>
    <col min="788" max="788" width="10.85546875" style="8" customWidth="1"/>
    <col min="789" max="789" width="10.140625" style="8" customWidth="1"/>
    <col min="790" max="790" width="9.42578125" style="8" customWidth="1"/>
    <col min="791" max="794" width="9.140625" style="8"/>
    <col min="795" max="795" width="24.5703125" style="8" customWidth="1"/>
    <col min="796" max="796" width="12.7109375" style="8" customWidth="1"/>
    <col min="797" max="1012" width="9.140625" style="8"/>
    <col min="1013" max="1013" width="29.5703125" style="8" customWidth="1"/>
    <col min="1014" max="1014" width="10" style="8" customWidth="1"/>
    <col min="1015" max="1016" width="0" style="8" hidden="1" customWidth="1"/>
    <col min="1017" max="1017" width="9" style="8" customWidth="1"/>
    <col min="1018" max="1018" width="9.28515625" style="8" customWidth="1"/>
    <col min="1019" max="1019" width="9.42578125" style="8" customWidth="1"/>
    <col min="1020" max="1021" width="9" style="8" customWidth="1"/>
    <col min="1022" max="1022" width="9.140625" style="8" customWidth="1"/>
    <col min="1023" max="1023" width="9" style="8" customWidth="1"/>
    <col min="1024" max="1024" width="11.42578125" style="8" customWidth="1"/>
    <col min="1025" max="1025" width="8.7109375" style="8" customWidth="1"/>
    <col min="1026" max="1026" width="8.85546875" style="8" customWidth="1"/>
    <col min="1027" max="1027" width="9.85546875" style="8" customWidth="1"/>
    <col min="1028" max="1028" width="8.85546875" style="8" customWidth="1"/>
    <col min="1029" max="1029" width="9" style="8" customWidth="1"/>
    <col min="1030" max="1030" width="8.7109375" style="8" customWidth="1"/>
    <col min="1031" max="1031" width="9.140625" style="8" customWidth="1"/>
    <col min="1032" max="1033" width="8.85546875" style="8" customWidth="1"/>
    <col min="1034" max="1034" width="9" style="8" customWidth="1"/>
    <col min="1035" max="1036" width="9.140625" style="8" customWidth="1"/>
    <col min="1037" max="1038" width="8.85546875" style="8" customWidth="1"/>
    <col min="1039" max="1040" width="8.7109375" style="8" customWidth="1"/>
    <col min="1041" max="1041" width="10.42578125" style="8" customWidth="1"/>
    <col min="1042" max="1042" width="8.28515625" style="8" customWidth="1"/>
    <col min="1043" max="1043" width="6.85546875" style="8" customWidth="1"/>
    <col min="1044" max="1044" width="10.85546875" style="8" customWidth="1"/>
    <col min="1045" max="1045" width="10.140625" style="8" customWidth="1"/>
    <col min="1046" max="1046" width="9.42578125" style="8" customWidth="1"/>
    <col min="1047" max="1050" width="9.140625" style="8"/>
    <col min="1051" max="1051" width="24.5703125" style="8" customWidth="1"/>
    <col min="1052" max="1052" width="12.7109375" style="8" customWidth="1"/>
    <col min="1053" max="1268" width="9.140625" style="8"/>
    <col min="1269" max="1269" width="29.5703125" style="8" customWidth="1"/>
    <col min="1270" max="1270" width="10" style="8" customWidth="1"/>
    <col min="1271" max="1272" width="0" style="8" hidden="1" customWidth="1"/>
    <col min="1273" max="1273" width="9" style="8" customWidth="1"/>
    <col min="1274" max="1274" width="9.28515625" style="8" customWidth="1"/>
    <col min="1275" max="1275" width="9.42578125" style="8" customWidth="1"/>
    <col min="1276" max="1277" width="9" style="8" customWidth="1"/>
    <col min="1278" max="1278" width="9.140625" style="8" customWidth="1"/>
    <col min="1279" max="1279" width="9" style="8" customWidth="1"/>
    <col min="1280" max="1280" width="11.42578125" style="8" customWidth="1"/>
    <col min="1281" max="1281" width="8.7109375" style="8" customWidth="1"/>
    <col min="1282" max="1282" width="8.85546875" style="8" customWidth="1"/>
    <col min="1283" max="1283" width="9.85546875" style="8" customWidth="1"/>
    <col min="1284" max="1284" width="8.85546875" style="8" customWidth="1"/>
    <col min="1285" max="1285" width="9" style="8" customWidth="1"/>
    <col min="1286" max="1286" width="8.7109375" style="8" customWidth="1"/>
    <col min="1287" max="1287" width="9.140625" style="8" customWidth="1"/>
    <col min="1288" max="1289" width="8.85546875" style="8" customWidth="1"/>
    <col min="1290" max="1290" width="9" style="8" customWidth="1"/>
    <col min="1291" max="1292" width="9.140625" style="8" customWidth="1"/>
    <col min="1293" max="1294" width="8.85546875" style="8" customWidth="1"/>
    <col min="1295" max="1296" width="8.7109375" style="8" customWidth="1"/>
    <col min="1297" max="1297" width="10.42578125" style="8" customWidth="1"/>
    <col min="1298" max="1298" width="8.28515625" style="8" customWidth="1"/>
    <col min="1299" max="1299" width="6.85546875" style="8" customWidth="1"/>
    <col min="1300" max="1300" width="10.85546875" style="8" customWidth="1"/>
    <col min="1301" max="1301" width="10.140625" style="8" customWidth="1"/>
    <col min="1302" max="1302" width="9.42578125" style="8" customWidth="1"/>
    <col min="1303" max="1306" width="9.140625" style="8"/>
    <col min="1307" max="1307" width="24.5703125" style="8" customWidth="1"/>
    <col min="1308" max="1308" width="12.7109375" style="8" customWidth="1"/>
    <col min="1309" max="1524" width="9.140625" style="8"/>
    <col min="1525" max="1525" width="29.5703125" style="8" customWidth="1"/>
    <col min="1526" max="1526" width="10" style="8" customWidth="1"/>
    <col min="1527" max="1528" width="0" style="8" hidden="1" customWidth="1"/>
    <col min="1529" max="1529" width="9" style="8" customWidth="1"/>
    <col min="1530" max="1530" width="9.28515625" style="8" customWidth="1"/>
    <col min="1531" max="1531" width="9.42578125" style="8" customWidth="1"/>
    <col min="1532" max="1533" width="9" style="8" customWidth="1"/>
    <col min="1534" max="1534" width="9.140625" style="8" customWidth="1"/>
    <col min="1535" max="1535" width="9" style="8" customWidth="1"/>
    <col min="1536" max="1536" width="11.42578125" style="8" customWidth="1"/>
    <col min="1537" max="1537" width="8.7109375" style="8" customWidth="1"/>
    <col min="1538" max="1538" width="8.85546875" style="8" customWidth="1"/>
    <col min="1539" max="1539" width="9.85546875" style="8" customWidth="1"/>
    <col min="1540" max="1540" width="8.85546875" style="8" customWidth="1"/>
    <col min="1541" max="1541" width="9" style="8" customWidth="1"/>
    <col min="1542" max="1542" width="8.7109375" style="8" customWidth="1"/>
    <col min="1543" max="1543" width="9.140625" style="8" customWidth="1"/>
    <col min="1544" max="1545" width="8.85546875" style="8" customWidth="1"/>
    <col min="1546" max="1546" width="9" style="8" customWidth="1"/>
    <col min="1547" max="1548" width="9.140625" style="8" customWidth="1"/>
    <col min="1549" max="1550" width="8.85546875" style="8" customWidth="1"/>
    <col min="1551" max="1552" width="8.7109375" style="8" customWidth="1"/>
    <col min="1553" max="1553" width="10.42578125" style="8" customWidth="1"/>
    <col min="1554" max="1554" width="8.28515625" style="8" customWidth="1"/>
    <col min="1555" max="1555" width="6.85546875" style="8" customWidth="1"/>
    <col min="1556" max="1556" width="10.85546875" style="8" customWidth="1"/>
    <col min="1557" max="1557" width="10.140625" style="8" customWidth="1"/>
    <col min="1558" max="1558" width="9.42578125" style="8" customWidth="1"/>
    <col min="1559" max="1562" width="9.140625" style="8"/>
    <col min="1563" max="1563" width="24.5703125" style="8" customWidth="1"/>
    <col min="1564" max="1564" width="12.7109375" style="8" customWidth="1"/>
    <col min="1565" max="1780" width="9.140625" style="8"/>
    <col min="1781" max="1781" width="29.5703125" style="8" customWidth="1"/>
    <col min="1782" max="1782" width="10" style="8" customWidth="1"/>
    <col min="1783" max="1784" width="0" style="8" hidden="1" customWidth="1"/>
    <col min="1785" max="1785" width="9" style="8" customWidth="1"/>
    <col min="1786" max="1786" width="9.28515625" style="8" customWidth="1"/>
    <col min="1787" max="1787" width="9.42578125" style="8" customWidth="1"/>
    <col min="1788" max="1789" width="9" style="8" customWidth="1"/>
    <col min="1790" max="1790" width="9.140625" style="8" customWidth="1"/>
    <col min="1791" max="1791" width="9" style="8" customWidth="1"/>
    <col min="1792" max="1792" width="11.42578125" style="8" customWidth="1"/>
    <col min="1793" max="1793" width="8.7109375" style="8" customWidth="1"/>
    <col min="1794" max="1794" width="8.85546875" style="8" customWidth="1"/>
    <col min="1795" max="1795" width="9.85546875" style="8" customWidth="1"/>
    <col min="1796" max="1796" width="8.85546875" style="8" customWidth="1"/>
    <col min="1797" max="1797" width="9" style="8" customWidth="1"/>
    <col min="1798" max="1798" width="8.7109375" style="8" customWidth="1"/>
    <col min="1799" max="1799" width="9.140625" style="8" customWidth="1"/>
    <col min="1800" max="1801" width="8.85546875" style="8" customWidth="1"/>
    <col min="1802" max="1802" width="9" style="8" customWidth="1"/>
    <col min="1803" max="1804" width="9.140625" style="8" customWidth="1"/>
    <col min="1805" max="1806" width="8.85546875" style="8" customWidth="1"/>
    <col min="1807" max="1808" width="8.7109375" style="8" customWidth="1"/>
    <col min="1809" max="1809" width="10.42578125" style="8" customWidth="1"/>
    <col min="1810" max="1810" width="8.28515625" style="8" customWidth="1"/>
    <col min="1811" max="1811" width="6.85546875" style="8" customWidth="1"/>
    <col min="1812" max="1812" width="10.85546875" style="8" customWidth="1"/>
    <col min="1813" max="1813" width="10.140625" style="8" customWidth="1"/>
    <col min="1814" max="1814" width="9.42578125" style="8" customWidth="1"/>
    <col min="1815" max="1818" width="9.140625" style="8"/>
    <col min="1819" max="1819" width="24.5703125" style="8" customWidth="1"/>
    <col min="1820" max="1820" width="12.7109375" style="8" customWidth="1"/>
    <col min="1821" max="2036" width="9.140625" style="8"/>
    <col min="2037" max="2037" width="29.5703125" style="8" customWidth="1"/>
    <col min="2038" max="2038" width="10" style="8" customWidth="1"/>
    <col min="2039" max="2040" width="0" style="8" hidden="1" customWidth="1"/>
    <col min="2041" max="2041" width="9" style="8" customWidth="1"/>
    <col min="2042" max="2042" width="9.28515625" style="8" customWidth="1"/>
    <col min="2043" max="2043" width="9.42578125" style="8" customWidth="1"/>
    <col min="2044" max="2045" width="9" style="8" customWidth="1"/>
    <col min="2046" max="2046" width="9.140625" style="8" customWidth="1"/>
    <col min="2047" max="2047" width="9" style="8" customWidth="1"/>
    <col min="2048" max="2048" width="11.42578125" style="8" customWidth="1"/>
    <col min="2049" max="2049" width="8.7109375" style="8" customWidth="1"/>
    <col min="2050" max="2050" width="8.85546875" style="8" customWidth="1"/>
    <col min="2051" max="2051" width="9.85546875" style="8" customWidth="1"/>
    <col min="2052" max="2052" width="8.85546875" style="8" customWidth="1"/>
    <col min="2053" max="2053" width="9" style="8" customWidth="1"/>
    <col min="2054" max="2054" width="8.7109375" style="8" customWidth="1"/>
    <col min="2055" max="2055" width="9.140625" style="8" customWidth="1"/>
    <col min="2056" max="2057" width="8.85546875" style="8" customWidth="1"/>
    <col min="2058" max="2058" width="9" style="8" customWidth="1"/>
    <col min="2059" max="2060" width="9.140625" style="8" customWidth="1"/>
    <col min="2061" max="2062" width="8.85546875" style="8" customWidth="1"/>
    <col min="2063" max="2064" width="8.7109375" style="8" customWidth="1"/>
    <col min="2065" max="2065" width="10.42578125" style="8" customWidth="1"/>
    <col min="2066" max="2066" width="8.28515625" style="8" customWidth="1"/>
    <col min="2067" max="2067" width="6.85546875" style="8" customWidth="1"/>
    <col min="2068" max="2068" width="10.85546875" style="8" customWidth="1"/>
    <col min="2069" max="2069" width="10.140625" style="8" customWidth="1"/>
    <col min="2070" max="2070" width="9.42578125" style="8" customWidth="1"/>
    <col min="2071" max="2074" width="9.140625" style="8"/>
    <col min="2075" max="2075" width="24.5703125" style="8" customWidth="1"/>
    <col min="2076" max="2076" width="12.7109375" style="8" customWidth="1"/>
    <col min="2077" max="2292" width="9.140625" style="8"/>
    <col min="2293" max="2293" width="29.5703125" style="8" customWidth="1"/>
    <col min="2294" max="2294" width="10" style="8" customWidth="1"/>
    <col min="2295" max="2296" width="0" style="8" hidden="1" customWidth="1"/>
    <col min="2297" max="2297" width="9" style="8" customWidth="1"/>
    <col min="2298" max="2298" width="9.28515625" style="8" customWidth="1"/>
    <col min="2299" max="2299" width="9.42578125" style="8" customWidth="1"/>
    <col min="2300" max="2301" width="9" style="8" customWidth="1"/>
    <col min="2302" max="2302" width="9.140625" style="8" customWidth="1"/>
    <col min="2303" max="2303" width="9" style="8" customWidth="1"/>
    <col min="2304" max="2304" width="11.42578125" style="8" customWidth="1"/>
    <col min="2305" max="2305" width="8.7109375" style="8" customWidth="1"/>
    <col min="2306" max="2306" width="8.85546875" style="8" customWidth="1"/>
    <col min="2307" max="2307" width="9.85546875" style="8" customWidth="1"/>
    <col min="2308" max="2308" width="8.85546875" style="8" customWidth="1"/>
    <col min="2309" max="2309" width="9" style="8" customWidth="1"/>
    <col min="2310" max="2310" width="8.7109375" style="8" customWidth="1"/>
    <col min="2311" max="2311" width="9.140625" style="8" customWidth="1"/>
    <col min="2312" max="2313" width="8.85546875" style="8" customWidth="1"/>
    <col min="2314" max="2314" width="9" style="8" customWidth="1"/>
    <col min="2315" max="2316" width="9.140625" style="8" customWidth="1"/>
    <col min="2317" max="2318" width="8.85546875" style="8" customWidth="1"/>
    <col min="2319" max="2320" width="8.7109375" style="8" customWidth="1"/>
    <col min="2321" max="2321" width="10.42578125" style="8" customWidth="1"/>
    <col min="2322" max="2322" width="8.28515625" style="8" customWidth="1"/>
    <col min="2323" max="2323" width="6.85546875" style="8" customWidth="1"/>
    <col min="2324" max="2324" width="10.85546875" style="8" customWidth="1"/>
    <col min="2325" max="2325" width="10.140625" style="8" customWidth="1"/>
    <col min="2326" max="2326" width="9.42578125" style="8" customWidth="1"/>
    <col min="2327" max="2330" width="9.140625" style="8"/>
    <col min="2331" max="2331" width="24.5703125" style="8" customWidth="1"/>
    <col min="2332" max="2332" width="12.7109375" style="8" customWidth="1"/>
    <col min="2333" max="2548" width="9.140625" style="8"/>
    <col min="2549" max="2549" width="29.5703125" style="8" customWidth="1"/>
    <col min="2550" max="2550" width="10" style="8" customWidth="1"/>
    <col min="2551" max="2552" width="0" style="8" hidden="1" customWidth="1"/>
    <col min="2553" max="2553" width="9" style="8" customWidth="1"/>
    <col min="2554" max="2554" width="9.28515625" style="8" customWidth="1"/>
    <col min="2555" max="2555" width="9.42578125" style="8" customWidth="1"/>
    <col min="2556" max="2557" width="9" style="8" customWidth="1"/>
    <col min="2558" max="2558" width="9.140625" style="8" customWidth="1"/>
    <col min="2559" max="2559" width="9" style="8" customWidth="1"/>
    <col min="2560" max="2560" width="11.42578125" style="8" customWidth="1"/>
    <col min="2561" max="2561" width="8.7109375" style="8" customWidth="1"/>
    <col min="2562" max="2562" width="8.85546875" style="8" customWidth="1"/>
    <col min="2563" max="2563" width="9.85546875" style="8" customWidth="1"/>
    <col min="2564" max="2564" width="8.85546875" style="8" customWidth="1"/>
    <col min="2565" max="2565" width="9" style="8" customWidth="1"/>
    <col min="2566" max="2566" width="8.7109375" style="8" customWidth="1"/>
    <col min="2567" max="2567" width="9.140625" style="8" customWidth="1"/>
    <col min="2568" max="2569" width="8.85546875" style="8" customWidth="1"/>
    <col min="2570" max="2570" width="9" style="8" customWidth="1"/>
    <col min="2571" max="2572" width="9.140625" style="8" customWidth="1"/>
    <col min="2573" max="2574" width="8.85546875" style="8" customWidth="1"/>
    <col min="2575" max="2576" width="8.7109375" style="8" customWidth="1"/>
    <col min="2577" max="2577" width="10.42578125" style="8" customWidth="1"/>
    <col min="2578" max="2578" width="8.28515625" style="8" customWidth="1"/>
    <col min="2579" max="2579" width="6.85546875" style="8" customWidth="1"/>
    <col min="2580" max="2580" width="10.85546875" style="8" customWidth="1"/>
    <col min="2581" max="2581" width="10.140625" style="8" customWidth="1"/>
    <col min="2582" max="2582" width="9.42578125" style="8" customWidth="1"/>
    <col min="2583" max="2586" width="9.140625" style="8"/>
    <col min="2587" max="2587" width="24.5703125" style="8" customWidth="1"/>
    <col min="2588" max="2588" width="12.7109375" style="8" customWidth="1"/>
    <col min="2589" max="2804" width="9.140625" style="8"/>
    <col min="2805" max="2805" width="29.5703125" style="8" customWidth="1"/>
    <col min="2806" max="2806" width="10" style="8" customWidth="1"/>
    <col min="2807" max="2808" width="0" style="8" hidden="1" customWidth="1"/>
    <col min="2809" max="2809" width="9" style="8" customWidth="1"/>
    <col min="2810" max="2810" width="9.28515625" style="8" customWidth="1"/>
    <col min="2811" max="2811" width="9.42578125" style="8" customWidth="1"/>
    <col min="2812" max="2813" width="9" style="8" customWidth="1"/>
    <col min="2814" max="2814" width="9.140625" style="8" customWidth="1"/>
    <col min="2815" max="2815" width="9" style="8" customWidth="1"/>
    <col min="2816" max="2816" width="11.42578125" style="8" customWidth="1"/>
    <col min="2817" max="2817" width="8.7109375" style="8" customWidth="1"/>
    <col min="2818" max="2818" width="8.85546875" style="8" customWidth="1"/>
    <col min="2819" max="2819" width="9.85546875" style="8" customWidth="1"/>
    <col min="2820" max="2820" width="8.85546875" style="8" customWidth="1"/>
    <col min="2821" max="2821" width="9" style="8" customWidth="1"/>
    <col min="2822" max="2822" width="8.7109375" style="8" customWidth="1"/>
    <col min="2823" max="2823" width="9.140625" style="8" customWidth="1"/>
    <col min="2824" max="2825" width="8.85546875" style="8" customWidth="1"/>
    <col min="2826" max="2826" width="9" style="8" customWidth="1"/>
    <col min="2827" max="2828" width="9.140625" style="8" customWidth="1"/>
    <col min="2829" max="2830" width="8.85546875" style="8" customWidth="1"/>
    <col min="2831" max="2832" width="8.7109375" style="8" customWidth="1"/>
    <col min="2833" max="2833" width="10.42578125" style="8" customWidth="1"/>
    <col min="2834" max="2834" width="8.28515625" style="8" customWidth="1"/>
    <col min="2835" max="2835" width="6.85546875" style="8" customWidth="1"/>
    <col min="2836" max="2836" width="10.85546875" style="8" customWidth="1"/>
    <col min="2837" max="2837" width="10.140625" style="8" customWidth="1"/>
    <col min="2838" max="2838" width="9.42578125" style="8" customWidth="1"/>
    <col min="2839" max="2842" width="9.140625" style="8"/>
    <col min="2843" max="2843" width="24.5703125" style="8" customWidth="1"/>
    <col min="2844" max="2844" width="12.7109375" style="8" customWidth="1"/>
    <col min="2845" max="3060" width="9.140625" style="8"/>
    <col min="3061" max="3061" width="29.5703125" style="8" customWidth="1"/>
    <col min="3062" max="3062" width="10" style="8" customWidth="1"/>
    <col min="3063" max="3064" width="0" style="8" hidden="1" customWidth="1"/>
    <col min="3065" max="3065" width="9" style="8" customWidth="1"/>
    <col min="3066" max="3066" width="9.28515625" style="8" customWidth="1"/>
    <col min="3067" max="3067" width="9.42578125" style="8" customWidth="1"/>
    <col min="3068" max="3069" width="9" style="8" customWidth="1"/>
    <col min="3070" max="3070" width="9.140625" style="8" customWidth="1"/>
    <col min="3071" max="3071" width="9" style="8" customWidth="1"/>
    <col min="3072" max="3072" width="11.42578125" style="8" customWidth="1"/>
    <col min="3073" max="3073" width="8.7109375" style="8" customWidth="1"/>
    <col min="3074" max="3074" width="8.85546875" style="8" customWidth="1"/>
    <col min="3075" max="3075" width="9.85546875" style="8" customWidth="1"/>
    <col min="3076" max="3076" width="8.85546875" style="8" customWidth="1"/>
    <col min="3077" max="3077" width="9" style="8" customWidth="1"/>
    <col min="3078" max="3078" width="8.7109375" style="8" customWidth="1"/>
    <col min="3079" max="3079" width="9.140625" style="8" customWidth="1"/>
    <col min="3080" max="3081" width="8.85546875" style="8" customWidth="1"/>
    <col min="3082" max="3082" width="9" style="8" customWidth="1"/>
    <col min="3083" max="3084" width="9.140625" style="8" customWidth="1"/>
    <col min="3085" max="3086" width="8.85546875" style="8" customWidth="1"/>
    <col min="3087" max="3088" width="8.7109375" style="8" customWidth="1"/>
    <col min="3089" max="3089" width="10.42578125" style="8" customWidth="1"/>
    <col min="3090" max="3090" width="8.28515625" style="8" customWidth="1"/>
    <col min="3091" max="3091" width="6.85546875" style="8" customWidth="1"/>
    <col min="3092" max="3092" width="10.85546875" style="8" customWidth="1"/>
    <col min="3093" max="3093" width="10.140625" style="8" customWidth="1"/>
    <col min="3094" max="3094" width="9.42578125" style="8" customWidth="1"/>
    <col min="3095" max="3098" width="9.140625" style="8"/>
    <col min="3099" max="3099" width="24.5703125" style="8" customWidth="1"/>
    <col min="3100" max="3100" width="12.7109375" style="8" customWidth="1"/>
    <col min="3101" max="3316" width="9.140625" style="8"/>
    <col min="3317" max="3317" width="29.5703125" style="8" customWidth="1"/>
    <col min="3318" max="3318" width="10" style="8" customWidth="1"/>
    <col min="3319" max="3320" width="0" style="8" hidden="1" customWidth="1"/>
    <col min="3321" max="3321" width="9" style="8" customWidth="1"/>
    <col min="3322" max="3322" width="9.28515625" style="8" customWidth="1"/>
    <col min="3323" max="3323" width="9.42578125" style="8" customWidth="1"/>
    <col min="3324" max="3325" width="9" style="8" customWidth="1"/>
    <col min="3326" max="3326" width="9.140625" style="8" customWidth="1"/>
    <col min="3327" max="3327" width="9" style="8" customWidth="1"/>
    <col min="3328" max="3328" width="11.42578125" style="8" customWidth="1"/>
    <col min="3329" max="3329" width="8.7109375" style="8" customWidth="1"/>
    <col min="3330" max="3330" width="8.85546875" style="8" customWidth="1"/>
    <col min="3331" max="3331" width="9.85546875" style="8" customWidth="1"/>
    <col min="3332" max="3332" width="8.85546875" style="8" customWidth="1"/>
    <col min="3333" max="3333" width="9" style="8" customWidth="1"/>
    <col min="3334" max="3334" width="8.7109375" style="8" customWidth="1"/>
    <col min="3335" max="3335" width="9.140625" style="8" customWidth="1"/>
    <col min="3336" max="3337" width="8.85546875" style="8" customWidth="1"/>
    <col min="3338" max="3338" width="9" style="8" customWidth="1"/>
    <col min="3339" max="3340" width="9.140625" style="8" customWidth="1"/>
    <col min="3341" max="3342" width="8.85546875" style="8" customWidth="1"/>
    <col min="3343" max="3344" width="8.7109375" style="8" customWidth="1"/>
    <col min="3345" max="3345" width="10.42578125" style="8" customWidth="1"/>
    <col min="3346" max="3346" width="8.28515625" style="8" customWidth="1"/>
    <col min="3347" max="3347" width="6.85546875" style="8" customWidth="1"/>
    <col min="3348" max="3348" width="10.85546875" style="8" customWidth="1"/>
    <col min="3349" max="3349" width="10.140625" style="8" customWidth="1"/>
    <col min="3350" max="3350" width="9.42578125" style="8" customWidth="1"/>
    <col min="3351" max="3354" width="9.140625" style="8"/>
    <col min="3355" max="3355" width="24.5703125" style="8" customWidth="1"/>
    <col min="3356" max="3356" width="12.7109375" style="8" customWidth="1"/>
    <col min="3357" max="3572" width="9.140625" style="8"/>
    <col min="3573" max="3573" width="29.5703125" style="8" customWidth="1"/>
    <col min="3574" max="3574" width="10" style="8" customWidth="1"/>
    <col min="3575" max="3576" width="0" style="8" hidden="1" customWidth="1"/>
    <col min="3577" max="3577" width="9" style="8" customWidth="1"/>
    <col min="3578" max="3578" width="9.28515625" style="8" customWidth="1"/>
    <col min="3579" max="3579" width="9.42578125" style="8" customWidth="1"/>
    <col min="3580" max="3581" width="9" style="8" customWidth="1"/>
    <col min="3582" max="3582" width="9.140625" style="8" customWidth="1"/>
    <col min="3583" max="3583" width="9" style="8" customWidth="1"/>
    <col min="3584" max="3584" width="11.42578125" style="8" customWidth="1"/>
    <col min="3585" max="3585" width="8.7109375" style="8" customWidth="1"/>
    <col min="3586" max="3586" width="8.85546875" style="8" customWidth="1"/>
    <col min="3587" max="3587" width="9.85546875" style="8" customWidth="1"/>
    <col min="3588" max="3588" width="8.85546875" style="8" customWidth="1"/>
    <col min="3589" max="3589" width="9" style="8" customWidth="1"/>
    <col min="3590" max="3590" width="8.7109375" style="8" customWidth="1"/>
    <col min="3591" max="3591" width="9.140625" style="8" customWidth="1"/>
    <col min="3592" max="3593" width="8.85546875" style="8" customWidth="1"/>
    <col min="3594" max="3594" width="9" style="8" customWidth="1"/>
    <col min="3595" max="3596" width="9.140625" style="8" customWidth="1"/>
    <col min="3597" max="3598" width="8.85546875" style="8" customWidth="1"/>
    <col min="3599" max="3600" width="8.7109375" style="8" customWidth="1"/>
    <col min="3601" max="3601" width="10.42578125" style="8" customWidth="1"/>
    <col min="3602" max="3602" width="8.28515625" style="8" customWidth="1"/>
    <col min="3603" max="3603" width="6.85546875" style="8" customWidth="1"/>
    <col min="3604" max="3604" width="10.85546875" style="8" customWidth="1"/>
    <col min="3605" max="3605" width="10.140625" style="8" customWidth="1"/>
    <col min="3606" max="3606" width="9.42578125" style="8" customWidth="1"/>
    <col min="3607" max="3610" width="9.140625" style="8"/>
    <col min="3611" max="3611" width="24.5703125" style="8" customWidth="1"/>
    <col min="3612" max="3612" width="12.7109375" style="8" customWidth="1"/>
    <col min="3613" max="3828" width="9.140625" style="8"/>
    <col min="3829" max="3829" width="29.5703125" style="8" customWidth="1"/>
    <col min="3830" max="3830" width="10" style="8" customWidth="1"/>
    <col min="3831" max="3832" width="0" style="8" hidden="1" customWidth="1"/>
    <col min="3833" max="3833" width="9" style="8" customWidth="1"/>
    <col min="3834" max="3834" width="9.28515625" style="8" customWidth="1"/>
    <col min="3835" max="3835" width="9.42578125" style="8" customWidth="1"/>
    <col min="3836" max="3837" width="9" style="8" customWidth="1"/>
    <col min="3838" max="3838" width="9.140625" style="8" customWidth="1"/>
    <col min="3839" max="3839" width="9" style="8" customWidth="1"/>
    <col min="3840" max="3840" width="11.42578125" style="8" customWidth="1"/>
    <col min="3841" max="3841" width="8.7109375" style="8" customWidth="1"/>
    <col min="3842" max="3842" width="8.85546875" style="8" customWidth="1"/>
    <col min="3843" max="3843" width="9.85546875" style="8" customWidth="1"/>
    <col min="3844" max="3844" width="8.85546875" style="8" customWidth="1"/>
    <col min="3845" max="3845" width="9" style="8" customWidth="1"/>
    <col min="3846" max="3846" width="8.7109375" style="8" customWidth="1"/>
    <col min="3847" max="3847" width="9.140625" style="8" customWidth="1"/>
    <col min="3848" max="3849" width="8.85546875" style="8" customWidth="1"/>
    <col min="3850" max="3850" width="9" style="8" customWidth="1"/>
    <col min="3851" max="3852" width="9.140625" style="8" customWidth="1"/>
    <col min="3853" max="3854" width="8.85546875" style="8" customWidth="1"/>
    <col min="3855" max="3856" width="8.7109375" style="8" customWidth="1"/>
    <col min="3857" max="3857" width="10.42578125" style="8" customWidth="1"/>
    <col min="3858" max="3858" width="8.28515625" style="8" customWidth="1"/>
    <col min="3859" max="3859" width="6.85546875" style="8" customWidth="1"/>
    <col min="3860" max="3860" width="10.85546875" style="8" customWidth="1"/>
    <col min="3861" max="3861" width="10.140625" style="8" customWidth="1"/>
    <col min="3862" max="3862" width="9.42578125" style="8" customWidth="1"/>
    <col min="3863" max="3866" width="9.140625" style="8"/>
    <col min="3867" max="3867" width="24.5703125" style="8" customWidth="1"/>
    <col min="3868" max="3868" width="12.7109375" style="8" customWidth="1"/>
    <col min="3869" max="4084" width="9.140625" style="8"/>
    <col min="4085" max="4085" width="29.5703125" style="8" customWidth="1"/>
    <col min="4086" max="4086" width="10" style="8" customWidth="1"/>
    <col min="4087" max="4088" width="0" style="8" hidden="1" customWidth="1"/>
    <col min="4089" max="4089" width="9" style="8" customWidth="1"/>
    <col min="4090" max="4090" width="9.28515625" style="8" customWidth="1"/>
    <col min="4091" max="4091" width="9.42578125" style="8" customWidth="1"/>
    <col min="4092" max="4093" width="9" style="8" customWidth="1"/>
    <col min="4094" max="4094" width="9.140625" style="8" customWidth="1"/>
    <col min="4095" max="4095" width="9" style="8" customWidth="1"/>
    <col min="4096" max="4096" width="11.42578125" style="8" customWidth="1"/>
    <col min="4097" max="4097" width="8.7109375" style="8" customWidth="1"/>
    <col min="4098" max="4098" width="8.85546875" style="8" customWidth="1"/>
    <col min="4099" max="4099" width="9.85546875" style="8" customWidth="1"/>
    <col min="4100" max="4100" width="8.85546875" style="8" customWidth="1"/>
    <col min="4101" max="4101" width="9" style="8" customWidth="1"/>
    <col min="4102" max="4102" width="8.7109375" style="8" customWidth="1"/>
    <col min="4103" max="4103" width="9.140625" style="8" customWidth="1"/>
    <col min="4104" max="4105" width="8.85546875" style="8" customWidth="1"/>
    <col min="4106" max="4106" width="9" style="8" customWidth="1"/>
    <col min="4107" max="4108" width="9.140625" style="8" customWidth="1"/>
    <col min="4109" max="4110" width="8.85546875" style="8" customWidth="1"/>
    <col min="4111" max="4112" width="8.7109375" style="8" customWidth="1"/>
    <col min="4113" max="4113" width="10.42578125" style="8" customWidth="1"/>
    <col min="4114" max="4114" width="8.28515625" style="8" customWidth="1"/>
    <col min="4115" max="4115" width="6.85546875" style="8" customWidth="1"/>
    <col min="4116" max="4116" width="10.85546875" style="8" customWidth="1"/>
    <col min="4117" max="4117" width="10.140625" style="8" customWidth="1"/>
    <col min="4118" max="4118" width="9.42578125" style="8" customWidth="1"/>
    <col min="4119" max="4122" width="9.140625" style="8"/>
    <col min="4123" max="4123" width="24.5703125" style="8" customWidth="1"/>
    <col min="4124" max="4124" width="12.7109375" style="8" customWidth="1"/>
    <col min="4125" max="4340" width="9.140625" style="8"/>
    <col min="4341" max="4341" width="29.5703125" style="8" customWidth="1"/>
    <col min="4342" max="4342" width="10" style="8" customWidth="1"/>
    <col min="4343" max="4344" width="0" style="8" hidden="1" customWidth="1"/>
    <col min="4345" max="4345" width="9" style="8" customWidth="1"/>
    <col min="4346" max="4346" width="9.28515625" style="8" customWidth="1"/>
    <col min="4347" max="4347" width="9.42578125" style="8" customWidth="1"/>
    <col min="4348" max="4349" width="9" style="8" customWidth="1"/>
    <col min="4350" max="4350" width="9.140625" style="8" customWidth="1"/>
    <col min="4351" max="4351" width="9" style="8" customWidth="1"/>
    <col min="4352" max="4352" width="11.42578125" style="8" customWidth="1"/>
    <col min="4353" max="4353" width="8.7109375" style="8" customWidth="1"/>
    <col min="4354" max="4354" width="8.85546875" style="8" customWidth="1"/>
    <col min="4355" max="4355" width="9.85546875" style="8" customWidth="1"/>
    <col min="4356" max="4356" width="8.85546875" style="8" customWidth="1"/>
    <col min="4357" max="4357" width="9" style="8" customWidth="1"/>
    <col min="4358" max="4358" width="8.7109375" style="8" customWidth="1"/>
    <col min="4359" max="4359" width="9.140625" style="8" customWidth="1"/>
    <col min="4360" max="4361" width="8.85546875" style="8" customWidth="1"/>
    <col min="4362" max="4362" width="9" style="8" customWidth="1"/>
    <col min="4363" max="4364" width="9.140625" style="8" customWidth="1"/>
    <col min="4365" max="4366" width="8.85546875" style="8" customWidth="1"/>
    <col min="4367" max="4368" width="8.7109375" style="8" customWidth="1"/>
    <col min="4369" max="4369" width="10.42578125" style="8" customWidth="1"/>
    <col min="4370" max="4370" width="8.28515625" style="8" customWidth="1"/>
    <col min="4371" max="4371" width="6.85546875" style="8" customWidth="1"/>
    <col min="4372" max="4372" width="10.85546875" style="8" customWidth="1"/>
    <col min="4373" max="4373" width="10.140625" style="8" customWidth="1"/>
    <col min="4374" max="4374" width="9.42578125" style="8" customWidth="1"/>
    <col min="4375" max="4378" width="9.140625" style="8"/>
    <col min="4379" max="4379" width="24.5703125" style="8" customWidth="1"/>
    <col min="4380" max="4380" width="12.7109375" style="8" customWidth="1"/>
    <col min="4381" max="4596" width="9.140625" style="8"/>
    <col min="4597" max="4597" width="29.5703125" style="8" customWidth="1"/>
    <col min="4598" max="4598" width="10" style="8" customWidth="1"/>
    <col min="4599" max="4600" width="0" style="8" hidden="1" customWidth="1"/>
    <col min="4601" max="4601" width="9" style="8" customWidth="1"/>
    <col min="4602" max="4602" width="9.28515625" style="8" customWidth="1"/>
    <col min="4603" max="4603" width="9.42578125" style="8" customWidth="1"/>
    <col min="4604" max="4605" width="9" style="8" customWidth="1"/>
    <col min="4606" max="4606" width="9.140625" style="8" customWidth="1"/>
    <col min="4607" max="4607" width="9" style="8" customWidth="1"/>
    <col min="4608" max="4608" width="11.42578125" style="8" customWidth="1"/>
    <col min="4609" max="4609" width="8.7109375" style="8" customWidth="1"/>
    <col min="4610" max="4610" width="8.85546875" style="8" customWidth="1"/>
    <col min="4611" max="4611" width="9.85546875" style="8" customWidth="1"/>
    <col min="4612" max="4612" width="8.85546875" style="8" customWidth="1"/>
    <col min="4613" max="4613" width="9" style="8" customWidth="1"/>
    <col min="4614" max="4614" width="8.7109375" style="8" customWidth="1"/>
    <col min="4615" max="4615" width="9.140625" style="8" customWidth="1"/>
    <col min="4616" max="4617" width="8.85546875" style="8" customWidth="1"/>
    <col min="4618" max="4618" width="9" style="8" customWidth="1"/>
    <col min="4619" max="4620" width="9.140625" style="8" customWidth="1"/>
    <col min="4621" max="4622" width="8.85546875" style="8" customWidth="1"/>
    <col min="4623" max="4624" width="8.7109375" style="8" customWidth="1"/>
    <col min="4625" max="4625" width="10.42578125" style="8" customWidth="1"/>
    <col min="4626" max="4626" width="8.28515625" style="8" customWidth="1"/>
    <col min="4627" max="4627" width="6.85546875" style="8" customWidth="1"/>
    <col min="4628" max="4628" width="10.85546875" style="8" customWidth="1"/>
    <col min="4629" max="4629" width="10.140625" style="8" customWidth="1"/>
    <col min="4630" max="4630" width="9.42578125" style="8" customWidth="1"/>
    <col min="4631" max="4634" width="9.140625" style="8"/>
    <col min="4635" max="4635" width="24.5703125" style="8" customWidth="1"/>
    <col min="4636" max="4636" width="12.7109375" style="8" customWidth="1"/>
    <col min="4637" max="4852" width="9.140625" style="8"/>
    <col min="4853" max="4853" width="29.5703125" style="8" customWidth="1"/>
    <col min="4854" max="4854" width="10" style="8" customWidth="1"/>
    <col min="4855" max="4856" width="0" style="8" hidden="1" customWidth="1"/>
    <col min="4857" max="4857" width="9" style="8" customWidth="1"/>
    <col min="4858" max="4858" width="9.28515625" style="8" customWidth="1"/>
    <col min="4859" max="4859" width="9.42578125" style="8" customWidth="1"/>
    <col min="4860" max="4861" width="9" style="8" customWidth="1"/>
    <col min="4862" max="4862" width="9.140625" style="8" customWidth="1"/>
    <col min="4863" max="4863" width="9" style="8" customWidth="1"/>
    <col min="4864" max="4864" width="11.42578125" style="8" customWidth="1"/>
    <col min="4865" max="4865" width="8.7109375" style="8" customWidth="1"/>
    <col min="4866" max="4866" width="8.85546875" style="8" customWidth="1"/>
    <col min="4867" max="4867" width="9.85546875" style="8" customWidth="1"/>
    <col min="4868" max="4868" width="8.85546875" style="8" customWidth="1"/>
    <col min="4869" max="4869" width="9" style="8" customWidth="1"/>
    <col min="4870" max="4870" width="8.7109375" style="8" customWidth="1"/>
    <col min="4871" max="4871" width="9.140625" style="8" customWidth="1"/>
    <col min="4872" max="4873" width="8.85546875" style="8" customWidth="1"/>
    <col min="4874" max="4874" width="9" style="8" customWidth="1"/>
    <col min="4875" max="4876" width="9.140625" style="8" customWidth="1"/>
    <col min="4877" max="4878" width="8.85546875" style="8" customWidth="1"/>
    <col min="4879" max="4880" width="8.7109375" style="8" customWidth="1"/>
    <col min="4881" max="4881" width="10.42578125" style="8" customWidth="1"/>
    <col min="4882" max="4882" width="8.28515625" style="8" customWidth="1"/>
    <col min="4883" max="4883" width="6.85546875" style="8" customWidth="1"/>
    <col min="4884" max="4884" width="10.85546875" style="8" customWidth="1"/>
    <col min="4885" max="4885" width="10.140625" style="8" customWidth="1"/>
    <col min="4886" max="4886" width="9.42578125" style="8" customWidth="1"/>
    <col min="4887" max="4890" width="9.140625" style="8"/>
    <col min="4891" max="4891" width="24.5703125" style="8" customWidth="1"/>
    <col min="4892" max="4892" width="12.7109375" style="8" customWidth="1"/>
    <col min="4893" max="5108" width="9.140625" style="8"/>
    <col min="5109" max="5109" width="29.5703125" style="8" customWidth="1"/>
    <col min="5110" max="5110" width="10" style="8" customWidth="1"/>
    <col min="5111" max="5112" width="0" style="8" hidden="1" customWidth="1"/>
    <col min="5113" max="5113" width="9" style="8" customWidth="1"/>
    <col min="5114" max="5114" width="9.28515625" style="8" customWidth="1"/>
    <col min="5115" max="5115" width="9.42578125" style="8" customWidth="1"/>
    <col min="5116" max="5117" width="9" style="8" customWidth="1"/>
    <col min="5118" max="5118" width="9.140625" style="8" customWidth="1"/>
    <col min="5119" max="5119" width="9" style="8" customWidth="1"/>
    <col min="5120" max="5120" width="11.42578125" style="8" customWidth="1"/>
    <col min="5121" max="5121" width="8.7109375" style="8" customWidth="1"/>
    <col min="5122" max="5122" width="8.85546875" style="8" customWidth="1"/>
    <col min="5123" max="5123" width="9.85546875" style="8" customWidth="1"/>
    <col min="5124" max="5124" width="8.85546875" style="8" customWidth="1"/>
    <col min="5125" max="5125" width="9" style="8" customWidth="1"/>
    <col min="5126" max="5126" width="8.7109375" style="8" customWidth="1"/>
    <col min="5127" max="5127" width="9.140625" style="8" customWidth="1"/>
    <col min="5128" max="5129" width="8.85546875" style="8" customWidth="1"/>
    <col min="5130" max="5130" width="9" style="8" customWidth="1"/>
    <col min="5131" max="5132" width="9.140625" style="8" customWidth="1"/>
    <col min="5133" max="5134" width="8.85546875" style="8" customWidth="1"/>
    <col min="5135" max="5136" width="8.7109375" style="8" customWidth="1"/>
    <col min="5137" max="5137" width="10.42578125" style="8" customWidth="1"/>
    <col min="5138" max="5138" width="8.28515625" style="8" customWidth="1"/>
    <col min="5139" max="5139" width="6.85546875" style="8" customWidth="1"/>
    <col min="5140" max="5140" width="10.85546875" style="8" customWidth="1"/>
    <col min="5141" max="5141" width="10.140625" style="8" customWidth="1"/>
    <col min="5142" max="5142" width="9.42578125" style="8" customWidth="1"/>
    <col min="5143" max="5146" width="9.140625" style="8"/>
    <col min="5147" max="5147" width="24.5703125" style="8" customWidth="1"/>
    <col min="5148" max="5148" width="12.7109375" style="8" customWidth="1"/>
    <col min="5149" max="5364" width="9.140625" style="8"/>
    <col min="5365" max="5365" width="29.5703125" style="8" customWidth="1"/>
    <col min="5366" max="5366" width="10" style="8" customWidth="1"/>
    <col min="5367" max="5368" width="0" style="8" hidden="1" customWidth="1"/>
    <col min="5369" max="5369" width="9" style="8" customWidth="1"/>
    <col min="5370" max="5370" width="9.28515625" style="8" customWidth="1"/>
    <col min="5371" max="5371" width="9.42578125" style="8" customWidth="1"/>
    <col min="5372" max="5373" width="9" style="8" customWidth="1"/>
    <col min="5374" max="5374" width="9.140625" style="8" customWidth="1"/>
    <col min="5375" max="5375" width="9" style="8" customWidth="1"/>
    <col min="5376" max="5376" width="11.42578125" style="8" customWidth="1"/>
    <col min="5377" max="5377" width="8.7109375" style="8" customWidth="1"/>
    <col min="5378" max="5378" width="8.85546875" style="8" customWidth="1"/>
    <col min="5379" max="5379" width="9.85546875" style="8" customWidth="1"/>
    <col min="5380" max="5380" width="8.85546875" style="8" customWidth="1"/>
    <col min="5381" max="5381" width="9" style="8" customWidth="1"/>
    <col min="5382" max="5382" width="8.7109375" style="8" customWidth="1"/>
    <col min="5383" max="5383" width="9.140625" style="8" customWidth="1"/>
    <col min="5384" max="5385" width="8.85546875" style="8" customWidth="1"/>
    <col min="5386" max="5386" width="9" style="8" customWidth="1"/>
    <col min="5387" max="5388" width="9.140625" style="8" customWidth="1"/>
    <col min="5389" max="5390" width="8.85546875" style="8" customWidth="1"/>
    <col min="5391" max="5392" width="8.7109375" style="8" customWidth="1"/>
    <col min="5393" max="5393" width="10.42578125" style="8" customWidth="1"/>
    <col min="5394" max="5394" width="8.28515625" style="8" customWidth="1"/>
    <col min="5395" max="5395" width="6.85546875" style="8" customWidth="1"/>
    <col min="5396" max="5396" width="10.85546875" style="8" customWidth="1"/>
    <col min="5397" max="5397" width="10.140625" style="8" customWidth="1"/>
    <col min="5398" max="5398" width="9.42578125" style="8" customWidth="1"/>
    <col min="5399" max="5402" width="9.140625" style="8"/>
    <col min="5403" max="5403" width="24.5703125" style="8" customWidth="1"/>
    <col min="5404" max="5404" width="12.7109375" style="8" customWidth="1"/>
    <col min="5405" max="5620" width="9.140625" style="8"/>
    <col min="5621" max="5621" width="29.5703125" style="8" customWidth="1"/>
    <col min="5622" max="5622" width="10" style="8" customWidth="1"/>
    <col min="5623" max="5624" width="0" style="8" hidden="1" customWidth="1"/>
    <col min="5625" max="5625" width="9" style="8" customWidth="1"/>
    <col min="5626" max="5626" width="9.28515625" style="8" customWidth="1"/>
    <col min="5627" max="5627" width="9.42578125" style="8" customWidth="1"/>
    <col min="5628" max="5629" width="9" style="8" customWidth="1"/>
    <col min="5630" max="5630" width="9.140625" style="8" customWidth="1"/>
    <col min="5631" max="5631" width="9" style="8" customWidth="1"/>
    <col min="5632" max="5632" width="11.42578125" style="8" customWidth="1"/>
    <col min="5633" max="5633" width="8.7109375" style="8" customWidth="1"/>
    <col min="5634" max="5634" width="8.85546875" style="8" customWidth="1"/>
    <col min="5635" max="5635" width="9.85546875" style="8" customWidth="1"/>
    <col min="5636" max="5636" width="8.85546875" style="8" customWidth="1"/>
    <col min="5637" max="5637" width="9" style="8" customWidth="1"/>
    <col min="5638" max="5638" width="8.7109375" style="8" customWidth="1"/>
    <col min="5639" max="5639" width="9.140625" style="8" customWidth="1"/>
    <col min="5640" max="5641" width="8.85546875" style="8" customWidth="1"/>
    <col min="5642" max="5642" width="9" style="8" customWidth="1"/>
    <col min="5643" max="5644" width="9.140625" style="8" customWidth="1"/>
    <col min="5645" max="5646" width="8.85546875" style="8" customWidth="1"/>
    <col min="5647" max="5648" width="8.7109375" style="8" customWidth="1"/>
    <col min="5649" max="5649" width="10.42578125" style="8" customWidth="1"/>
    <col min="5650" max="5650" width="8.28515625" style="8" customWidth="1"/>
    <col min="5651" max="5651" width="6.85546875" style="8" customWidth="1"/>
    <col min="5652" max="5652" width="10.85546875" style="8" customWidth="1"/>
    <col min="5653" max="5653" width="10.140625" style="8" customWidth="1"/>
    <col min="5654" max="5654" width="9.42578125" style="8" customWidth="1"/>
    <col min="5655" max="5658" width="9.140625" style="8"/>
    <col min="5659" max="5659" width="24.5703125" style="8" customWidth="1"/>
    <col min="5660" max="5660" width="12.7109375" style="8" customWidth="1"/>
    <col min="5661" max="5876" width="9.140625" style="8"/>
    <col min="5877" max="5877" width="29.5703125" style="8" customWidth="1"/>
    <col min="5878" max="5878" width="10" style="8" customWidth="1"/>
    <col min="5879" max="5880" width="0" style="8" hidden="1" customWidth="1"/>
    <col min="5881" max="5881" width="9" style="8" customWidth="1"/>
    <col min="5882" max="5882" width="9.28515625" style="8" customWidth="1"/>
    <col min="5883" max="5883" width="9.42578125" style="8" customWidth="1"/>
    <col min="5884" max="5885" width="9" style="8" customWidth="1"/>
    <col min="5886" max="5886" width="9.140625" style="8" customWidth="1"/>
    <col min="5887" max="5887" width="9" style="8" customWidth="1"/>
    <col min="5888" max="5888" width="11.42578125" style="8" customWidth="1"/>
    <col min="5889" max="5889" width="8.7109375" style="8" customWidth="1"/>
    <col min="5890" max="5890" width="8.85546875" style="8" customWidth="1"/>
    <col min="5891" max="5891" width="9.85546875" style="8" customWidth="1"/>
    <col min="5892" max="5892" width="8.85546875" style="8" customWidth="1"/>
    <col min="5893" max="5893" width="9" style="8" customWidth="1"/>
    <col min="5894" max="5894" width="8.7109375" style="8" customWidth="1"/>
    <col min="5895" max="5895" width="9.140625" style="8" customWidth="1"/>
    <col min="5896" max="5897" width="8.85546875" style="8" customWidth="1"/>
    <col min="5898" max="5898" width="9" style="8" customWidth="1"/>
    <col min="5899" max="5900" width="9.140625" style="8" customWidth="1"/>
    <col min="5901" max="5902" width="8.85546875" style="8" customWidth="1"/>
    <col min="5903" max="5904" width="8.7109375" style="8" customWidth="1"/>
    <col min="5905" max="5905" width="10.42578125" style="8" customWidth="1"/>
    <col min="5906" max="5906" width="8.28515625" style="8" customWidth="1"/>
    <col min="5907" max="5907" width="6.85546875" style="8" customWidth="1"/>
    <col min="5908" max="5908" width="10.85546875" style="8" customWidth="1"/>
    <col min="5909" max="5909" width="10.140625" style="8" customWidth="1"/>
    <col min="5910" max="5910" width="9.42578125" style="8" customWidth="1"/>
    <col min="5911" max="5914" width="9.140625" style="8"/>
    <col min="5915" max="5915" width="24.5703125" style="8" customWidth="1"/>
    <col min="5916" max="5916" width="12.7109375" style="8" customWidth="1"/>
    <col min="5917" max="6132" width="9.140625" style="8"/>
    <col min="6133" max="6133" width="29.5703125" style="8" customWidth="1"/>
    <col min="6134" max="6134" width="10" style="8" customWidth="1"/>
    <col min="6135" max="6136" width="0" style="8" hidden="1" customWidth="1"/>
    <col min="6137" max="6137" width="9" style="8" customWidth="1"/>
    <col min="6138" max="6138" width="9.28515625" style="8" customWidth="1"/>
    <col min="6139" max="6139" width="9.42578125" style="8" customWidth="1"/>
    <col min="6140" max="6141" width="9" style="8" customWidth="1"/>
    <col min="6142" max="6142" width="9.140625" style="8" customWidth="1"/>
    <col min="6143" max="6143" width="9" style="8" customWidth="1"/>
    <col min="6144" max="6144" width="11.42578125" style="8" customWidth="1"/>
    <col min="6145" max="6145" width="8.7109375" style="8" customWidth="1"/>
    <col min="6146" max="6146" width="8.85546875" style="8" customWidth="1"/>
    <col min="6147" max="6147" width="9.85546875" style="8" customWidth="1"/>
    <col min="6148" max="6148" width="8.85546875" style="8" customWidth="1"/>
    <col min="6149" max="6149" width="9" style="8" customWidth="1"/>
    <col min="6150" max="6150" width="8.7109375" style="8" customWidth="1"/>
    <col min="6151" max="6151" width="9.140625" style="8" customWidth="1"/>
    <col min="6152" max="6153" width="8.85546875" style="8" customWidth="1"/>
    <col min="6154" max="6154" width="9" style="8" customWidth="1"/>
    <col min="6155" max="6156" width="9.140625" style="8" customWidth="1"/>
    <col min="6157" max="6158" width="8.85546875" style="8" customWidth="1"/>
    <col min="6159" max="6160" width="8.7109375" style="8" customWidth="1"/>
    <col min="6161" max="6161" width="10.42578125" style="8" customWidth="1"/>
    <col min="6162" max="6162" width="8.28515625" style="8" customWidth="1"/>
    <col min="6163" max="6163" width="6.85546875" style="8" customWidth="1"/>
    <col min="6164" max="6164" width="10.85546875" style="8" customWidth="1"/>
    <col min="6165" max="6165" width="10.140625" style="8" customWidth="1"/>
    <col min="6166" max="6166" width="9.42578125" style="8" customWidth="1"/>
    <col min="6167" max="6170" width="9.140625" style="8"/>
    <col min="6171" max="6171" width="24.5703125" style="8" customWidth="1"/>
    <col min="6172" max="6172" width="12.7109375" style="8" customWidth="1"/>
    <col min="6173" max="6388" width="9.140625" style="8"/>
    <col min="6389" max="6389" width="29.5703125" style="8" customWidth="1"/>
    <col min="6390" max="6390" width="10" style="8" customWidth="1"/>
    <col min="6391" max="6392" width="0" style="8" hidden="1" customWidth="1"/>
    <col min="6393" max="6393" width="9" style="8" customWidth="1"/>
    <col min="6394" max="6394" width="9.28515625" style="8" customWidth="1"/>
    <col min="6395" max="6395" width="9.42578125" style="8" customWidth="1"/>
    <col min="6396" max="6397" width="9" style="8" customWidth="1"/>
    <col min="6398" max="6398" width="9.140625" style="8" customWidth="1"/>
    <col min="6399" max="6399" width="9" style="8" customWidth="1"/>
    <col min="6400" max="6400" width="11.42578125" style="8" customWidth="1"/>
    <col min="6401" max="6401" width="8.7109375" style="8" customWidth="1"/>
    <col min="6402" max="6402" width="8.85546875" style="8" customWidth="1"/>
    <col min="6403" max="6403" width="9.85546875" style="8" customWidth="1"/>
    <col min="6404" max="6404" width="8.85546875" style="8" customWidth="1"/>
    <col min="6405" max="6405" width="9" style="8" customWidth="1"/>
    <col min="6406" max="6406" width="8.7109375" style="8" customWidth="1"/>
    <col min="6407" max="6407" width="9.140625" style="8" customWidth="1"/>
    <col min="6408" max="6409" width="8.85546875" style="8" customWidth="1"/>
    <col min="6410" max="6410" width="9" style="8" customWidth="1"/>
    <col min="6411" max="6412" width="9.140625" style="8" customWidth="1"/>
    <col min="6413" max="6414" width="8.85546875" style="8" customWidth="1"/>
    <col min="6415" max="6416" width="8.7109375" style="8" customWidth="1"/>
    <col min="6417" max="6417" width="10.42578125" style="8" customWidth="1"/>
    <col min="6418" max="6418" width="8.28515625" style="8" customWidth="1"/>
    <col min="6419" max="6419" width="6.85546875" style="8" customWidth="1"/>
    <col min="6420" max="6420" width="10.85546875" style="8" customWidth="1"/>
    <col min="6421" max="6421" width="10.140625" style="8" customWidth="1"/>
    <col min="6422" max="6422" width="9.42578125" style="8" customWidth="1"/>
    <col min="6423" max="6426" width="9.140625" style="8"/>
    <col min="6427" max="6427" width="24.5703125" style="8" customWidth="1"/>
    <col min="6428" max="6428" width="12.7109375" style="8" customWidth="1"/>
    <col min="6429" max="6644" width="9.140625" style="8"/>
    <col min="6645" max="6645" width="29.5703125" style="8" customWidth="1"/>
    <col min="6646" max="6646" width="10" style="8" customWidth="1"/>
    <col min="6647" max="6648" width="0" style="8" hidden="1" customWidth="1"/>
    <col min="6649" max="6649" width="9" style="8" customWidth="1"/>
    <col min="6650" max="6650" width="9.28515625" style="8" customWidth="1"/>
    <col min="6651" max="6651" width="9.42578125" style="8" customWidth="1"/>
    <col min="6652" max="6653" width="9" style="8" customWidth="1"/>
    <col min="6654" max="6654" width="9.140625" style="8" customWidth="1"/>
    <col min="6655" max="6655" width="9" style="8" customWidth="1"/>
    <col min="6656" max="6656" width="11.42578125" style="8" customWidth="1"/>
    <col min="6657" max="6657" width="8.7109375" style="8" customWidth="1"/>
    <col min="6658" max="6658" width="8.85546875" style="8" customWidth="1"/>
    <col min="6659" max="6659" width="9.85546875" style="8" customWidth="1"/>
    <col min="6660" max="6660" width="8.85546875" style="8" customWidth="1"/>
    <col min="6661" max="6661" width="9" style="8" customWidth="1"/>
    <col min="6662" max="6662" width="8.7109375" style="8" customWidth="1"/>
    <col min="6663" max="6663" width="9.140625" style="8" customWidth="1"/>
    <col min="6664" max="6665" width="8.85546875" style="8" customWidth="1"/>
    <col min="6666" max="6666" width="9" style="8" customWidth="1"/>
    <col min="6667" max="6668" width="9.140625" style="8" customWidth="1"/>
    <col min="6669" max="6670" width="8.85546875" style="8" customWidth="1"/>
    <col min="6671" max="6672" width="8.7109375" style="8" customWidth="1"/>
    <col min="6673" max="6673" width="10.42578125" style="8" customWidth="1"/>
    <col min="6674" max="6674" width="8.28515625" style="8" customWidth="1"/>
    <col min="6675" max="6675" width="6.85546875" style="8" customWidth="1"/>
    <col min="6676" max="6676" width="10.85546875" style="8" customWidth="1"/>
    <col min="6677" max="6677" width="10.140625" style="8" customWidth="1"/>
    <col min="6678" max="6678" width="9.42578125" style="8" customWidth="1"/>
    <col min="6679" max="6682" width="9.140625" style="8"/>
    <col min="6683" max="6683" width="24.5703125" style="8" customWidth="1"/>
    <col min="6684" max="6684" width="12.7109375" style="8" customWidth="1"/>
    <col min="6685" max="6900" width="9.140625" style="8"/>
    <col min="6901" max="6901" width="29.5703125" style="8" customWidth="1"/>
    <col min="6902" max="6902" width="10" style="8" customWidth="1"/>
    <col min="6903" max="6904" width="0" style="8" hidden="1" customWidth="1"/>
    <col min="6905" max="6905" width="9" style="8" customWidth="1"/>
    <col min="6906" max="6906" width="9.28515625" style="8" customWidth="1"/>
    <col min="6907" max="6907" width="9.42578125" style="8" customWidth="1"/>
    <col min="6908" max="6909" width="9" style="8" customWidth="1"/>
    <col min="6910" max="6910" width="9.140625" style="8" customWidth="1"/>
    <col min="6911" max="6911" width="9" style="8" customWidth="1"/>
    <col min="6912" max="6912" width="11.42578125" style="8" customWidth="1"/>
    <col min="6913" max="6913" width="8.7109375" style="8" customWidth="1"/>
    <col min="6914" max="6914" width="8.85546875" style="8" customWidth="1"/>
    <col min="6915" max="6915" width="9.85546875" style="8" customWidth="1"/>
    <col min="6916" max="6916" width="8.85546875" style="8" customWidth="1"/>
    <col min="6917" max="6917" width="9" style="8" customWidth="1"/>
    <col min="6918" max="6918" width="8.7109375" style="8" customWidth="1"/>
    <col min="6919" max="6919" width="9.140625" style="8" customWidth="1"/>
    <col min="6920" max="6921" width="8.85546875" style="8" customWidth="1"/>
    <col min="6922" max="6922" width="9" style="8" customWidth="1"/>
    <col min="6923" max="6924" width="9.140625" style="8" customWidth="1"/>
    <col min="6925" max="6926" width="8.85546875" style="8" customWidth="1"/>
    <col min="6927" max="6928" width="8.7109375" style="8" customWidth="1"/>
    <col min="6929" max="6929" width="10.42578125" style="8" customWidth="1"/>
    <col min="6930" max="6930" width="8.28515625" style="8" customWidth="1"/>
    <col min="6931" max="6931" width="6.85546875" style="8" customWidth="1"/>
    <col min="6932" max="6932" width="10.85546875" style="8" customWidth="1"/>
    <col min="6933" max="6933" width="10.140625" style="8" customWidth="1"/>
    <col min="6934" max="6934" width="9.42578125" style="8" customWidth="1"/>
    <col min="6935" max="6938" width="9.140625" style="8"/>
    <col min="6939" max="6939" width="24.5703125" style="8" customWidth="1"/>
    <col min="6940" max="6940" width="12.7109375" style="8" customWidth="1"/>
    <col min="6941" max="7156" width="9.140625" style="8"/>
    <col min="7157" max="7157" width="29.5703125" style="8" customWidth="1"/>
    <col min="7158" max="7158" width="10" style="8" customWidth="1"/>
    <col min="7159" max="7160" width="0" style="8" hidden="1" customWidth="1"/>
    <col min="7161" max="7161" width="9" style="8" customWidth="1"/>
    <col min="7162" max="7162" width="9.28515625" style="8" customWidth="1"/>
    <col min="7163" max="7163" width="9.42578125" style="8" customWidth="1"/>
    <col min="7164" max="7165" width="9" style="8" customWidth="1"/>
    <col min="7166" max="7166" width="9.140625" style="8" customWidth="1"/>
    <col min="7167" max="7167" width="9" style="8" customWidth="1"/>
    <col min="7168" max="7168" width="11.42578125" style="8" customWidth="1"/>
    <col min="7169" max="7169" width="8.7109375" style="8" customWidth="1"/>
    <col min="7170" max="7170" width="8.85546875" style="8" customWidth="1"/>
    <col min="7171" max="7171" width="9.85546875" style="8" customWidth="1"/>
    <col min="7172" max="7172" width="8.85546875" style="8" customWidth="1"/>
    <col min="7173" max="7173" width="9" style="8" customWidth="1"/>
    <col min="7174" max="7174" width="8.7109375" style="8" customWidth="1"/>
    <col min="7175" max="7175" width="9.140625" style="8" customWidth="1"/>
    <col min="7176" max="7177" width="8.85546875" style="8" customWidth="1"/>
    <col min="7178" max="7178" width="9" style="8" customWidth="1"/>
    <col min="7179" max="7180" width="9.140625" style="8" customWidth="1"/>
    <col min="7181" max="7182" width="8.85546875" style="8" customWidth="1"/>
    <col min="7183" max="7184" width="8.7109375" style="8" customWidth="1"/>
    <col min="7185" max="7185" width="10.42578125" style="8" customWidth="1"/>
    <col min="7186" max="7186" width="8.28515625" style="8" customWidth="1"/>
    <col min="7187" max="7187" width="6.85546875" style="8" customWidth="1"/>
    <col min="7188" max="7188" width="10.85546875" style="8" customWidth="1"/>
    <col min="7189" max="7189" width="10.140625" style="8" customWidth="1"/>
    <col min="7190" max="7190" width="9.42578125" style="8" customWidth="1"/>
    <col min="7191" max="7194" width="9.140625" style="8"/>
    <col min="7195" max="7195" width="24.5703125" style="8" customWidth="1"/>
    <col min="7196" max="7196" width="12.7109375" style="8" customWidth="1"/>
    <col min="7197" max="7412" width="9.140625" style="8"/>
    <col min="7413" max="7413" width="29.5703125" style="8" customWidth="1"/>
    <col min="7414" max="7414" width="10" style="8" customWidth="1"/>
    <col min="7415" max="7416" width="0" style="8" hidden="1" customWidth="1"/>
    <col min="7417" max="7417" width="9" style="8" customWidth="1"/>
    <col min="7418" max="7418" width="9.28515625" style="8" customWidth="1"/>
    <col min="7419" max="7419" width="9.42578125" style="8" customWidth="1"/>
    <col min="7420" max="7421" width="9" style="8" customWidth="1"/>
    <col min="7422" max="7422" width="9.140625" style="8" customWidth="1"/>
    <col min="7423" max="7423" width="9" style="8" customWidth="1"/>
    <col min="7424" max="7424" width="11.42578125" style="8" customWidth="1"/>
    <col min="7425" max="7425" width="8.7109375" style="8" customWidth="1"/>
    <col min="7426" max="7426" width="8.85546875" style="8" customWidth="1"/>
    <col min="7427" max="7427" width="9.85546875" style="8" customWidth="1"/>
    <col min="7428" max="7428" width="8.85546875" style="8" customWidth="1"/>
    <col min="7429" max="7429" width="9" style="8" customWidth="1"/>
    <col min="7430" max="7430" width="8.7109375" style="8" customWidth="1"/>
    <col min="7431" max="7431" width="9.140625" style="8" customWidth="1"/>
    <col min="7432" max="7433" width="8.85546875" style="8" customWidth="1"/>
    <col min="7434" max="7434" width="9" style="8" customWidth="1"/>
    <col min="7435" max="7436" width="9.140625" style="8" customWidth="1"/>
    <col min="7437" max="7438" width="8.85546875" style="8" customWidth="1"/>
    <col min="7439" max="7440" width="8.7109375" style="8" customWidth="1"/>
    <col min="7441" max="7441" width="10.42578125" style="8" customWidth="1"/>
    <col min="7442" max="7442" width="8.28515625" style="8" customWidth="1"/>
    <col min="7443" max="7443" width="6.85546875" style="8" customWidth="1"/>
    <col min="7444" max="7444" width="10.85546875" style="8" customWidth="1"/>
    <col min="7445" max="7445" width="10.140625" style="8" customWidth="1"/>
    <col min="7446" max="7446" width="9.42578125" style="8" customWidth="1"/>
    <col min="7447" max="7450" width="9.140625" style="8"/>
    <col min="7451" max="7451" width="24.5703125" style="8" customWidth="1"/>
    <col min="7452" max="7452" width="12.7109375" style="8" customWidth="1"/>
    <col min="7453" max="7668" width="9.140625" style="8"/>
    <col min="7669" max="7669" width="29.5703125" style="8" customWidth="1"/>
    <col min="7670" max="7670" width="10" style="8" customWidth="1"/>
    <col min="7671" max="7672" width="0" style="8" hidden="1" customWidth="1"/>
    <col min="7673" max="7673" width="9" style="8" customWidth="1"/>
    <col min="7674" max="7674" width="9.28515625" style="8" customWidth="1"/>
    <col min="7675" max="7675" width="9.42578125" style="8" customWidth="1"/>
    <col min="7676" max="7677" width="9" style="8" customWidth="1"/>
    <col min="7678" max="7678" width="9.140625" style="8" customWidth="1"/>
    <col min="7679" max="7679" width="9" style="8" customWidth="1"/>
    <col min="7680" max="7680" width="11.42578125" style="8" customWidth="1"/>
    <col min="7681" max="7681" width="8.7109375" style="8" customWidth="1"/>
    <col min="7682" max="7682" width="8.85546875" style="8" customWidth="1"/>
    <col min="7683" max="7683" width="9.85546875" style="8" customWidth="1"/>
    <col min="7684" max="7684" width="8.85546875" style="8" customWidth="1"/>
    <col min="7685" max="7685" width="9" style="8" customWidth="1"/>
    <col min="7686" max="7686" width="8.7109375" style="8" customWidth="1"/>
    <col min="7687" max="7687" width="9.140625" style="8" customWidth="1"/>
    <col min="7688" max="7689" width="8.85546875" style="8" customWidth="1"/>
    <col min="7690" max="7690" width="9" style="8" customWidth="1"/>
    <col min="7691" max="7692" width="9.140625" style="8" customWidth="1"/>
    <col min="7693" max="7694" width="8.85546875" style="8" customWidth="1"/>
    <col min="7695" max="7696" width="8.7109375" style="8" customWidth="1"/>
    <col min="7697" max="7697" width="10.42578125" style="8" customWidth="1"/>
    <col min="7698" max="7698" width="8.28515625" style="8" customWidth="1"/>
    <col min="7699" max="7699" width="6.85546875" style="8" customWidth="1"/>
    <col min="7700" max="7700" width="10.85546875" style="8" customWidth="1"/>
    <col min="7701" max="7701" width="10.140625" style="8" customWidth="1"/>
    <col min="7702" max="7702" width="9.42578125" style="8" customWidth="1"/>
    <col min="7703" max="7706" width="9.140625" style="8"/>
    <col min="7707" max="7707" width="24.5703125" style="8" customWidth="1"/>
    <col min="7708" max="7708" width="12.7109375" style="8" customWidth="1"/>
    <col min="7709" max="7924" width="9.140625" style="8"/>
    <col min="7925" max="7925" width="29.5703125" style="8" customWidth="1"/>
    <col min="7926" max="7926" width="10" style="8" customWidth="1"/>
    <col min="7927" max="7928" width="0" style="8" hidden="1" customWidth="1"/>
    <col min="7929" max="7929" width="9" style="8" customWidth="1"/>
    <col min="7930" max="7930" width="9.28515625" style="8" customWidth="1"/>
    <col min="7931" max="7931" width="9.42578125" style="8" customWidth="1"/>
    <col min="7932" max="7933" width="9" style="8" customWidth="1"/>
    <col min="7934" max="7934" width="9.140625" style="8" customWidth="1"/>
    <col min="7935" max="7935" width="9" style="8" customWidth="1"/>
    <col min="7936" max="7936" width="11.42578125" style="8" customWidth="1"/>
    <col min="7937" max="7937" width="8.7109375" style="8" customWidth="1"/>
    <col min="7938" max="7938" width="8.85546875" style="8" customWidth="1"/>
    <col min="7939" max="7939" width="9.85546875" style="8" customWidth="1"/>
    <col min="7940" max="7940" width="8.85546875" style="8" customWidth="1"/>
    <col min="7941" max="7941" width="9" style="8" customWidth="1"/>
    <col min="7942" max="7942" width="8.7109375" style="8" customWidth="1"/>
    <col min="7943" max="7943" width="9.140625" style="8" customWidth="1"/>
    <col min="7944" max="7945" width="8.85546875" style="8" customWidth="1"/>
    <col min="7946" max="7946" width="9" style="8" customWidth="1"/>
    <col min="7947" max="7948" width="9.140625" style="8" customWidth="1"/>
    <col min="7949" max="7950" width="8.85546875" style="8" customWidth="1"/>
    <col min="7951" max="7952" width="8.7109375" style="8" customWidth="1"/>
    <col min="7953" max="7953" width="10.42578125" style="8" customWidth="1"/>
    <col min="7954" max="7954" width="8.28515625" style="8" customWidth="1"/>
    <col min="7955" max="7955" width="6.85546875" style="8" customWidth="1"/>
    <col min="7956" max="7956" width="10.85546875" style="8" customWidth="1"/>
    <col min="7957" max="7957" width="10.140625" style="8" customWidth="1"/>
    <col min="7958" max="7958" width="9.42578125" style="8" customWidth="1"/>
    <col min="7959" max="7962" width="9.140625" style="8"/>
    <col min="7963" max="7963" width="24.5703125" style="8" customWidth="1"/>
    <col min="7964" max="7964" width="12.7109375" style="8" customWidth="1"/>
    <col min="7965" max="8180" width="9.140625" style="8"/>
    <col min="8181" max="8181" width="29.5703125" style="8" customWidth="1"/>
    <col min="8182" max="8182" width="10" style="8" customWidth="1"/>
    <col min="8183" max="8184" width="0" style="8" hidden="1" customWidth="1"/>
    <col min="8185" max="8185" width="9" style="8" customWidth="1"/>
    <col min="8186" max="8186" width="9.28515625" style="8" customWidth="1"/>
    <col min="8187" max="8187" width="9.42578125" style="8" customWidth="1"/>
    <col min="8188" max="8189" width="9" style="8" customWidth="1"/>
    <col min="8190" max="8190" width="9.140625" style="8" customWidth="1"/>
    <col min="8191" max="8191" width="9" style="8" customWidth="1"/>
    <col min="8192" max="8192" width="11.42578125" style="8" customWidth="1"/>
    <col min="8193" max="8193" width="8.7109375" style="8" customWidth="1"/>
    <col min="8194" max="8194" width="8.85546875" style="8" customWidth="1"/>
    <col min="8195" max="8195" width="9.85546875" style="8" customWidth="1"/>
    <col min="8196" max="8196" width="8.85546875" style="8" customWidth="1"/>
    <col min="8197" max="8197" width="9" style="8" customWidth="1"/>
    <col min="8198" max="8198" width="8.7109375" style="8" customWidth="1"/>
    <col min="8199" max="8199" width="9.140625" style="8" customWidth="1"/>
    <col min="8200" max="8201" width="8.85546875" style="8" customWidth="1"/>
    <col min="8202" max="8202" width="9" style="8" customWidth="1"/>
    <col min="8203" max="8204" width="9.140625" style="8" customWidth="1"/>
    <col min="8205" max="8206" width="8.85546875" style="8" customWidth="1"/>
    <col min="8207" max="8208" width="8.7109375" style="8" customWidth="1"/>
    <col min="8209" max="8209" width="10.42578125" style="8" customWidth="1"/>
    <col min="8210" max="8210" width="8.28515625" style="8" customWidth="1"/>
    <col min="8211" max="8211" width="6.85546875" style="8" customWidth="1"/>
    <col min="8212" max="8212" width="10.85546875" style="8" customWidth="1"/>
    <col min="8213" max="8213" width="10.140625" style="8" customWidth="1"/>
    <col min="8214" max="8214" width="9.42578125" style="8" customWidth="1"/>
    <col min="8215" max="8218" width="9.140625" style="8"/>
    <col min="8219" max="8219" width="24.5703125" style="8" customWidth="1"/>
    <col min="8220" max="8220" width="12.7109375" style="8" customWidth="1"/>
    <col min="8221" max="8436" width="9.140625" style="8"/>
    <col min="8437" max="8437" width="29.5703125" style="8" customWidth="1"/>
    <col min="8438" max="8438" width="10" style="8" customWidth="1"/>
    <col min="8439" max="8440" width="0" style="8" hidden="1" customWidth="1"/>
    <col min="8441" max="8441" width="9" style="8" customWidth="1"/>
    <col min="8442" max="8442" width="9.28515625" style="8" customWidth="1"/>
    <col min="8443" max="8443" width="9.42578125" style="8" customWidth="1"/>
    <col min="8444" max="8445" width="9" style="8" customWidth="1"/>
    <col min="8446" max="8446" width="9.140625" style="8" customWidth="1"/>
    <col min="8447" max="8447" width="9" style="8" customWidth="1"/>
    <col min="8448" max="8448" width="11.42578125" style="8" customWidth="1"/>
    <col min="8449" max="8449" width="8.7109375" style="8" customWidth="1"/>
    <col min="8450" max="8450" width="8.85546875" style="8" customWidth="1"/>
    <col min="8451" max="8451" width="9.85546875" style="8" customWidth="1"/>
    <col min="8452" max="8452" width="8.85546875" style="8" customWidth="1"/>
    <col min="8453" max="8453" width="9" style="8" customWidth="1"/>
    <col min="8454" max="8454" width="8.7109375" style="8" customWidth="1"/>
    <col min="8455" max="8455" width="9.140625" style="8" customWidth="1"/>
    <col min="8456" max="8457" width="8.85546875" style="8" customWidth="1"/>
    <col min="8458" max="8458" width="9" style="8" customWidth="1"/>
    <col min="8459" max="8460" width="9.140625" style="8" customWidth="1"/>
    <col min="8461" max="8462" width="8.85546875" style="8" customWidth="1"/>
    <col min="8463" max="8464" width="8.7109375" style="8" customWidth="1"/>
    <col min="8465" max="8465" width="10.42578125" style="8" customWidth="1"/>
    <col min="8466" max="8466" width="8.28515625" style="8" customWidth="1"/>
    <col min="8467" max="8467" width="6.85546875" style="8" customWidth="1"/>
    <col min="8468" max="8468" width="10.85546875" style="8" customWidth="1"/>
    <col min="8469" max="8469" width="10.140625" style="8" customWidth="1"/>
    <col min="8470" max="8470" width="9.42578125" style="8" customWidth="1"/>
    <col min="8471" max="8474" width="9.140625" style="8"/>
    <col min="8475" max="8475" width="24.5703125" style="8" customWidth="1"/>
    <col min="8476" max="8476" width="12.7109375" style="8" customWidth="1"/>
    <col min="8477" max="8692" width="9.140625" style="8"/>
    <col min="8693" max="8693" width="29.5703125" style="8" customWidth="1"/>
    <col min="8694" max="8694" width="10" style="8" customWidth="1"/>
    <col min="8695" max="8696" width="0" style="8" hidden="1" customWidth="1"/>
    <col min="8697" max="8697" width="9" style="8" customWidth="1"/>
    <col min="8698" max="8698" width="9.28515625" style="8" customWidth="1"/>
    <col min="8699" max="8699" width="9.42578125" style="8" customWidth="1"/>
    <col min="8700" max="8701" width="9" style="8" customWidth="1"/>
    <col min="8702" max="8702" width="9.140625" style="8" customWidth="1"/>
    <col min="8703" max="8703" width="9" style="8" customWidth="1"/>
    <col min="8704" max="8704" width="11.42578125" style="8" customWidth="1"/>
    <col min="8705" max="8705" width="8.7109375" style="8" customWidth="1"/>
    <col min="8706" max="8706" width="8.85546875" style="8" customWidth="1"/>
    <col min="8707" max="8707" width="9.85546875" style="8" customWidth="1"/>
    <col min="8708" max="8708" width="8.85546875" style="8" customWidth="1"/>
    <col min="8709" max="8709" width="9" style="8" customWidth="1"/>
    <col min="8710" max="8710" width="8.7109375" style="8" customWidth="1"/>
    <col min="8711" max="8711" width="9.140625" style="8" customWidth="1"/>
    <col min="8712" max="8713" width="8.85546875" style="8" customWidth="1"/>
    <col min="8714" max="8714" width="9" style="8" customWidth="1"/>
    <col min="8715" max="8716" width="9.140625" style="8" customWidth="1"/>
    <col min="8717" max="8718" width="8.85546875" style="8" customWidth="1"/>
    <col min="8719" max="8720" width="8.7109375" style="8" customWidth="1"/>
    <col min="8721" max="8721" width="10.42578125" style="8" customWidth="1"/>
    <col min="8722" max="8722" width="8.28515625" style="8" customWidth="1"/>
    <col min="8723" max="8723" width="6.85546875" style="8" customWidth="1"/>
    <col min="8724" max="8724" width="10.85546875" style="8" customWidth="1"/>
    <col min="8725" max="8725" width="10.140625" style="8" customWidth="1"/>
    <col min="8726" max="8726" width="9.42578125" style="8" customWidth="1"/>
    <col min="8727" max="8730" width="9.140625" style="8"/>
    <col min="8731" max="8731" width="24.5703125" style="8" customWidth="1"/>
    <col min="8732" max="8732" width="12.7109375" style="8" customWidth="1"/>
    <col min="8733" max="8948" width="9.140625" style="8"/>
    <col min="8949" max="8949" width="29.5703125" style="8" customWidth="1"/>
    <col min="8950" max="8950" width="10" style="8" customWidth="1"/>
    <col min="8951" max="8952" width="0" style="8" hidden="1" customWidth="1"/>
    <col min="8953" max="8953" width="9" style="8" customWidth="1"/>
    <col min="8954" max="8954" width="9.28515625" style="8" customWidth="1"/>
    <col min="8955" max="8955" width="9.42578125" style="8" customWidth="1"/>
    <col min="8956" max="8957" width="9" style="8" customWidth="1"/>
    <col min="8958" max="8958" width="9.140625" style="8" customWidth="1"/>
    <col min="8959" max="8959" width="9" style="8" customWidth="1"/>
    <col min="8960" max="8960" width="11.42578125" style="8" customWidth="1"/>
    <col min="8961" max="8961" width="8.7109375" style="8" customWidth="1"/>
    <col min="8962" max="8962" width="8.85546875" style="8" customWidth="1"/>
    <col min="8963" max="8963" width="9.85546875" style="8" customWidth="1"/>
    <col min="8964" max="8964" width="8.85546875" style="8" customWidth="1"/>
    <col min="8965" max="8965" width="9" style="8" customWidth="1"/>
    <col min="8966" max="8966" width="8.7109375" style="8" customWidth="1"/>
    <col min="8967" max="8967" width="9.140625" style="8" customWidth="1"/>
    <col min="8968" max="8969" width="8.85546875" style="8" customWidth="1"/>
    <col min="8970" max="8970" width="9" style="8" customWidth="1"/>
    <col min="8971" max="8972" width="9.140625" style="8" customWidth="1"/>
    <col min="8973" max="8974" width="8.85546875" style="8" customWidth="1"/>
    <col min="8975" max="8976" width="8.7109375" style="8" customWidth="1"/>
    <col min="8977" max="8977" width="10.42578125" style="8" customWidth="1"/>
    <col min="8978" max="8978" width="8.28515625" style="8" customWidth="1"/>
    <col min="8979" max="8979" width="6.85546875" style="8" customWidth="1"/>
    <col min="8980" max="8980" width="10.85546875" style="8" customWidth="1"/>
    <col min="8981" max="8981" width="10.140625" style="8" customWidth="1"/>
    <col min="8982" max="8982" width="9.42578125" style="8" customWidth="1"/>
    <col min="8983" max="8986" width="9.140625" style="8"/>
    <col min="8987" max="8987" width="24.5703125" style="8" customWidth="1"/>
    <col min="8988" max="8988" width="12.7109375" style="8" customWidth="1"/>
    <col min="8989" max="9204" width="9.140625" style="8"/>
    <col min="9205" max="9205" width="29.5703125" style="8" customWidth="1"/>
    <col min="9206" max="9206" width="10" style="8" customWidth="1"/>
    <col min="9207" max="9208" width="0" style="8" hidden="1" customWidth="1"/>
    <col min="9209" max="9209" width="9" style="8" customWidth="1"/>
    <col min="9210" max="9210" width="9.28515625" style="8" customWidth="1"/>
    <col min="9211" max="9211" width="9.42578125" style="8" customWidth="1"/>
    <col min="9212" max="9213" width="9" style="8" customWidth="1"/>
    <col min="9214" max="9214" width="9.140625" style="8" customWidth="1"/>
    <col min="9215" max="9215" width="9" style="8" customWidth="1"/>
    <col min="9216" max="9216" width="11.42578125" style="8" customWidth="1"/>
    <col min="9217" max="9217" width="8.7109375" style="8" customWidth="1"/>
    <col min="9218" max="9218" width="8.85546875" style="8" customWidth="1"/>
    <col min="9219" max="9219" width="9.85546875" style="8" customWidth="1"/>
    <col min="9220" max="9220" width="8.85546875" style="8" customWidth="1"/>
    <col min="9221" max="9221" width="9" style="8" customWidth="1"/>
    <col min="9222" max="9222" width="8.7109375" style="8" customWidth="1"/>
    <col min="9223" max="9223" width="9.140625" style="8" customWidth="1"/>
    <col min="9224" max="9225" width="8.85546875" style="8" customWidth="1"/>
    <col min="9226" max="9226" width="9" style="8" customWidth="1"/>
    <col min="9227" max="9228" width="9.140625" style="8" customWidth="1"/>
    <col min="9229" max="9230" width="8.85546875" style="8" customWidth="1"/>
    <col min="9231" max="9232" width="8.7109375" style="8" customWidth="1"/>
    <col min="9233" max="9233" width="10.42578125" style="8" customWidth="1"/>
    <col min="9234" max="9234" width="8.28515625" style="8" customWidth="1"/>
    <col min="9235" max="9235" width="6.85546875" style="8" customWidth="1"/>
    <col min="9236" max="9236" width="10.85546875" style="8" customWidth="1"/>
    <col min="9237" max="9237" width="10.140625" style="8" customWidth="1"/>
    <col min="9238" max="9238" width="9.42578125" style="8" customWidth="1"/>
    <col min="9239" max="9242" width="9.140625" style="8"/>
    <col min="9243" max="9243" width="24.5703125" style="8" customWidth="1"/>
    <col min="9244" max="9244" width="12.7109375" style="8" customWidth="1"/>
    <col min="9245" max="9460" width="9.140625" style="8"/>
    <col min="9461" max="9461" width="29.5703125" style="8" customWidth="1"/>
    <col min="9462" max="9462" width="10" style="8" customWidth="1"/>
    <col min="9463" max="9464" width="0" style="8" hidden="1" customWidth="1"/>
    <col min="9465" max="9465" width="9" style="8" customWidth="1"/>
    <col min="9466" max="9466" width="9.28515625" style="8" customWidth="1"/>
    <col min="9467" max="9467" width="9.42578125" style="8" customWidth="1"/>
    <col min="9468" max="9469" width="9" style="8" customWidth="1"/>
    <col min="9470" max="9470" width="9.140625" style="8" customWidth="1"/>
    <col min="9471" max="9471" width="9" style="8" customWidth="1"/>
    <col min="9472" max="9472" width="11.42578125" style="8" customWidth="1"/>
    <col min="9473" max="9473" width="8.7109375" style="8" customWidth="1"/>
    <col min="9474" max="9474" width="8.85546875" style="8" customWidth="1"/>
    <col min="9475" max="9475" width="9.85546875" style="8" customWidth="1"/>
    <col min="9476" max="9476" width="8.85546875" style="8" customWidth="1"/>
    <col min="9477" max="9477" width="9" style="8" customWidth="1"/>
    <col min="9478" max="9478" width="8.7109375" style="8" customWidth="1"/>
    <col min="9479" max="9479" width="9.140625" style="8" customWidth="1"/>
    <col min="9480" max="9481" width="8.85546875" style="8" customWidth="1"/>
    <col min="9482" max="9482" width="9" style="8" customWidth="1"/>
    <col min="9483" max="9484" width="9.140625" style="8" customWidth="1"/>
    <col min="9485" max="9486" width="8.85546875" style="8" customWidth="1"/>
    <col min="9487" max="9488" width="8.7109375" style="8" customWidth="1"/>
    <col min="9489" max="9489" width="10.42578125" style="8" customWidth="1"/>
    <col min="9490" max="9490" width="8.28515625" style="8" customWidth="1"/>
    <col min="9491" max="9491" width="6.85546875" style="8" customWidth="1"/>
    <col min="9492" max="9492" width="10.85546875" style="8" customWidth="1"/>
    <col min="9493" max="9493" width="10.140625" style="8" customWidth="1"/>
    <col min="9494" max="9494" width="9.42578125" style="8" customWidth="1"/>
    <col min="9495" max="9498" width="9.140625" style="8"/>
    <col min="9499" max="9499" width="24.5703125" style="8" customWidth="1"/>
    <col min="9500" max="9500" width="12.7109375" style="8" customWidth="1"/>
    <col min="9501" max="9716" width="9.140625" style="8"/>
    <col min="9717" max="9717" width="29.5703125" style="8" customWidth="1"/>
    <col min="9718" max="9718" width="10" style="8" customWidth="1"/>
    <col min="9719" max="9720" width="0" style="8" hidden="1" customWidth="1"/>
    <col min="9721" max="9721" width="9" style="8" customWidth="1"/>
    <col min="9722" max="9722" width="9.28515625" style="8" customWidth="1"/>
    <col min="9723" max="9723" width="9.42578125" style="8" customWidth="1"/>
    <col min="9724" max="9725" width="9" style="8" customWidth="1"/>
    <col min="9726" max="9726" width="9.140625" style="8" customWidth="1"/>
    <col min="9727" max="9727" width="9" style="8" customWidth="1"/>
    <col min="9728" max="9728" width="11.42578125" style="8" customWidth="1"/>
    <col min="9729" max="9729" width="8.7109375" style="8" customWidth="1"/>
    <col min="9730" max="9730" width="8.85546875" style="8" customWidth="1"/>
    <col min="9731" max="9731" width="9.85546875" style="8" customWidth="1"/>
    <col min="9732" max="9732" width="8.85546875" style="8" customWidth="1"/>
    <col min="9733" max="9733" width="9" style="8" customWidth="1"/>
    <col min="9734" max="9734" width="8.7109375" style="8" customWidth="1"/>
    <col min="9735" max="9735" width="9.140625" style="8" customWidth="1"/>
    <col min="9736" max="9737" width="8.85546875" style="8" customWidth="1"/>
    <col min="9738" max="9738" width="9" style="8" customWidth="1"/>
    <col min="9739" max="9740" width="9.140625" style="8" customWidth="1"/>
    <col min="9741" max="9742" width="8.85546875" style="8" customWidth="1"/>
    <col min="9743" max="9744" width="8.7109375" style="8" customWidth="1"/>
    <col min="9745" max="9745" width="10.42578125" style="8" customWidth="1"/>
    <col min="9746" max="9746" width="8.28515625" style="8" customWidth="1"/>
    <col min="9747" max="9747" width="6.85546875" style="8" customWidth="1"/>
    <col min="9748" max="9748" width="10.85546875" style="8" customWidth="1"/>
    <col min="9749" max="9749" width="10.140625" style="8" customWidth="1"/>
    <col min="9750" max="9750" width="9.42578125" style="8" customWidth="1"/>
    <col min="9751" max="9754" width="9.140625" style="8"/>
    <col min="9755" max="9755" width="24.5703125" style="8" customWidth="1"/>
    <col min="9756" max="9756" width="12.7109375" style="8" customWidth="1"/>
    <col min="9757" max="9972" width="9.140625" style="8"/>
    <col min="9973" max="9973" width="29.5703125" style="8" customWidth="1"/>
    <col min="9974" max="9974" width="10" style="8" customWidth="1"/>
    <col min="9975" max="9976" width="0" style="8" hidden="1" customWidth="1"/>
    <col min="9977" max="9977" width="9" style="8" customWidth="1"/>
    <col min="9978" max="9978" width="9.28515625" style="8" customWidth="1"/>
    <col min="9979" max="9979" width="9.42578125" style="8" customWidth="1"/>
    <col min="9980" max="9981" width="9" style="8" customWidth="1"/>
    <col min="9982" max="9982" width="9.140625" style="8" customWidth="1"/>
    <col min="9983" max="9983" width="9" style="8" customWidth="1"/>
    <col min="9984" max="9984" width="11.42578125" style="8" customWidth="1"/>
    <col min="9985" max="9985" width="8.7109375" style="8" customWidth="1"/>
    <col min="9986" max="9986" width="8.85546875" style="8" customWidth="1"/>
    <col min="9987" max="9987" width="9.85546875" style="8" customWidth="1"/>
    <col min="9988" max="9988" width="8.85546875" style="8" customWidth="1"/>
    <col min="9989" max="9989" width="9" style="8" customWidth="1"/>
    <col min="9990" max="9990" width="8.7109375" style="8" customWidth="1"/>
    <col min="9991" max="9991" width="9.140625" style="8" customWidth="1"/>
    <col min="9992" max="9993" width="8.85546875" style="8" customWidth="1"/>
    <col min="9994" max="9994" width="9" style="8" customWidth="1"/>
    <col min="9995" max="9996" width="9.140625" style="8" customWidth="1"/>
    <col min="9997" max="9998" width="8.85546875" style="8" customWidth="1"/>
    <col min="9999" max="10000" width="8.7109375" style="8" customWidth="1"/>
    <col min="10001" max="10001" width="10.42578125" style="8" customWidth="1"/>
    <col min="10002" max="10002" width="8.28515625" style="8" customWidth="1"/>
    <col min="10003" max="10003" width="6.85546875" style="8" customWidth="1"/>
    <col min="10004" max="10004" width="10.85546875" style="8" customWidth="1"/>
    <col min="10005" max="10005" width="10.140625" style="8" customWidth="1"/>
    <col min="10006" max="10006" width="9.42578125" style="8" customWidth="1"/>
    <col min="10007" max="10010" width="9.140625" style="8"/>
    <col min="10011" max="10011" width="24.5703125" style="8" customWidth="1"/>
    <col min="10012" max="10012" width="12.7109375" style="8" customWidth="1"/>
    <col min="10013" max="10228" width="9.140625" style="8"/>
    <col min="10229" max="10229" width="29.5703125" style="8" customWidth="1"/>
    <col min="10230" max="10230" width="10" style="8" customWidth="1"/>
    <col min="10231" max="10232" width="0" style="8" hidden="1" customWidth="1"/>
    <col min="10233" max="10233" width="9" style="8" customWidth="1"/>
    <col min="10234" max="10234" width="9.28515625" style="8" customWidth="1"/>
    <col min="10235" max="10235" width="9.42578125" style="8" customWidth="1"/>
    <col min="10236" max="10237" width="9" style="8" customWidth="1"/>
    <col min="10238" max="10238" width="9.140625" style="8" customWidth="1"/>
    <col min="10239" max="10239" width="9" style="8" customWidth="1"/>
    <col min="10240" max="10240" width="11.42578125" style="8" customWidth="1"/>
    <col min="10241" max="10241" width="8.7109375" style="8" customWidth="1"/>
    <col min="10242" max="10242" width="8.85546875" style="8" customWidth="1"/>
    <col min="10243" max="10243" width="9.85546875" style="8" customWidth="1"/>
    <col min="10244" max="10244" width="8.85546875" style="8" customWidth="1"/>
    <col min="10245" max="10245" width="9" style="8" customWidth="1"/>
    <col min="10246" max="10246" width="8.7109375" style="8" customWidth="1"/>
    <col min="10247" max="10247" width="9.140625" style="8" customWidth="1"/>
    <col min="10248" max="10249" width="8.85546875" style="8" customWidth="1"/>
    <col min="10250" max="10250" width="9" style="8" customWidth="1"/>
    <col min="10251" max="10252" width="9.140625" style="8" customWidth="1"/>
    <col min="10253" max="10254" width="8.85546875" style="8" customWidth="1"/>
    <col min="10255" max="10256" width="8.7109375" style="8" customWidth="1"/>
    <col min="10257" max="10257" width="10.42578125" style="8" customWidth="1"/>
    <col min="10258" max="10258" width="8.28515625" style="8" customWidth="1"/>
    <col min="10259" max="10259" width="6.85546875" style="8" customWidth="1"/>
    <col min="10260" max="10260" width="10.85546875" style="8" customWidth="1"/>
    <col min="10261" max="10261" width="10.140625" style="8" customWidth="1"/>
    <col min="10262" max="10262" width="9.42578125" style="8" customWidth="1"/>
    <col min="10263" max="10266" width="9.140625" style="8"/>
    <col min="10267" max="10267" width="24.5703125" style="8" customWidth="1"/>
    <col min="10268" max="10268" width="12.7109375" style="8" customWidth="1"/>
    <col min="10269" max="10484" width="9.140625" style="8"/>
    <col min="10485" max="10485" width="29.5703125" style="8" customWidth="1"/>
    <col min="10486" max="10486" width="10" style="8" customWidth="1"/>
    <col min="10487" max="10488" width="0" style="8" hidden="1" customWidth="1"/>
    <col min="10489" max="10489" width="9" style="8" customWidth="1"/>
    <col min="10490" max="10490" width="9.28515625" style="8" customWidth="1"/>
    <col min="10491" max="10491" width="9.42578125" style="8" customWidth="1"/>
    <col min="10492" max="10493" width="9" style="8" customWidth="1"/>
    <col min="10494" max="10494" width="9.140625" style="8" customWidth="1"/>
    <col min="10495" max="10495" width="9" style="8" customWidth="1"/>
    <col min="10496" max="10496" width="11.42578125" style="8" customWidth="1"/>
    <col min="10497" max="10497" width="8.7109375" style="8" customWidth="1"/>
    <col min="10498" max="10498" width="8.85546875" style="8" customWidth="1"/>
    <col min="10499" max="10499" width="9.85546875" style="8" customWidth="1"/>
    <col min="10500" max="10500" width="8.85546875" style="8" customWidth="1"/>
    <col min="10501" max="10501" width="9" style="8" customWidth="1"/>
    <col min="10502" max="10502" width="8.7109375" style="8" customWidth="1"/>
    <col min="10503" max="10503" width="9.140625" style="8" customWidth="1"/>
    <col min="10504" max="10505" width="8.85546875" style="8" customWidth="1"/>
    <col min="10506" max="10506" width="9" style="8" customWidth="1"/>
    <col min="10507" max="10508" width="9.140625" style="8" customWidth="1"/>
    <col min="10509" max="10510" width="8.85546875" style="8" customWidth="1"/>
    <col min="10511" max="10512" width="8.7109375" style="8" customWidth="1"/>
    <col min="10513" max="10513" width="10.42578125" style="8" customWidth="1"/>
    <col min="10514" max="10514" width="8.28515625" style="8" customWidth="1"/>
    <col min="10515" max="10515" width="6.85546875" style="8" customWidth="1"/>
    <col min="10516" max="10516" width="10.85546875" style="8" customWidth="1"/>
    <col min="10517" max="10517" width="10.140625" style="8" customWidth="1"/>
    <col min="10518" max="10518" width="9.42578125" style="8" customWidth="1"/>
    <col min="10519" max="10522" width="9.140625" style="8"/>
    <col min="10523" max="10523" width="24.5703125" style="8" customWidth="1"/>
    <col min="10524" max="10524" width="12.7109375" style="8" customWidth="1"/>
    <col min="10525" max="10740" width="9.140625" style="8"/>
    <col min="10741" max="10741" width="29.5703125" style="8" customWidth="1"/>
    <col min="10742" max="10742" width="10" style="8" customWidth="1"/>
    <col min="10743" max="10744" width="0" style="8" hidden="1" customWidth="1"/>
    <col min="10745" max="10745" width="9" style="8" customWidth="1"/>
    <col min="10746" max="10746" width="9.28515625" style="8" customWidth="1"/>
    <col min="10747" max="10747" width="9.42578125" style="8" customWidth="1"/>
    <col min="10748" max="10749" width="9" style="8" customWidth="1"/>
    <col min="10750" max="10750" width="9.140625" style="8" customWidth="1"/>
    <col min="10751" max="10751" width="9" style="8" customWidth="1"/>
    <col min="10752" max="10752" width="11.42578125" style="8" customWidth="1"/>
    <col min="10753" max="10753" width="8.7109375" style="8" customWidth="1"/>
    <col min="10754" max="10754" width="8.85546875" style="8" customWidth="1"/>
    <col min="10755" max="10755" width="9.85546875" style="8" customWidth="1"/>
    <col min="10756" max="10756" width="8.85546875" style="8" customWidth="1"/>
    <col min="10757" max="10757" width="9" style="8" customWidth="1"/>
    <col min="10758" max="10758" width="8.7109375" style="8" customWidth="1"/>
    <col min="10759" max="10759" width="9.140625" style="8" customWidth="1"/>
    <col min="10760" max="10761" width="8.85546875" style="8" customWidth="1"/>
    <col min="10762" max="10762" width="9" style="8" customWidth="1"/>
    <col min="10763" max="10764" width="9.140625" style="8" customWidth="1"/>
    <col min="10765" max="10766" width="8.85546875" style="8" customWidth="1"/>
    <col min="10767" max="10768" width="8.7109375" style="8" customWidth="1"/>
    <col min="10769" max="10769" width="10.42578125" style="8" customWidth="1"/>
    <col min="10770" max="10770" width="8.28515625" style="8" customWidth="1"/>
    <col min="10771" max="10771" width="6.85546875" style="8" customWidth="1"/>
    <col min="10772" max="10772" width="10.85546875" style="8" customWidth="1"/>
    <col min="10773" max="10773" width="10.140625" style="8" customWidth="1"/>
    <col min="10774" max="10774" width="9.42578125" style="8" customWidth="1"/>
    <col min="10775" max="10778" width="9.140625" style="8"/>
    <col min="10779" max="10779" width="24.5703125" style="8" customWidth="1"/>
    <col min="10780" max="10780" width="12.7109375" style="8" customWidth="1"/>
    <col min="10781" max="10996" width="9.140625" style="8"/>
    <col min="10997" max="10997" width="29.5703125" style="8" customWidth="1"/>
    <col min="10998" max="10998" width="10" style="8" customWidth="1"/>
    <col min="10999" max="11000" width="0" style="8" hidden="1" customWidth="1"/>
    <col min="11001" max="11001" width="9" style="8" customWidth="1"/>
    <col min="11002" max="11002" width="9.28515625" style="8" customWidth="1"/>
    <col min="11003" max="11003" width="9.42578125" style="8" customWidth="1"/>
    <col min="11004" max="11005" width="9" style="8" customWidth="1"/>
    <col min="11006" max="11006" width="9.140625" style="8" customWidth="1"/>
    <col min="11007" max="11007" width="9" style="8" customWidth="1"/>
    <col min="11008" max="11008" width="11.42578125" style="8" customWidth="1"/>
    <col min="11009" max="11009" width="8.7109375" style="8" customWidth="1"/>
    <col min="11010" max="11010" width="8.85546875" style="8" customWidth="1"/>
    <col min="11011" max="11011" width="9.85546875" style="8" customWidth="1"/>
    <col min="11012" max="11012" width="8.85546875" style="8" customWidth="1"/>
    <col min="11013" max="11013" width="9" style="8" customWidth="1"/>
    <col min="11014" max="11014" width="8.7109375" style="8" customWidth="1"/>
    <col min="11015" max="11015" width="9.140625" style="8" customWidth="1"/>
    <col min="11016" max="11017" width="8.85546875" style="8" customWidth="1"/>
    <col min="11018" max="11018" width="9" style="8" customWidth="1"/>
    <col min="11019" max="11020" width="9.140625" style="8" customWidth="1"/>
    <col min="11021" max="11022" width="8.85546875" style="8" customWidth="1"/>
    <col min="11023" max="11024" width="8.7109375" style="8" customWidth="1"/>
    <col min="11025" max="11025" width="10.42578125" style="8" customWidth="1"/>
    <col min="11026" max="11026" width="8.28515625" style="8" customWidth="1"/>
    <col min="11027" max="11027" width="6.85546875" style="8" customWidth="1"/>
    <col min="11028" max="11028" width="10.85546875" style="8" customWidth="1"/>
    <col min="11029" max="11029" width="10.140625" style="8" customWidth="1"/>
    <col min="11030" max="11030" width="9.42578125" style="8" customWidth="1"/>
    <col min="11031" max="11034" width="9.140625" style="8"/>
    <col min="11035" max="11035" width="24.5703125" style="8" customWidth="1"/>
    <col min="11036" max="11036" width="12.7109375" style="8" customWidth="1"/>
    <col min="11037" max="11252" width="9.140625" style="8"/>
    <col min="11253" max="11253" width="29.5703125" style="8" customWidth="1"/>
    <col min="11254" max="11254" width="10" style="8" customWidth="1"/>
    <col min="11255" max="11256" width="0" style="8" hidden="1" customWidth="1"/>
    <col min="11257" max="11257" width="9" style="8" customWidth="1"/>
    <col min="11258" max="11258" width="9.28515625" style="8" customWidth="1"/>
    <col min="11259" max="11259" width="9.42578125" style="8" customWidth="1"/>
    <col min="11260" max="11261" width="9" style="8" customWidth="1"/>
    <col min="11262" max="11262" width="9.140625" style="8" customWidth="1"/>
    <col min="11263" max="11263" width="9" style="8" customWidth="1"/>
    <col min="11264" max="11264" width="11.42578125" style="8" customWidth="1"/>
    <col min="11265" max="11265" width="8.7109375" style="8" customWidth="1"/>
    <col min="11266" max="11266" width="8.85546875" style="8" customWidth="1"/>
    <col min="11267" max="11267" width="9.85546875" style="8" customWidth="1"/>
    <col min="11268" max="11268" width="8.85546875" style="8" customWidth="1"/>
    <col min="11269" max="11269" width="9" style="8" customWidth="1"/>
    <col min="11270" max="11270" width="8.7109375" style="8" customWidth="1"/>
    <col min="11271" max="11271" width="9.140625" style="8" customWidth="1"/>
    <col min="11272" max="11273" width="8.85546875" style="8" customWidth="1"/>
    <col min="11274" max="11274" width="9" style="8" customWidth="1"/>
    <col min="11275" max="11276" width="9.140625" style="8" customWidth="1"/>
    <col min="11277" max="11278" width="8.85546875" style="8" customWidth="1"/>
    <col min="11279" max="11280" width="8.7109375" style="8" customWidth="1"/>
    <col min="11281" max="11281" width="10.42578125" style="8" customWidth="1"/>
    <col min="11282" max="11282" width="8.28515625" style="8" customWidth="1"/>
    <col min="11283" max="11283" width="6.85546875" style="8" customWidth="1"/>
    <col min="11284" max="11284" width="10.85546875" style="8" customWidth="1"/>
    <col min="11285" max="11285" width="10.140625" style="8" customWidth="1"/>
    <col min="11286" max="11286" width="9.42578125" style="8" customWidth="1"/>
    <col min="11287" max="11290" width="9.140625" style="8"/>
    <col min="11291" max="11291" width="24.5703125" style="8" customWidth="1"/>
    <col min="11292" max="11292" width="12.7109375" style="8" customWidth="1"/>
    <col min="11293" max="11508" width="9.140625" style="8"/>
    <col min="11509" max="11509" width="29.5703125" style="8" customWidth="1"/>
    <col min="11510" max="11510" width="10" style="8" customWidth="1"/>
    <col min="11511" max="11512" width="0" style="8" hidden="1" customWidth="1"/>
    <col min="11513" max="11513" width="9" style="8" customWidth="1"/>
    <col min="11514" max="11514" width="9.28515625" style="8" customWidth="1"/>
    <col min="11515" max="11515" width="9.42578125" style="8" customWidth="1"/>
    <col min="11516" max="11517" width="9" style="8" customWidth="1"/>
    <col min="11518" max="11518" width="9.140625" style="8" customWidth="1"/>
    <col min="11519" max="11519" width="9" style="8" customWidth="1"/>
    <col min="11520" max="11520" width="11.42578125" style="8" customWidth="1"/>
    <col min="11521" max="11521" width="8.7109375" style="8" customWidth="1"/>
    <col min="11522" max="11522" width="8.85546875" style="8" customWidth="1"/>
    <col min="11523" max="11523" width="9.85546875" style="8" customWidth="1"/>
    <col min="11524" max="11524" width="8.85546875" style="8" customWidth="1"/>
    <col min="11525" max="11525" width="9" style="8" customWidth="1"/>
    <col min="11526" max="11526" width="8.7109375" style="8" customWidth="1"/>
    <col min="11527" max="11527" width="9.140625" style="8" customWidth="1"/>
    <col min="11528" max="11529" width="8.85546875" style="8" customWidth="1"/>
    <col min="11530" max="11530" width="9" style="8" customWidth="1"/>
    <col min="11531" max="11532" width="9.140625" style="8" customWidth="1"/>
    <col min="11533" max="11534" width="8.85546875" style="8" customWidth="1"/>
    <col min="11535" max="11536" width="8.7109375" style="8" customWidth="1"/>
    <col min="11537" max="11537" width="10.42578125" style="8" customWidth="1"/>
    <col min="11538" max="11538" width="8.28515625" style="8" customWidth="1"/>
    <col min="11539" max="11539" width="6.85546875" style="8" customWidth="1"/>
    <col min="11540" max="11540" width="10.85546875" style="8" customWidth="1"/>
    <col min="11541" max="11541" width="10.140625" style="8" customWidth="1"/>
    <col min="11542" max="11542" width="9.42578125" style="8" customWidth="1"/>
    <col min="11543" max="11546" width="9.140625" style="8"/>
    <col min="11547" max="11547" width="24.5703125" style="8" customWidth="1"/>
    <col min="11548" max="11548" width="12.7109375" style="8" customWidth="1"/>
    <col min="11549" max="11764" width="9.140625" style="8"/>
    <col min="11765" max="11765" width="29.5703125" style="8" customWidth="1"/>
    <col min="11766" max="11766" width="10" style="8" customWidth="1"/>
    <col min="11767" max="11768" width="0" style="8" hidden="1" customWidth="1"/>
    <col min="11769" max="11769" width="9" style="8" customWidth="1"/>
    <col min="11770" max="11770" width="9.28515625" style="8" customWidth="1"/>
    <col min="11771" max="11771" width="9.42578125" style="8" customWidth="1"/>
    <col min="11772" max="11773" width="9" style="8" customWidth="1"/>
    <col min="11774" max="11774" width="9.140625" style="8" customWidth="1"/>
    <col min="11775" max="11775" width="9" style="8" customWidth="1"/>
    <col min="11776" max="11776" width="11.42578125" style="8" customWidth="1"/>
    <col min="11777" max="11777" width="8.7109375" style="8" customWidth="1"/>
    <col min="11778" max="11778" width="8.85546875" style="8" customWidth="1"/>
    <col min="11779" max="11779" width="9.85546875" style="8" customWidth="1"/>
    <col min="11780" max="11780" width="8.85546875" style="8" customWidth="1"/>
    <col min="11781" max="11781" width="9" style="8" customWidth="1"/>
    <col min="11782" max="11782" width="8.7109375" style="8" customWidth="1"/>
    <col min="11783" max="11783" width="9.140625" style="8" customWidth="1"/>
    <col min="11784" max="11785" width="8.85546875" style="8" customWidth="1"/>
    <col min="11786" max="11786" width="9" style="8" customWidth="1"/>
    <col min="11787" max="11788" width="9.140625" style="8" customWidth="1"/>
    <col min="11789" max="11790" width="8.85546875" style="8" customWidth="1"/>
    <col min="11791" max="11792" width="8.7109375" style="8" customWidth="1"/>
    <col min="11793" max="11793" width="10.42578125" style="8" customWidth="1"/>
    <col min="11794" max="11794" width="8.28515625" style="8" customWidth="1"/>
    <col min="11795" max="11795" width="6.85546875" style="8" customWidth="1"/>
    <col min="11796" max="11796" width="10.85546875" style="8" customWidth="1"/>
    <col min="11797" max="11797" width="10.140625" style="8" customWidth="1"/>
    <col min="11798" max="11798" width="9.42578125" style="8" customWidth="1"/>
    <col min="11799" max="11802" width="9.140625" style="8"/>
    <col min="11803" max="11803" width="24.5703125" style="8" customWidth="1"/>
    <col min="11804" max="11804" width="12.7109375" style="8" customWidth="1"/>
    <col min="11805" max="12020" width="9.140625" style="8"/>
    <col min="12021" max="12021" width="29.5703125" style="8" customWidth="1"/>
    <col min="12022" max="12022" width="10" style="8" customWidth="1"/>
    <col min="12023" max="12024" width="0" style="8" hidden="1" customWidth="1"/>
    <col min="12025" max="12025" width="9" style="8" customWidth="1"/>
    <col min="12026" max="12026" width="9.28515625" style="8" customWidth="1"/>
    <col min="12027" max="12027" width="9.42578125" style="8" customWidth="1"/>
    <col min="12028" max="12029" width="9" style="8" customWidth="1"/>
    <col min="12030" max="12030" width="9.140625" style="8" customWidth="1"/>
    <col min="12031" max="12031" width="9" style="8" customWidth="1"/>
    <col min="12032" max="12032" width="11.42578125" style="8" customWidth="1"/>
    <col min="12033" max="12033" width="8.7109375" style="8" customWidth="1"/>
    <col min="12034" max="12034" width="8.85546875" style="8" customWidth="1"/>
    <col min="12035" max="12035" width="9.85546875" style="8" customWidth="1"/>
    <col min="12036" max="12036" width="8.85546875" style="8" customWidth="1"/>
    <col min="12037" max="12037" width="9" style="8" customWidth="1"/>
    <col min="12038" max="12038" width="8.7109375" style="8" customWidth="1"/>
    <col min="12039" max="12039" width="9.140625" style="8" customWidth="1"/>
    <col min="12040" max="12041" width="8.85546875" style="8" customWidth="1"/>
    <col min="12042" max="12042" width="9" style="8" customWidth="1"/>
    <col min="12043" max="12044" width="9.140625" style="8" customWidth="1"/>
    <col min="12045" max="12046" width="8.85546875" style="8" customWidth="1"/>
    <col min="12047" max="12048" width="8.7109375" style="8" customWidth="1"/>
    <col min="12049" max="12049" width="10.42578125" style="8" customWidth="1"/>
    <col min="12050" max="12050" width="8.28515625" style="8" customWidth="1"/>
    <col min="12051" max="12051" width="6.85546875" style="8" customWidth="1"/>
    <col min="12052" max="12052" width="10.85546875" style="8" customWidth="1"/>
    <col min="12053" max="12053" width="10.140625" style="8" customWidth="1"/>
    <col min="12054" max="12054" width="9.42578125" style="8" customWidth="1"/>
    <col min="12055" max="12058" width="9.140625" style="8"/>
    <col min="12059" max="12059" width="24.5703125" style="8" customWidth="1"/>
    <col min="12060" max="12060" width="12.7109375" style="8" customWidth="1"/>
    <col min="12061" max="12276" width="9.140625" style="8"/>
    <col min="12277" max="12277" width="29.5703125" style="8" customWidth="1"/>
    <col min="12278" max="12278" width="10" style="8" customWidth="1"/>
    <col min="12279" max="12280" width="0" style="8" hidden="1" customWidth="1"/>
    <col min="12281" max="12281" width="9" style="8" customWidth="1"/>
    <col min="12282" max="12282" width="9.28515625" style="8" customWidth="1"/>
    <col min="12283" max="12283" width="9.42578125" style="8" customWidth="1"/>
    <col min="12284" max="12285" width="9" style="8" customWidth="1"/>
    <col min="12286" max="12286" width="9.140625" style="8" customWidth="1"/>
    <col min="12287" max="12287" width="9" style="8" customWidth="1"/>
    <col min="12288" max="12288" width="11.42578125" style="8" customWidth="1"/>
    <col min="12289" max="12289" width="8.7109375" style="8" customWidth="1"/>
    <col min="12290" max="12290" width="8.85546875" style="8" customWidth="1"/>
    <col min="12291" max="12291" width="9.85546875" style="8" customWidth="1"/>
    <col min="12292" max="12292" width="8.85546875" style="8" customWidth="1"/>
    <col min="12293" max="12293" width="9" style="8" customWidth="1"/>
    <col min="12294" max="12294" width="8.7109375" style="8" customWidth="1"/>
    <col min="12295" max="12295" width="9.140625" style="8" customWidth="1"/>
    <col min="12296" max="12297" width="8.85546875" style="8" customWidth="1"/>
    <col min="12298" max="12298" width="9" style="8" customWidth="1"/>
    <col min="12299" max="12300" width="9.140625" style="8" customWidth="1"/>
    <col min="12301" max="12302" width="8.85546875" style="8" customWidth="1"/>
    <col min="12303" max="12304" width="8.7109375" style="8" customWidth="1"/>
    <col min="12305" max="12305" width="10.42578125" style="8" customWidth="1"/>
    <col min="12306" max="12306" width="8.28515625" style="8" customWidth="1"/>
    <col min="12307" max="12307" width="6.85546875" style="8" customWidth="1"/>
    <col min="12308" max="12308" width="10.85546875" style="8" customWidth="1"/>
    <col min="12309" max="12309" width="10.140625" style="8" customWidth="1"/>
    <col min="12310" max="12310" width="9.42578125" style="8" customWidth="1"/>
    <col min="12311" max="12314" width="9.140625" style="8"/>
    <col min="12315" max="12315" width="24.5703125" style="8" customWidth="1"/>
    <col min="12316" max="12316" width="12.7109375" style="8" customWidth="1"/>
    <col min="12317" max="12532" width="9.140625" style="8"/>
    <col min="12533" max="12533" width="29.5703125" style="8" customWidth="1"/>
    <col min="12534" max="12534" width="10" style="8" customWidth="1"/>
    <col min="12535" max="12536" width="0" style="8" hidden="1" customWidth="1"/>
    <col min="12537" max="12537" width="9" style="8" customWidth="1"/>
    <col min="12538" max="12538" width="9.28515625" style="8" customWidth="1"/>
    <col min="12539" max="12539" width="9.42578125" style="8" customWidth="1"/>
    <col min="12540" max="12541" width="9" style="8" customWidth="1"/>
    <col min="12542" max="12542" width="9.140625" style="8" customWidth="1"/>
    <col min="12543" max="12543" width="9" style="8" customWidth="1"/>
    <col min="12544" max="12544" width="11.42578125" style="8" customWidth="1"/>
    <col min="12545" max="12545" width="8.7109375" style="8" customWidth="1"/>
    <col min="12546" max="12546" width="8.85546875" style="8" customWidth="1"/>
    <col min="12547" max="12547" width="9.85546875" style="8" customWidth="1"/>
    <col min="12548" max="12548" width="8.85546875" style="8" customWidth="1"/>
    <col min="12549" max="12549" width="9" style="8" customWidth="1"/>
    <col min="12550" max="12550" width="8.7109375" style="8" customWidth="1"/>
    <col min="12551" max="12551" width="9.140625" style="8" customWidth="1"/>
    <col min="12552" max="12553" width="8.85546875" style="8" customWidth="1"/>
    <col min="12554" max="12554" width="9" style="8" customWidth="1"/>
    <col min="12555" max="12556" width="9.140625" style="8" customWidth="1"/>
    <col min="12557" max="12558" width="8.85546875" style="8" customWidth="1"/>
    <col min="12559" max="12560" width="8.7109375" style="8" customWidth="1"/>
    <col min="12561" max="12561" width="10.42578125" style="8" customWidth="1"/>
    <col min="12562" max="12562" width="8.28515625" style="8" customWidth="1"/>
    <col min="12563" max="12563" width="6.85546875" style="8" customWidth="1"/>
    <col min="12564" max="12564" width="10.85546875" style="8" customWidth="1"/>
    <col min="12565" max="12565" width="10.140625" style="8" customWidth="1"/>
    <col min="12566" max="12566" width="9.42578125" style="8" customWidth="1"/>
    <col min="12567" max="12570" width="9.140625" style="8"/>
    <col min="12571" max="12571" width="24.5703125" style="8" customWidth="1"/>
    <col min="12572" max="12572" width="12.7109375" style="8" customWidth="1"/>
    <col min="12573" max="12788" width="9.140625" style="8"/>
    <col min="12789" max="12789" width="29.5703125" style="8" customWidth="1"/>
    <col min="12790" max="12790" width="10" style="8" customWidth="1"/>
    <col min="12791" max="12792" width="0" style="8" hidden="1" customWidth="1"/>
    <col min="12793" max="12793" width="9" style="8" customWidth="1"/>
    <col min="12794" max="12794" width="9.28515625" style="8" customWidth="1"/>
    <col min="12795" max="12795" width="9.42578125" style="8" customWidth="1"/>
    <col min="12796" max="12797" width="9" style="8" customWidth="1"/>
    <col min="12798" max="12798" width="9.140625" style="8" customWidth="1"/>
    <col min="12799" max="12799" width="9" style="8" customWidth="1"/>
    <col min="12800" max="12800" width="11.42578125" style="8" customWidth="1"/>
    <col min="12801" max="12801" width="8.7109375" style="8" customWidth="1"/>
    <col min="12802" max="12802" width="8.85546875" style="8" customWidth="1"/>
    <col min="12803" max="12803" width="9.85546875" style="8" customWidth="1"/>
    <col min="12804" max="12804" width="8.85546875" style="8" customWidth="1"/>
    <col min="12805" max="12805" width="9" style="8" customWidth="1"/>
    <col min="12806" max="12806" width="8.7109375" style="8" customWidth="1"/>
    <col min="12807" max="12807" width="9.140625" style="8" customWidth="1"/>
    <col min="12808" max="12809" width="8.85546875" style="8" customWidth="1"/>
    <col min="12810" max="12810" width="9" style="8" customWidth="1"/>
    <col min="12811" max="12812" width="9.140625" style="8" customWidth="1"/>
    <col min="12813" max="12814" width="8.85546875" style="8" customWidth="1"/>
    <col min="12815" max="12816" width="8.7109375" style="8" customWidth="1"/>
    <col min="12817" max="12817" width="10.42578125" style="8" customWidth="1"/>
    <col min="12818" max="12818" width="8.28515625" style="8" customWidth="1"/>
    <col min="12819" max="12819" width="6.85546875" style="8" customWidth="1"/>
    <col min="12820" max="12820" width="10.85546875" style="8" customWidth="1"/>
    <col min="12821" max="12821" width="10.140625" style="8" customWidth="1"/>
    <col min="12822" max="12822" width="9.42578125" style="8" customWidth="1"/>
    <col min="12823" max="12826" width="9.140625" style="8"/>
    <col min="12827" max="12827" width="24.5703125" style="8" customWidth="1"/>
    <col min="12828" max="12828" width="12.7109375" style="8" customWidth="1"/>
    <col min="12829" max="13044" width="9.140625" style="8"/>
    <col min="13045" max="13045" width="29.5703125" style="8" customWidth="1"/>
    <col min="13046" max="13046" width="10" style="8" customWidth="1"/>
    <col min="13047" max="13048" width="0" style="8" hidden="1" customWidth="1"/>
    <col min="13049" max="13049" width="9" style="8" customWidth="1"/>
    <col min="13050" max="13050" width="9.28515625" style="8" customWidth="1"/>
    <col min="13051" max="13051" width="9.42578125" style="8" customWidth="1"/>
    <col min="13052" max="13053" width="9" style="8" customWidth="1"/>
    <col min="13054" max="13054" width="9.140625" style="8" customWidth="1"/>
    <col min="13055" max="13055" width="9" style="8" customWidth="1"/>
    <col min="13056" max="13056" width="11.42578125" style="8" customWidth="1"/>
    <col min="13057" max="13057" width="8.7109375" style="8" customWidth="1"/>
    <col min="13058" max="13058" width="8.85546875" style="8" customWidth="1"/>
    <col min="13059" max="13059" width="9.85546875" style="8" customWidth="1"/>
    <col min="13060" max="13060" width="8.85546875" style="8" customWidth="1"/>
    <col min="13061" max="13061" width="9" style="8" customWidth="1"/>
    <col min="13062" max="13062" width="8.7109375" style="8" customWidth="1"/>
    <col min="13063" max="13063" width="9.140625" style="8" customWidth="1"/>
    <col min="13064" max="13065" width="8.85546875" style="8" customWidth="1"/>
    <col min="13066" max="13066" width="9" style="8" customWidth="1"/>
    <col min="13067" max="13068" width="9.140625" style="8" customWidth="1"/>
    <col min="13069" max="13070" width="8.85546875" style="8" customWidth="1"/>
    <col min="13071" max="13072" width="8.7109375" style="8" customWidth="1"/>
    <col min="13073" max="13073" width="10.42578125" style="8" customWidth="1"/>
    <col min="13074" max="13074" width="8.28515625" style="8" customWidth="1"/>
    <col min="13075" max="13075" width="6.85546875" style="8" customWidth="1"/>
    <col min="13076" max="13076" width="10.85546875" style="8" customWidth="1"/>
    <col min="13077" max="13077" width="10.140625" style="8" customWidth="1"/>
    <col min="13078" max="13078" width="9.42578125" style="8" customWidth="1"/>
    <col min="13079" max="13082" width="9.140625" style="8"/>
    <col min="13083" max="13083" width="24.5703125" style="8" customWidth="1"/>
    <col min="13084" max="13084" width="12.7109375" style="8" customWidth="1"/>
    <col min="13085" max="13300" width="9.140625" style="8"/>
    <col min="13301" max="13301" width="29.5703125" style="8" customWidth="1"/>
    <col min="13302" max="13302" width="10" style="8" customWidth="1"/>
    <col min="13303" max="13304" width="0" style="8" hidden="1" customWidth="1"/>
    <col min="13305" max="13305" width="9" style="8" customWidth="1"/>
    <col min="13306" max="13306" width="9.28515625" style="8" customWidth="1"/>
    <col min="13307" max="13307" width="9.42578125" style="8" customWidth="1"/>
    <col min="13308" max="13309" width="9" style="8" customWidth="1"/>
    <col min="13310" max="13310" width="9.140625" style="8" customWidth="1"/>
    <col min="13311" max="13311" width="9" style="8" customWidth="1"/>
    <col min="13312" max="13312" width="11.42578125" style="8" customWidth="1"/>
    <col min="13313" max="13313" width="8.7109375" style="8" customWidth="1"/>
    <col min="13314" max="13314" width="8.85546875" style="8" customWidth="1"/>
    <col min="13315" max="13315" width="9.85546875" style="8" customWidth="1"/>
    <col min="13316" max="13316" width="8.85546875" style="8" customWidth="1"/>
    <col min="13317" max="13317" width="9" style="8" customWidth="1"/>
    <col min="13318" max="13318" width="8.7109375" style="8" customWidth="1"/>
    <col min="13319" max="13319" width="9.140625" style="8" customWidth="1"/>
    <col min="13320" max="13321" width="8.85546875" style="8" customWidth="1"/>
    <col min="13322" max="13322" width="9" style="8" customWidth="1"/>
    <col min="13323" max="13324" width="9.140625" style="8" customWidth="1"/>
    <col min="13325" max="13326" width="8.85546875" style="8" customWidth="1"/>
    <col min="13327" max="13328" width="8.7109375" style="8" customWidth="1"/>
    <col min="13329" max="13329" width="10.42578125" style="8" customWidth="1"/>
    <col min="13330" max="13330" width="8.28515625" style="8" customWidth="1"/>
    <col min="13331" max="13331" width="6.85546875" style="8" customWidth="1"/>
    <col min="13332" max="13332" width="10.85546875" style="8" customWidth="1"/>
    <col min="13333" max="13333" width="10.140625" style="8" customWidth="1"/>
    <col min="13334" max="13334" width="9.42578125" style="8" customWidth="1"/>
    <col min="13335" max="13338" width="9.140625" style="8"/>
    <col min="13339" max="13339" width="24.5703125" style="8" customWidth="1"/>
    <col min="13340" max="13340" width="12.7109375" style="8" customWidth="1"/>
    <col min="13341" max="13556" width="9.140625" style="8"/>
    <col min="13557" max="13557" width="29.5703125" style="8" customWidth="1"/>
    <col min="13558" max="13558" width="10" style="8" customWidth="1"/>
    <col min="13559" max="13560" width="0" style="8" hidden="1" customWidth="1"/>
    <col min="13561" max="13561" width="9" style="8" customWidth="1"/>
    <col min="13562" max="13562" width="9.28515625" style="8" customWidth="1"/>
    <col min="13563" max="13563" width="9.42578125" style="8" customWidth="1"/>
    <col min="13564" max="13565" width="9" style="8" customWidth="1"/>
    <col min="13566" max="13566" width="9.140625" style="8" customWidth="1"/>
    <col min="13567" max="13567" width="9" style="8" customWidth="1"/>
    <col min="13568" max="13568" width="11.42578125" style="8" customWidth="1"/>
    <col min="13569" max="13569" width="8.7109375" style="8" customWidth="1"/>
    <col min="13570" max="13570" width="8.85546875" style="8" customWidth="1"/>
    <col min="13571" max="13571" width="9.85546875" style="8" customWidth="1"/>
    <col min="13572" max="13572" width="8.85546875" style="8" customWidth="1"/>
    <col min="13573" max="13573" width="9" style="8" customWidth="1"/>
    <col min="13574" max="13574" width="8.7109375" style="8" customWidth="1"/>
    <col min="13575" max="13575" width="9.140625" style="8" customWidth="1"/>
    <col min="13576" max="13577" width="8.85546875" style="8" customWidth="1"/>
    <col min="13578" max="13578" width="9" style="8" customWidth="1"/>
    <col min="13579" max="13580" width="9.140625" style="8" customWidth="1"/>
    <col min="13581" max="13582" width="8.85546875" style="8" customWidth="1"/>
    <col min="13583" max="13584" width="8.7109375" style="8" customWidth="1"/>
    <col min="13585" max="13585" width="10.42578125" style="8" customWidth="1"/>
    <col min="13586" max="13586" width="8.28515625" style="8" customWidth="1"/>
    <col min="13587" max="13587" width="6.85546875" style="8" customWidth="1"/>
    <col min="13588" max="13588" width="10.85546875" style="8" customWidth="1"/>
    <col min="13589" max="13589" width="10.140625" style="8" customWidth="1"/>
    <col min="13590" max="13590" width="9.42578125" style="8" customWidth="1"/>
    <col min="13591" max="13594" width="9.140625" style="8"/>
    <col min="13595" max="13595" width="24.5703125" style="8" customWidth="1"/>
    <col min="13596" max="13596" width="12.7109375" style="8" customWidth="1"/>
    <col min="13597" max="13812" width="9.140625" style="8"/>
    <col min="13813" max="13813" width="29.5703125" style="8" customWidth="1"/>
    <col min="13814" max="13814" width="10" style="8" customWidth="1"/>
    <col min="13815" max="13816" width="0" style="8" hidden="1" customWidth="1"/>
    <col min="13817" max="13817" width="9" style="8" customWidth="1"/>
    <col min="13818" max="13818" width="9.28515625" style="8" customWidth="1"/>
    <col min="13819" max="13819" width="9.42578125" style="8" customWidth="1"/>
    <col min="13820" max="13821" width="9" style="8" customWidth="1"/>
    <col min="13822" max="13822" width="9.140625" style="8" customWidth="1"/>
    <col min="13823" max="13823" width="9" style="8" customWidth="1"/>
    <col min="13824" max="13824" width="11.42578125" style="8" customWidth="1"/>
    <col min="13825" max="13825" width="8.7109375" style="8" customWidth="1"/>
    <col min="13826" max="13826" width="8.85546875" style="8" customWidth="1"/>
    <col min="13827" max="13827" width="9.85546875" style="8" customWidth="1"/>
    <col min="13828" max="13828" width="8.85546875" style="8" customWidth="1"/>
    <col min="13829" max="13829" width="9" style="8" customWidth="1"/>
    <col min="13830" max="13830" width="8.7109375" style="8" customWidth="1"/>
    <col min="13831" max="13831" width="9.140625" style="8" customWidth="1"/>
    <col min="13832" max="13833" width="8.85546875" style="8" customWidth="1"/>
    <col min="13834" max="13834" width="9" style="8" customWidth="1"/>
    <col min="13835" max="13836" width="9.140625" style="8" customWidth="1"/>
    <col min="13837" max="13838" width="8.85546875" style="8" customWidth="1"/>
    <col min="13839" max="13840" width="8.7109375" style="8" customWidth="1"/>
    <col min="13841" max="13841" width="10.42578125" style="8" customWidth="1"/>
    <col min="13842" max="13842" width="8.28515625" style="8" customWidth="1"/>
    <col min="13843" max="13843" width="6.85546875" style="8" customWidth="1"/>
    <col min="13844" max="13844" width="10.85546875" style="8" customWidth="1"/>
    <col min="13845" max="13845" width="10.140625" style="8" customWidth="1"/>
    <col min="13846" max="13846" width="9.42578125" style="8" customWidth="1"/>
    <col min="13847" max="13850" width="9.140625" style="8"/>
    <col min="13851" max="13851" width="24.5703125" style="8" customWidth="1"/>
    <col min="13852" max="13852" width="12.7109375" style="8" customWidth="1"/>
    <col min="13853" max="14068" width="9.140625" style="8"/>
    <col min="14069" max="14069" width="29.5703125" style="8" customWidth="1"/>
    <col min="14070" max="14070" width="10" style="8" customWidth="1"/>
    <col min="14071" max="14072" width="0" style="8" hidden="1" customWidth="1"/>
    <col min="14073" max="14073" width="9" style="8" customWidth="1"/>
    <col min="14074" max="14074" width="9.28515625" style="8" customWidth="1"/>
    <col min="14075" max="14075" width="9.42578125" style="8" customWidth="1"/>
    <col min="14076" max="14077" width="9" style="8" customWidth="1"/>
    <col min="14078" max="14078" width="9.140625" style="8" customWidth="1"/>
    <col min="14079" max="14079" width="9" style="8" customWidth="1"/>
    <col min="14080" max="14080" width="11.42578125" style="8" customWidth="1"/>
    <col min="14081" max="14081" width="8.7109375" style="8" customWidth="1"/>
    <col min="14082" max="14082" width="8.85546875" style="8" customWidth="1"/>
    <col min="14083" max="14083" width="9.85546875" style="8" customWidth="1"/>
    <col min="14084" max="14084" width="8.85546875" style="8" customWidth="1"/>
    <col min="14085" max="14085" width="9" style="8" customWidth="1"/>
    <col min="14086" max="14086" width="8.7109375" style="8" customWidth="1"/>
    <col min="14087" max="14087" width="9.140625" style="8" customWidth="1"/>
    <col min="14088" max="14089" width="8.85546875" style="8" customWidth="1"/>
    <col min="14090" max="14090" width="9" style="8" customWidth="1"/>
    <col min="14091" max="14092" width="9.140625" style="8" customWidth="1"/>
    <col min="14093" max="14094" width="8.85546875" style="8" customWidth="1"/>
    <col min="14095" max="14096" width="8.7109375" style="8" customWidth="1"/>
    <col min="14097" max="14097" width="10.42578125" style="8" customWidth="1"/>
    <col min="14098" max="14098" width="8.28515625" style="8" customWidth="1"/>
    <col min="14099" max="14099" width="6.85546875" style="8" customWidth="1"/>
    <col min="14100" max="14100" width="10.85546875" style="8" customWidth="1"/>
    <col min="14101" max="14101" width="10.140625" style="8" customWidth="1"/>
    <col min="14102" max="14102" width="9.42578125" style="8" customWidth="1"/>
    <col min="14103" max="14106" width="9.140625" style="8"/>
    <col min="14107" max="14107" width="24.5703125" style="8" customWidth="1"/>
    <col min="14108" max="14108" width="12.7109375" style="8" customWidth="1"/>
    <col min="14109" max="14324" width="9.140625" style="8"/>
    <col min="14325" max="14325" width="29.5703125" style="8" customWidth="1"/>
    <col min="14326" max="14326" width="10" style="8" customWidth="1"/>
    <col min="14327" max="14328" width="0" style="8" hidden="1" customWidth="1"/>
    <col min="14329" max="14329" width="9" style="8" customWidth="1"/>
    <col min="14330" max="14330" width="9.28515625" style="8" customWidth="1"/>
    <col min="14331" max="14331" width="9.42578125" style="8" customWidth="1"/>
    <col min="14332" max="14333" width="9" style="8" customWidth="1"/>
    <col min="14334" max="14334" width="9.140625" style="8" customWidth="1"/>
    <col min="14335" max="14335" width="9" style="8" customWidth="1"/>
    <col min="14336" max="14336" width="11.42578125" style="8" customWidth="1"/>
    <col min="14337" max="14337" width="8.7109375" style="8" customWidth="1"/>
    <col min="14338" max="14338" width="8.85546875" style="8" customWidth="1"/>
    <col min="14339" max="14339" width="9.85546875" style="8" customWidth="1"/>
    <col min="14340" max="14340" width="8.85546875" style="8" customWidth="1"/>
    <col min="14341" max="14341" width="9" style="8" customWidth="1"/>
    <col min="14342" max="14342" width="8.7109375" style="8" customWidth="1"/>
    <col min="14343" max="14343" width="9.140625" style="8" customWidth="1"/>
    <col min="14344" max="14345" width="8.85546875" style="8" customWidth="1"/>
    <col min="14346" max="14346" width="9" style="8" customWidth="1"/>
    <col min="14347" max="14348" width="9.140625" style="8" customWidth="1"/>
    <col min="14349" max="14350" width="8.85546875" style="8" customWidth="1"/>
    <col min="14351" max="14352" width="8.7109375" style="8" customWidth="1"/>
    <col min="14353" max="14353" width="10.42578125" style="8" customWidth="1"/>
    <col min="14354" max="14354" width="8.28515625" style="8" customWidth="1"/>
    <col min="14355" max="14355" width="6.85546875" style="8" customWidth="1"/>
    <col min="14356" max="14356" width="10.85546875" style="8" customWidth="1"/>
    <col min="14357" max="14357" width="10.140625" style="8" customWidth="1"/>
    <col min="14358" max="14358" width="9.42578125" style="8" customWidth="1"/>
    <col min="14359" max="14362" width="9.140625" style="8"/>
    <col min="14363" max="14363" width="24.5703125" style="8" customWidth="1"/>
    <col min="14364" max="14364" width="12.7109375" style="8" customWidth="1"/>
    <col min="14365" max="14580" width="9.140625" style="8"/>
    <col min="14581" max="14581" width="29.5703125" style="8" customWidth="1"/>
    <col min="14582" max="14582" width="10" style="8" customWidth="1"/>
    <col min="14583" max="14584" width="0" style="8" hidden="1" customWidth="1"/>
    <col min="14585" max="14585" width="9" style="8" customWidth="1"/>
    <col min="14586" max="14586" width="9.28515625" style="8" customWidth="1"/>
    <col min="14587" max="14587" width="9.42578125" style="8" customWidth="1"/>
    <col min="14588" max="14589" width="9" style="8" customWidth="1"/>
    <col min="14590" max="14590" width="9.140625" style="8" customWidth="1"/>
    <col min="14591" max="14591" width="9" style="8" customWidth="1"/>
    <col min="14592" max="14592" width="11.42578125" style="8" customWidth="1"/>
    <col min="14593" max="14593" width="8.7109375" style="8" customWidth="1"/>
    <col min="14594" max="14594" width="8.85546875" style="8" customWidth="1"/>
    <col min="14595" max="14595" width="9.85546875" style="8" customWidth="1"/>
    <col min="14596" max="14596" width="8.85546875" style="8" customWidth="1"/>
    <col min="14597" max="14597" width="9" style="8" customWidth="1"/>
    <col min="14598" max="14598" width="8.7109375" style="8" customWidth="1"/>
    <col min="14599" max="14599" width="9.140625" style="8" customWidth="1"/>
    <col min="14600" max="14601" width="8.85546875" style="8" customWidth="1"/>
    <col min="14602" max="14602" width="9" style="8" customWidth="1"/>
    <col min="14603" max="14604" width="9.140625" style="8" customWidth="1"/>
    <col min="14605" max="14606" width="8.85546875" style="8" customWidth="1"/>
    <col min="14607" max="14608" width="8.7109375" style="8" customWidth="1"/>
    <col min="14609" max="14609" width="10.42578125" style="8" customWidth="1"/>
    <col min="14610" max="14610" width="8.28515625" style="8" customWidth="1"/>
    <col min="14611" max="14611" width="6.85546875" style="8" customWidth="1"/>
    <col min="14612" max="14612" width="10.85546875" style="8" customWidth="1"/>
    <col min="14613" max="14613" width="10.140625" style="8" customWidth="1"/>
    <col min="14614" max="14614" width="9.42578125" style="8" customWidth="1"/>
    <col min="14615" max="14618" width="9.140625" style="8"/>
    <col min="14619" max="14619" width="24.5703125" style="8" customWidth="1"/>
    <col min="14620" max="14620" width="12.7109375" style="8" customWidth="1"/>
    <col min="14621" max="14836" width="9.140625" style="8"/>
    <col min="14837" max="14837" width="29.5703125" style="8" customWidth="1"/>
    <col min="14838" max="14838" width="10" style="8" customWidth="1"/>
    <col min="14839" max="14840" width="0" style="8" hidden="1" customWidth="1"/>
    <col min="14841" max="14841" width="9" style="8" customWidth="1"/>
    <col min="14842" max="14842" width="9.28515625" style="8" customWidth="1"/>
    <col min="14843" max="14843" width="9.42578125" style="8" customWidth="1"/>
    <col min="14844" max="14845" width="9" style="8" customWidth="1"/>
    <col min="14846" max="14846" width="9.140625" style="8" customWidth="1"/>
    <col min="14847" max="14847" width="9" style="8" customWidth="1"/>
    <col min="14848" max="14848" width="11.42578125" style="8" customWidth="1"/>
    <col min="14849" max="14849" width="8.7109375" style="8" customWidth="1"/>
    <col min="14850" max="14850" width="8.85546875" style="8" customWidth="1"/>
    <col min="14851" max="14851" width="9.85546875" style="8" customWidth="1"/>
    <col min="14852" max="14852" width="8.85546875" style="8" customWidth="1"/>
    <col min="14853" max="14853" width="9" style="8" customWidth="1"/>
    <col min="14854" max="14854" width="8.7109375" style="8" customWidth="1"/>
    <col min="14855" max="14855" width="9.140625" style="8" customWidth="1"/>
    <col min="14856" max="14857" width="8.85546875" style="8" customWidth="1"/>
    <col min="14858" max="14858" width="9" style="8" customWidth="1"/>
    <col min="14859" max="14860" width="9.140625" style="8" customWidth="1"/>
    <col min="14861" max="14862" width="8.85546875" style="8" customWidth="1"/>
    <col min="14863" max="14864" width="8.7109375" style="8" customWidth="1"/>
    <col min="14865" max="14865" width="10.42578125" style="8" customWidth="1"/>
    <col min="14866" max="14866" width="8.28515625" style="8" customWidth="1"/>
    <col min="14867" max="14867" width="6.85546875" style="8" customWidth="1"/>
    <col min="14868" max="14868" width="10.85546875" style="8" customWidth="1"/>
    <col min="14869" max="14869" width="10.140625" style="8" customWidth="1"/>
    <col min="14870" max="14870" width="9.42578125" style="8" customWidth="1"/>
    <col min="14871" max="14874" width="9.140625" style="8"/>
    <col min="14875" max="14875" width="24.5703125" style="8" customWidth="1"/>
    <col min="14876" max="14876" width="12.7109375" style="8" customWidth="1"/>
    <col min="14877" max="15092" width="9.140625" style="8"/>
    <col min="15093" max="15093" width="29.5703125" style="8" customWidth="1"/>
    <col min="15094" max="15094" width="10" style="8" customWidth="1"/>
    <col min="15095" max="15096" width="0" style="8" hidden="1" customWidth="1"/>
    <col min="15097" max="15097" width="9" style="8" customWidth="1"/>
    <col min="15098" max="15098" width="9.28515625" style="8" customWidth="1"/>
    <col min="15099" max="15099" width="9.42578125" style="8" customWidth="1"/>
    <col min="15100" max="15101" width="9" style="8" customWidth="1"/>
    <col min="15102" max="15102" width="9.140625" style="8" customWidth="1"/>
    <col min="15103" max="15103" width="9" style="8" customWidth="1"/>
    <col min="15104" max="15104" width="11.42578125" style="8" customWidth="1"/>
    <col min="15105" max="15105" width="8.7109375" style="8" customWidth="1"/>
    <col min="15106" max="15106" width="8.85546875" style="8" customWidth="1"/>
    <col min="15107" max="15107" width="9.85546875" style="8" customWidth="1"/>
    <col min="15108" max="15108" width="8.85546875" style="8" customWidth="1"/>
    <col min="15109" max="15109" width="9" style="8" customWidth="1"/>
    <col min="15110" max="15110" width="8.7109375" style="8" customWidth="1"/>
    <col min="15111" max="15111" width="9.140625" style="8" customWidth="1"/>
    <col min="15112" max="15113" width="8.85546875" style="8" customWidth="1"/>
    <col min="15114" max="15114" width="9" style="8" customWidth="1"/>
    <col min="15115" max="15116" width="9.140625" style="8" customWidth="1"/>
    <col min="15117" max="15118" width="8.85546875" style="8" customWidth="1"/>
    <col min="15119" max="15120" width="8.7109375" style="8" customWidth="1"/>
    <col min="15121" max="15121" width="10.42578125" style="8" customWidth="1"/>
    <col min="15122" max="15122" width="8.28515625" style="8" customWidth="1"/>
    <col min="15123" max="15123" width="6.85546875" style="8" customWidth="1"/>
    <col min="15124" max="15124" width="10.85546875" style="8" customWidth="1"/>
    <col min="15125" max="15125" width="10.140625" style="8" customWidth="1"/>
    <col min="15126" max="15126" width="9.42578125" style="8" customWidth="1"/>
    <col min="15127" max="15130" width="9.140625" style="8"/>
    <col min="15131" max="15131" width="24.5703125" style="8" customWidth="1"/>
    <col min="15132" max="15132" width="12.7109375" style="8" customWidth="1"/>
    <col min="15133" max="15348" width="9.140625" style="8"/>
    <col min="15349" max="15349" width="29.5703125" style="8" customWidth="1"/>
    <col min="15350" max="15350" width="10" style="8" customWidth="1"/>
    <col min="15351" max="15352" width="0" style="8" hidden="1" customWidth="1"/>
    <col min="15353" max="15353" width="9" style="8" customWidth="1"/>
    <col min="15354" max="15354" width="9.28515625" style="8" customWidth="1"/>
    <col min="15355" max="15355" width="9.42578125" style="8" customWidth="1"/>
    <col min="15356" max="15357" width="9" style="8" customWidth="1"/>
    <col min="15358" max="15358" width="9.140625" style="8" customWidth="1"/>
    <col min="15359" max="15359" width="9" style="8" customWidth="1"/>
    <col min="15360" max="15360" width="11.42578125" style="8" customWidth="1"/>
    <col min="15361" max="15361" width="8.7109375" style="8" customWidth="1"/>
    <col min="15362" max="15362" width="8.85546875" style="8" customWidth="1"/>
    <col min="15363" max="15363" width="9.85546875" style="8" customWidth="1"/>
    <col min="15364" max="15364" width="8.85546875" style="8" customWidth="1"/>
    <col min="15365" max="15365" width="9" style="8" customWidth="1"/>
    <col min="15366" max="15366" width="8.7109375" style="8" customWidth="1"/>
    <col min="15367" max="15367" width="9.140625" style="8" customWidth="1"/>
    <col min="15368" max="15369" width="8.85546875" style="8" customWidth="1"/>
    <col min="15370" max="15370" width="9" style="8" customWidth="1"/>
    <col min="15371" max="15372" width="9.140625" style="8" customWidth="1"/>
    <col min="15373" max="15374" width="8.85546875" style="8" customWidth="1"/>
    <col min="15375" max="15376" width="8.7109375" style="8" customWidth="1"/>
    <col min="15377" max="15377" width="10.42578125" style="8" customWidth="1"/>
    <col min="15378" max="15378" width="8.28515625" style="8" customWidth="1"/>
    <col min="15379" max="15379" width="6.85546875" style="8" customWidth="1"/>
    <col min="15380" max="15380" width="10.85546875" style="8" customWidth="1"/>
    <col min="15381" max="15381" width="10.140625" style="8" customWidth="1"/>
    <col min="15382" max="15382" width="9.42578125" style="8" customWidth="1"/>
    <col min="15383" max="15386" width="9.140625" style="8"/>
    <col min="15387" max="15387" width="24.5703125" style="8" customWidth="1"/>
    <col min="15388" max="15388" width="12.7109375" style="8" customWidth="1"/>
    <col min="15389" max="15604" width="9.140625" style="8"/>
    <col min="15605" max="15605" width="29.5703125" style="8" customWidth="1"/>
    <col min="15606" max="15606" width="10" style="8" customWidth="1"/>
    <col min="15607" max="15608" width="0" style="8" hidden="1" customWidth="1"/>
    <col min="15609" max="15609" width="9" style="8" customWidth="1"/>
    <col min="15610" max="15610" width="9.28515625" style="8" customWidth="1"/>
    <col min="15611" max="15611" width="9.42578125" style="8" customWidth="1"/>
    <col min="15612" max="15613" width="9" style="8" customWidth="1"/>
    <col min="15614" max="15614" width="9.140625" style="8" customWidth="1"/>
    <col min="15615" max="15615" width="9" style="8" customWidth="1"/>
    <col min="15616" max="15616" width="11.42578125" style="8" customWidth="1"/>
    <col min="15617" max="15617" width="8.7109375" style="8" customWidth="1"/>
    <col min="15618" max="15618" width="8.85546875" style="8" customWidth="1"/>
    <col min="15619" max="15619" width="9.85546875" style="8" customWidth="1"/>
    <col min="15620" max="15620" width="8.85546875" style="8" customWidth="1"/>
    <col min="15621" max="15621" width="9" style="8" customWidth="1"/>
    <col min="15622" max="15622" width="8.7109375" style="8" customWidth="1"/>
    <col min="15623" max="15623" width="9.140625" style="8" customWidth="1"/>
    <col min="15624" max="15625" width="8.85546875" style="8" customWidth="1"/>
    <col min="15626" max="15626" width="9" style="8" customWidth="1"/>
    <col min="15627" max="15628" width="9.140625" style="8" customWidth="1"/>
    <col min="15629" max="15630" width="8.85546875" style="8" customWidth="1"/>
    <col min="15631" max="15632" width="8.7109375" style="8" customWidth="1"/>
    <col min="15633" max="15633" width="10.42578125" style="8" customWidth="1"/>
    <col min="15634" max="15634" width="8.28515625" style="8" customWidth="1"/>
    <col min="15635" max="15635" width="6.85546875" style="8" customWidth="1"/>
    <col min="15636" max="15636" width="10.85546875" style="8" customWidth="1"/>
    <col min="15637" max="15637" width="10.140625" style="8" customWidth="1"/>
    <col min="15638" max="15638" width="9.42578125" style="8" customWidth="1"/>
    <col min="15639" max="15642" width="9.140625" style="8"/>
    <col min="15643" max="15643" width="24.5703125" style="8" customWidth="1"/>
    <col min="15644" max="15644" width="12.7109375" style="8" customWidth="1"/>
    <col min="15645" max="15860" width="9.140625" style="8"/>
    <col min="15861" max="15861" width="29.5703125" style="8" customWidth="1"/>
    <col min="15862" max="15862" width="10" style="8" customWidth="1"/>
    <col min="15863" max="15864" width="0" style="8" hidden="1" customWidth="1"/>
    <col min="15865" max="15865" width="9" style="8" customWidth="1"/>
    <col min="15866" max="15866" width="9.28515625" style="8" customWidth="1"/>
    <col min="15867" max="15867" width="9.42578125" style="8" customWidth="1"/>
    <col min="15868" max="15869" width="9" style="8" customWidth="1"/>
    <col min="15870" max="15870" width="9.140625" style="8" customWidth="1"/>
    <col min="15871" max="15871" width="9" style="8" customWidth="1"/>
    <col min="15872" max="15872" width="11.42578125" style="8" customWidth="1"/>
    <col min="15873" max="15873" width="8.7109375" style="8" customWidth="1"/>
    <col min="15874" max="15874" width="8.85546875" style="8" customWidth="1"/>
    <col min="15875" max="15875" width="9.85546875" style="8" customWidth="1"/>
    <col min="15876" max="15876" width="8.85546875" style="8" customWidth="1"/>
    <col min="15877" max="15877" width="9" style="8" customWidth="1"/>
    <col min="15878" max="15878" width="8.7109375" style="8" customWidth="1"/>
    <col min="15879" max="15879" width="9.140625" style="8" customWidth="1"/>
    <col min="15880" max="15881" width="8.85546875" style="8" customWidth="1"/>
    <col min="15882" max="15882" width="9" style="8" customWidth="1"/>
    <col min="15883" max="15884" width="9.140625" style="8" customWidth="1"/>
    <col min="15885" max="15886" width="8.85546875" style="8" customWidth="1"/>
    <col min="15887" max="15888" width="8.7109375" style="8" customWidth="1"/>
    <col min="15889" max="15889" width="10.42578125" style="8" customWidth="1"/>
    <col min="15890" max="15890" width="8.28515625" style="8" customWidth="1"/>
    <col min="15891" max="15891" width="6.85546875" style="8" customWidth="1"/>
    <col min="15892" max="15892" width="10.85546875" style="8" customWidth="1"/>
    <col min="15893" max="15893" width="10.140625" style="8" customWidth="1"/>
    <col min="15894" max="15894" width="9.42578125" style="8" customWidth="1"/>
    <col min="15895" max="15898" width="9.140625" style="8"/>
    <col min="15899" max="15899" width="24.5703125" style="8" customWidth="1"/>
    <col min="15900" max="15900" width="12.7109375" style="8" customWidth="1"/>
    <col min="15901" max="16116" width="9.140625" style="8"/>
    <col min="16117" max="16117" width="29.5703125" style="8" customWidth="1"/>
    <col min="16118" max="16118" width="10" style="8" customWidth="1"/>
    <col min="16119" max="16120" width="0" style="8" hidden="1" customWidth="1"/>
    <col min="16121" max="16121" width="9" style="8" customWidth="1"/>
    <col min="16122" max="16122" width="9.28515625" style="8" customWidth="1"/>
    <col min="16123" max="16123" width="9.42578125" style="8" customWidth="1"/>
    <col min="16124" max="16125" width="9" style="8" customWidth="1"/>
    <col min="16126" max="16126" width="9.140625" style="8" customWidth="1"/>
    <col min="16127" max="16127" width="9" style="8" customWidth="1"/>
    <col min="16128" max="16128" width="11.42578125" style="8" customWidth="1"/>
    <col min="16129" max="16129" width="8.7109375" style="8" customWidth="1"/>
    <col min="16130" max="16130" width="8.85546875" style="8" customWidth="1"/>
    <col min="16131" max="16131" width="9.85546875" style="8" customWidth="1"/>
    <col min="16132" max="16132" width="8.85546875" style="8" customWidth="1"/>
    <col min="16133" max="16133" width="9" style="8" customWidth="1"/>
    <col min="16134" max="16134" width="8.7109375" style="8" customWidth="1"/>
    <col min="16135" max="16135" width="9.140625" style="8" customWidth="1"/>
    <col min="16136" max="16137" width="8.85546875" style="8" customWidth="1"/>
    <col min="16138" max="16138" width="9" style="8" customWidth="1"/>
    <col min="16139" max="16140" width="9.140625" style="8" customWidth="1"/>
    <col min="16141" max="16142" width="8.85546875" style="8" customWidth="1"/>
    <col min="16143" max="16144" width="8.7109375" style="8" customWidth="1"/>
    <col min="16145" max="16145" width="10.42578125" style="8" customWidth="1"/>
    <col min="16146" max="16146" width="8.28515625" style="8" customWidth="1"/>
    <col min="16147" max="16147" width="6.85546875" style="8" customWidth="1"/>
    <col min="16148" max="16148" width="10.85546875" style="8" customWidth="1"/>
    <col min="16149" max="16149" width="10.140625" style="8" customWidth="1"/>
    <col min="16150" max="16150" width="9.42578125" style="8" customWidth="1"/>
    <col min="16151" max="16154" width="9.140625" style="8"/>
    <col min="16155" max="16155" width="24.5703125" style="8" customWidth="1"/>
    <col min="16156" max="16156" width="12.7109375" style="8" customWidth="1"/>
    <col min="16157" max="16384" width="9.140625" style="8"/>
  </cols>
  <sheetData>
    <row r="1" spans="1:32" x14ac:dyDescent="0.2">
      <c r="A1" s="1" t="s">
        <v>0</v>
      </c>
      <c r="B1" s="2" t="s">
        <v>1</v>
      </c>
      <c r="C1" s="3" t="s">
        <v>2</v>
      </c>
      <c r="D1" s="4" t="s">
        <v>123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 t="s">
        <v>16</v>
      </c>
      <c r="S1" s="4" t="s">
        <v>17</v>
      </c>
      <c r="T1" s="4" t="s">
        <v>18</v>
      </c>
      <c r="AE1" s="7"/>
      <c r="AF1" s="7"/>
    </row>
    <row r="2" spans="1:32" s="22" customFormat="1" outlineLevel="1" x14ac:dyDescent="0.2">
      <c r="A2" s="9" t="s">
        <v>19</v>
      </c>
      <c r="B2" s="10"/>
      <c r="C2" s="11"/>
      <c r="D2" s="12"/>
      <c r="E2" s="13"/>
      <c r="F2" s="13"/>
      <c r="G2" s="13"/>
      <c r="H2" s="13"/>
      <c r="I2" s="15"/>
      <c r="J2" s="15"/>
      <c r="K2" s="15"/>
      <c r="L2" s="15"/>
      <c r="M2" s="15"/>
      <c r="N2" s="15"/>
      <c r="O2" s="15"/>
      <c r="P2" s="15"/>
      <c r="Q2" s="17">
        <f t="shared" ref="Q2:Q21" si="0">SUM(E2,F2,G2,H2,I2,J2,K2,L2,M2,N2,O2,P2)</f>
        <v>0</v>
      </c>
      <c r="R2" s="14" t="e">
        <f>SUM(#REF!,#REF!,#REF!,#REF!,#REF!,#REF!,#REF!,#REF!,#REF!,#REF!,#REF!)</f>
        <v>#REF!</v>
      </c>
      <c r="S2" s="18" t="e">
        <f>SUM(Q2-R2)/2832840</f>
        <v>#REF!</v>
      </c>
      <c r="T2" s="19"/>
      <c r="U2" s="20"/>
      <c r="V2" s="20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1:32" s="22" customFormat="1" outlineLevel="1" x14ac:dyDescent="0.2">
      <c r="A3" s="9" t="s">
        <v>20</v>
      </c>
      <c r="B3" s="10"/>
      <c r="C3" s="11"/>
      <c r="D3" s="12"/>
      <c r="E3" s="96">
        <v>2927.11</v>
      </c>
      <c r="F3" s="96">
        <v>934.56</v>
      </c>
      <c r="G3" s="96">
        <v>2544.9</v>
      </c>
      <c r="H3" s="96">
        <v>700.92</v>
      </c>
      <c r="I3" s="120">
        <v>2589.44</v>
      </c>
      <c r="J3" s="15"/>
      <c r="K3" s="120">
        <v>1236.93</v>
      </c>
      <c r="L3" s="120">
        <v>2504.3000000000002</v>
      </c>
      <c r="M3" s="15"/>
      <c r="N3" s="120">
        <v>2354.71</v>
      </c>
      <c r="O3" s="120">
        <v>845.96</v>
      </c>
      <c r="P3" s="15"/>
      <c r="Q3" s="17">
        <f t="shared" si="0"/>
        <v>16638.829999999998</v>
      </c>
      <c r="R3" s="14" t="e">
        <f>SUM(#REF!,#REF!,#REF!,#REF!,#REF!,#REF!,#REF!,#REF!,#REF!,#REF!,#REF!)</f>
        <v>#REF!</v>
      </c>
      <c r="S3" s="18" t="e">
        <f t="shared" ref="S3:S93" si="1">SUM(Q3-R3)/2832840</f>
        <v>#REF!</v>
      </c>
      <c r="T3" s="19"/>
      <c r="U3" s="20"/>
      <c r="V3" s="23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s="22" customFormat="1" outlineLevel="1" x14ac:dyDescent="0.2">
      <c r="A4" s="9" t="s">
        <v>21</v>
      </c>
      <c r="B4" s="10"/>
      <c r="C4" s="11"/>
      <c r="D4" s="12"/>
      <c r="E4" s="119">
        <v>738.12</v>
      </c>
      <c r="F4" s="13"/>
      <c r="G4" s="13"/>
      <c r="H4" s="13"/>
      <c r="I4" s="15"/>
      <c r="J4" s="15"/>
      <c r="K4" s="15"/>
      <c r="L4" s="15"/>
      <c r="M4" s="120">
        <v>712.37</v>
      </c>
      <c r="N4" s="15"/>
      <c r="O4" s="120">
        <v>4715.75</v>
      </c>
      <c r="P4" s="15"/>
      <c r="Q4" s="17">
        <f t="shared" si="0"/>
        <v>6166.24</v>
      </c>
      <c r="R4" s="14" t="e">
        <f>SUM(#REF!,#REF!,#REF!,#REF!,#REF!,#REF!,#REF!,#REF!,#REF!,#REF!,#REF!)</f>
        <v>#REF!</v>
      </c>
      <c r="S4" s="18" t="e">
        <f t="shared" si="1"/>
        <v>#REF!</v>
      </c>
      <c r="T4" s="19"/>
      <c r="U4" s="20"/>
      <c r="V4" s="20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spans="1:32" s="22" customFormat="1" outlineLevel="1" x14ac:dyDescent="0.2">
      <c r="A5" s="9" t="s">
        <v>22</v>
      </c>
      <c r="B5" s="10"/>
      <c r="C5" s="11"/>
      <c r="D5" s="12"/>
      <c r="E5" s="13"/>
      <c r="F5" s="13"/>
      <c r="G5" s="13"/>
      <c r="H5" s="13"/>
      <c r="I5" s="15"/>
      <c r="J5" s="15"/>
      <c r="K5" s="15"/>
      <c r="L5" s="24"/>
      <c r="M5" s="15"/>
      <c r="N5" s="15"/>
      <c r="O5" s="15"/>
      <c r="P5" s="15"/>
      <c r="Q5" s="17">
        <f t="shared" si="0"/>
        <v>0</v>
      </c>
      <c r="R5" s="14" t="e">
        <f>SUM(#REF!,#REF!,#REF!,#REF!,#REF!,#REF!,#REF!,#REF!,#REF!,#REF!,#REF!)</f>
        <v>#REF!</v>
      </c>
      <c r="S5" s="18" t="e">
        <f t="shared" si="1"/>
        <v>#REF!</v>
      </c>
      <c r="T5" s="19"/>
      <c r="U5" s="20"/>
      <c r="V5" s="20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spans="1:32" s="22" customFormat="1" outlineLevel="1" x14ac:dyDescent="0.2">
      <c r="A6" s="9" t="s">
        <v>23</v>
      </c>
      <c r="B6" s="10"/>
      <c r="C6" s="11"/>
      <c r="D6" s="12"/>
      <c r="E6" s="96">
        <f>190.24+1110.51</f>
        <v>1300.75</v>
      </c>
      <c r="F6" s="96">
        <v>1417.18</v>
      </c>
      <c r="G6" s="13"/>
      <c r="H6" s="96">
        <v>1467.31</v>
      </c>
      <c r="I6" s="15"/>
      <c r="J6" s="120">
        <v>1346.17</v>
      </c>
      <c r="K6" s="120">
        <v>923.66</v>
      </c>
      <c r="L6" s="24"/>
      <c r="M6" s="120">
        <v>1424.71</v>
      </c>
      <c r="N6" s="15"/>
      <c r="O6" s="120">
        <v>1387.33</v>
      </c>
      <c r="P6" s="15"/>
      <c r="Q6" s="17">
        <f t="shared" si="0"/>
        <v>9267.11</v>
      </c>
      <c r="R6" s="14" t="e">
        <f>SUM(#REF!,#REF!,#REF!,#REF!,#REF!,#REF!,#REF!,#REF!,#REF!,#REF!,#REF!)</f>
        <v>#REF!</v>
      </c>
      <c r="S6" s="18" t="e">
        <f t="shared" si="1"/>
        <v>#REF!</v>
      </c>
      <c r="T6" s="19"/>
      <c r="U6" s="20"/>
      <c r="V6" s="20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s="22" customFormat="1" outlineLevel="1" x14ac:dyDescent="0.2">
      <c r="A7" s="9" t="s">
        <v>109</v>
      </c>
      <c r="B7" s="10"/>
      <c r="C7" s="11"/>
      <c r="D7" s="12"/>
      <c r="E7" s="13"/>
      <c r="F7" s="13"/>
      <c r="G7" s="13"/>
      <c r="H7" s="13"/>
      <c r="I7" s="120">
        <v>327.48</v>
      </c>
      <c r="J7" s="15"/>
      <c r="K7" s="15"/>
      <c r="L7" s="15"/>
      <c r="M7" s="15"/>
      <c r="N7" s="15"/>
      <c r="O7" s="15"/>
      <c r="P7" s="15"/>
      <c r="Q7" s="17">
        <f t="shared" si="0"/>
        <v>327.48</v>
      </c>
      <c r="R7" s="14"/>
      <c r="S7" s="18"/>
      <c r="T7" s="19"/>
      <c r="U7" s="20"/>
      <c r="V7" s="20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8" spans="1:32" s="22" customFormat="1" outlineLevel="1" x14ac:dyDescent="0.2">
      <c r="A8" s="9" t="s">
        <v>24</v>
      </c>
      <c r="B8" s="10"/>
      <c r="C8" s="11"/>
      <c r="D8" s="12"/>
      <c r="E8" s="13"/>
      <c r="F8" s="13"/>
      <c r="G8" s="13"/>
      <c r="H8" s="13"/>
      <c r="I8" s="15"/>
      <c r="J8" s="15"/>
      <c r="K8" s="15"/>
      <c r="L8" s="15"/>
      <c r="M8" s="15"/>
      <c r="N8" s="15"/>
      <c r="O8" s="15"/>
      <c r="P8" s="15"/>
      <c r="Q8" s="17">
        <f t="shared" si="0"/>
        <v>0</v>
      </c>
      <c r="R8" s="14"/>
      <c r="S8" s="18">
        <f t="shared" si="1"/>
        <v>0</v>
      </c>
      <c r="T8" s="19"/>
      <c r="U8" s="20"/>
      <c r="V8" s="20"/>
      <c r="W8" s="21"/>
      <c r="X8" s="21"/>
      <c r="Y8" s="21"/>
      <c r="Z8" s="21"/>
      <c r="AA8" s="21"/>
      <c r="AB8" s="21"/>
      <c r="AC8" s="21"/>
      <c r="AD8" s="21"/>
      <c r="AE8" s="21"/>
      <c r="AF8" s="21"/>
    </row>
    <row r="9" spans="1:32" s="22" customFormat="1" outlineLevel="1" x14ac:dyDescent="0.2">
      <c r="A9" s="9" t="s">
        <v>25</v>
      </c>
      <c r="B9" s="10"/>
      <c r="C9" s="11"/>
      <c r="D9" s="12"/>
      <c r="E9" s="13"/>
      <c r="F9" s="13"/>
      <c r="G9" s="13"/>
      <c r="H9" s="13"/>
      <c r="I9" s="98">
        <v>934.84</v>
      </c>
      <c r="J9" s="15"/>
      <c r="K9" s="15"/>
      <c r="L9" s="15"/>
      <c r="M9" s="15"/>
      <c r="N9" s="15"/>
      <c r="O9" s="15"/>
      <c r="P9" s="15"/>
      <c r="Q9" s="17">
        <f t="shared" si="0"/>
        <v>934.84</v>
      </c>
      <c r="R9" s="14" t="e">
        <f>SUM(#REF!,#REF!,#REF!,#REF!,#REF!,#REF!,#REF!,#REF!,#REF!,#REF!,#REF!)</f>
        <v>#REF!</v>
      </c>
      <c r="S9" s="18" t="e">
        <f t="shared" si="1"/>
        <v>#REF!</v>
      </c>
      <c r="T9" s="19"/>
      <c r="U9" s="20"/>
      <c r="V9" s="20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2" s="22" customFormat="1" outlineLevel="1" x14ac:dyDescent="0.2">
      <c r="A10" s="9" t="s">
        <v>26</v>
      </c>
      <c r="B10" s="10"/>
      <c r="C10" s="11"/>
      <c r="D10" s="12"/>
      <c r="E10" s="13"/>
      <c r="F10" s="13"/>
      <c r="G10" s="13"/>
      <c r="H10" s="13"/>
      <c r="I10" s="15"/>
      <c r="J10" s="15"/>
      <c r="K10" s="15"/>
      <c r="L10" s="15"/>
      <c r="M10" s="15"/>
      <c r="N10" s="15"/>
      <c r="O10" s="15"/>
      <c r="P10" s="15"/>
      <c r="Q10" s="17">
        <f t="shared" si="0"/>
        <v>0</v>
      </c>
      <c r="R10" s="14" t="e">
        <f>SUM(#REF!,#REF!,#REF!,#REF!,#REF!,#REF!,#REF!,#REF!,#REF!,#REF!,#REF!)</f>
        <v>#REF!</v>
      </c>
      <c r="S10" s="18" t="e">
        <f t="shared" si="1"/>
        <v>#REF!</v>
      </c>
      <c r="T10" s="19"/>
      <c r="U10" s="20"/>
      <c r="V10" s="20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2" s="22" customFormat="1" outlineLevel="1" x14ac:dyDescent="0.2">
      <c r="A11" s="9" t="s">
        <v>27</v>
      </c>
      <c r="B11" s="10"/>
      <c r="C11" s="11"/>
      <c r="D11" s="12"/>
      <c r="E11" s="96">
        <f>553.59+778.06</f>
        <v>1331.65</v>
      </c>
      <c r="F11" s="96">
        <v>592.79</v>
      </c>
      <c r="G11" s="96">
        <v>369.06</v>
      </c>
      <c r="H11" s="96">
        <v>369.06</v>
      </c>
      <c r="I11" s="120">
        <v>369.06</v>
      </c>
      <c r="J11" s="120">
        <v>389.03</v>
      </c>
      <c r="K11" s="120">
        <v>481.95</v>
      </c>
      <c r="L11" s="120">
        <v>202.64</v>
      </c>
      <c r="M11" s="120">
        <v>202.64</v>
      </c>
      <c r="N11" s="15"/>
      <c r="O11" s="120">
        <v>449.12</v>
      </c>
      <c r="P11" s="15"/>
      <c r="Q11" s="17">
        <f t="shared" si="0"/>
        <v>4757</v>
      </c>
      <c r="R11" s="14"/>
      <c r="S11" s="18">
        <f t="shared" si="1"/>
        <v>1.6792335606670339E-3</v>
      </c>
      <c r="T11" s="19"/>
      <c r="U11" s="20"/>
      <c r="V11" s="20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32" s="22" customFormat="1" outlineLevel="1" x14ac:dyDescent="0.2">
      <c r="A12" s="9" t="s">
        <v>28</v>
      </c>
      <c r="B12" s="10"/>
      <c r="C12" s="11"/>
      <c r="D12" s="12"/>
      <c r="E12" s="13"/>
      <c r="F12" s="13"/>
      <c r="G12" s="13"/>
      <c r="H12" s="13"/>
      <c r="I12" s="15"/>
      <c r="J12" s="15"/>
      <c r="K12" s="15"/>
      <c r="L12" s="15"/>
      <c r="M12" s="15"/>
      <c r="N12" s="15"/>
      <c r="O12" s="15"/>
      <c r="P12" s="15"/>
      <c r="Q12" s="17">
        <f t="shared" si="0"/>
        <v>0</v>
      </c>
      <c r="R12" s="14" t="e">
        <f>SUM(#REF!,#REF!,#REF!,#REF!,#REF!,#REF!,#REF!,#REF!,#REF!,#REF!,#REF!)</f>
        <v>#REF!</v>
      </c>
      <c r="S12" s="18" t="e">
        <f t="shared" si="1"/>
        <v>#REF!</v>
      </c>
      <c r="T12" s="19"/>
      <c r="U12" s="20"/>
      <c r="V12" s="20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1:32" s="22" customFormat="1" outlineLevel="1" x14ac:dyDescent="0.2">
      <c r="A13" s="9" t="s">
        <v>29</v>
      </c>
      <c r="B13" s="10"/>
      <c r="C13" s="11"/>
      <c r="D13" s="12"/>
      <c r="E13" s="13"/>
      <c r="F13" s="96">
        <v>3043.84</v>
      </c>
      <c r="G13" s="13"/>
      <c r="H13" s="96">
        <v>1889.28</v>
      </c>
      <c r="I13" s="120">
        <v>1049.5999999999999</v>
      </c>
      <c r="J13" s="15"/>
      <c r="K13" s="120">
        <v>2099.1999999999998</v>
      </c>
      <c r="L13" s="15"/>
      <c r="M13" s="120">
        <v>4868.75</v>
      </c>
      <c r="N13" s="120">
        <v>973.73</v>
      </c>
      <c r="O13" s="120">
        <v>973.75</v>
      </c>
      <c r="P13" s="15"/>
      <c r="Q13" s="17">
        <f t="shared" si="0"/>
        <v>14898.149999999998</v>
      </c>
      <c r="R13" s="14" t="e">
        <f>SUM(#REF!,#REF!,#REF!,#REF!,#REF!,#REF!,#REF!,#REF!,#REF!,#REF!,#REF!)</f>
        <v>#REF!</v>
      </c>
      <c r="S13" s="18" t="e">
        <f t="shared" si="1"/>
        <v>#REF!</v>
      </c>
      <c r="T13" s="19"/>
      <c r="U13" s="20"/>
      <c r="V13" s="20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1:32" s="22" customFormat="1" outlineLevel="1" x14ac:dyDescent="0.2">
      <c r="A14" s="9" t="s">
        <v>30</v>
      </c>
      <c r="B14" s="10"/>
      <c r="C14" s="11"/>
      <c r="D14" s="12"/>
      <c r="E14" s="96">
        <f>369.06+529.15</f>
        <v>898.21</v>
      </c>
      <c r="F14" s="96">
        <v>184.53</v>
      </c>
      <c r="G14" s="96">
        <v>369.06</v>
      </c>
      <c r="H14" s="96">
        <v>369.06</v>
      </c>
      <c r="I14" s="120">
        <v>369.06</v>
      </c>
      <c r="J14" s="120">
        <v>369.06</v>
      </c>
      <c r="K14" s="120">
        <v>946.42</v>
      </c>
      <c r="L14" s="120">
        <v>202.64</v>
      </c>
      <c r="M14" s="120">
        <v>202.64</v>
      </c>
      <c r="N14" s="15"/>
      <c r="O14" s="15"/>
      <c r="P14" s="120">
        <v>541.14</v>
      </c>
      <c r="Q14" s="17">
        <f t="shared" si="0"/>
        <v>4451.82</v>
      </c>
      <c r="R14" s="14" t="e">
        <f>SUM(#REF!,#REF!,#REF!,#REF!,#REF!,#REF!,#REF!,#REF!,#REF!,#REF!,#REF!)</f>
        <v>#REF!</v>
      </c>
      <c r="S14" s="18" t="e">
        <f t="shared" si="1"/>
        <v>#REF!</v>
      </c>
      <c r="T14" s="19"/>
      <c r="U14" s="20"/>
      <c r="V14" s="20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1:32" s="22" customFormat="1" outlineLevel="1" x14ac:dyDescent="0.2">
      <c r="A15" s="9" t="s">
        <v>31</v>
      </c>
      <c r="B15" s="10"/>
      <c r="C15" s="11"/>
      <c r="D15" s="12"/>
      <c r="E15" s="13"/>
      <c r="F15" s="13"/>
      <c r="G15" s="13"/>
      <c r="H15" s="13"/>
      <c r="I15" s="15"/>
      <c r="J15" s="15"/>
      <c r="K15" s="15"/>
      <c r="L15" s="15"/>
      <c r="M15" s="15"/>
      <c r="N15" s="15"/>
      <c r="O15" s="15"/>
      <c r="P15" s="15"/>
      <c r="Q15" s="17">
        <f t="shared" si="0"/>
        <v>0</v>
      </c>
      <c r="R15" s="14" t="e">
        <f>SUM(#REF!,#REF!,#REF!,#REF!,#REF!,#REF!,#REF!,#REF!,#REF!,#REF!,#REF!)</f>
        <v>#REF!</v>
      </c>
      <c r="S15" s="18" t="e">
        <f t="shared" si="1"/>
        <v>#REF!</v>
      </c>
      <c r="T15" s="19"/>
      <c r="U15" s="20"/>
      <c r="V15" s="20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1:32" s="22" customFormat="1" outlineLevel="1" x14ac:dyDescent="0.2">
      <c r="A16" s="9" t="s">
        <v>32</v>
      </c>
      <c r="B16" s="10"/>
      <c r="C16" s="11"/>
      <c r="D16" s="12"/>
      <c r="E16" s="13"/>
      <c r="F16" s="13"/>
      <c r="G16" s="13"/>
      <c r="H16" s="13"/>
      <c r="I16" s="15"/>
      <c r="J16" s="15"/>
      <c r="K16" s="15"/>
      <c r="L16" s="15"/>
      <c r="M16" s="15"/>
      <c r="N16" s="15"/>
      <c r="O16" s="15"/>
      <c r="P16" s="15"/>
      <c r="Q16" s="17">
        <f t="shared" si="0"/>
        <v>0</v>
      </c>
      <c r="R16" s="14" t="e">
        <f>SUM(#REF!,#REF!,#REF!,#REF!,#REF!,#REF!,#REF!,#REF!,#REF!,#REF!,#REF!)</f>
        <v>#REF!</v>
      </c>
      <c r="S16" s="18" t="e">
        <f t="shared" si="1"/>
        <v>#REF!</v>
      </c>
      <c r="T16" s="19"/>
      <c r="U16" s="20"/>
      <c r="V16" s="20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1:32" s="22" customFormat="1" outlineLevel="1" x14ac:dyDescent="0.2">
      <c r="A17" s="32" t="s">
        <v>87</v>
      </c>
      <c r="B17" s="26"/>
      <c r="C17" s="27"/>
      <c r="D17" s="28"/>
      <c r="E17" s="29"/>
      <c r="F17" s="29"/>
      <c r="G17" s="29"/>
      <c r="H17" s="29"/>
      <c r="I17" s="31"/>
      <c r="J17" s="122">
        <v>524.79999999999995</v>
      </c>
      <c r="K17" s="31"/>
      <c r="L17" s="31"/>
      <c r="M17" s="31"/>
      <c r="N17" s="31"/>
      <c r="O17" s="122">
        <v>973.75</v>
      </c>
      <c r="P17" s="31"/>
      <c r="Q17" s="17">
        <f t="shared" ref="Q17" si="2">SUM(E17,F17,G17,H17,I17,J17,K17,L17,M17,N17,O17,P17)</f>
        <v>1498.55</v>
      </c>
      <c r="R17" s="30"/>
      <c r="S17" s="18">
        <f t="shared" ref="S17" si="3">SUM(Q17-R17)/2832840</f>
        <v>5.2899210686095926E-4</v>
      </c>
      <c r="T17" s="19"/>
      <c r="U17" s="20"/>
      <c r="V17" s="20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s="22" customFormat="1" outlineLevel="1" x14ac:dyDescent="0.2">
      <c r="A18" s="9" t="s">
        <v>97</v>
      </c>
      <c r="B18" s="10"/>
      <c r="C18" s="11"/>
      <c r="D18" s="12"/>
      <c r="E18" s="13"/>
      <c r="F18" s="13"/>
      <c r="G18" s="13"/>
      <c r="H18" s="13"/>
      <c r="I18" s="15"/>
      <c r="J18" s="15"/>
      <c r="K18" s="15"/>
      <c r="L18" s="15"/>
      <c r="M18" s="15"/>
      <c r="N18" s="15"/>
      <c r="O18" s="15"/>
      <c r="P18" s="15"/>
      <c r="Q18" s="17">
        <f t="shared" si="0"/>
        <v>0</v>
      </c>
      <c r="R18" s="14" t="e">
        <f>SUM(#REF!,#REF!,#REF!,#REF!,#REF!,#REF!,#REF!,#REF!,#REF!,#REF!,#REF!)</f>
        <v>#REF!</v>
      </c>
      <c r="S18" s="18" t="e">
        <f t="shared" si="1"/>
        <v>#REF!</v>
      </c>
      <c r="T18" s="19"/>
      <c r="U18" s="20"/>
      <c r="V18" s="20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1:32" s="22" customFormat="1" outlineLevel="1" x14ac:dyDescent="0.2">
      <c r="A19" s="25" t="s">
        <v>33</v>
      </c>
      <c r="B19" s="26"/>
      <c r="C19" s="27"/>
      <c r="D19" s="28"/>
      <c r="E19" s="29"/>
      <c r="F19" s="29"/>
      <c r="G19" s="29"/>
      <c r="H19" s="29"/>
      <c r="I19" s="31"/>
      <c r="J19" s="31"/>
      <c r="K19" s="31"/>
      <c r="L19" s="31"/>
      <c r="M19" s="31"/>
      <c r="N19" s="31"/>
      <c r="O19" s="31"/>
      <c r="P19" s="31"/>
      <c r="Q19" s="17">
        <f t="shared" si="0"/>
        <v>0</v>
      </c>
      <c r="R19" s="30"/>
      <c r="S19" s="18">
        <f t="shared" si="1"/>
        <v>0</v>
      </c>
      <c r="T19" s="19"/>
      <c r="U19" s="20"/>
      <c r="V19" s="20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1:32" s="22" customFormat="1" outlineLevel="1" x14ac:dyDescent="0.2">
      <c r="A20" s="32" t="s">
        <v>34</v>
      </c>
      <c r="B20" s="26"/>
      <c r="C20" s="27"/>
      <c r="D20" s="28"/>
      <c r="E20" s="121">
        <v>793.8</v>
      </c>
      <c r="F20" s="121">
        <v>476.28</v>
      </c>
      <c r="G20" s="29"/>
      <c r="H20" s="29"/>
      <c r="I20" s="31"/>
      <c r="J20" s="31"/>
      <c r="K20" s="31"/>
      <c r="L20" s="122">
        <v>205.25</v>
      </c>
      <c r="M20" s="122">
        <v>659.6</v>
      </c>
      <c r="N20" s="122">
        <v>2237.85</v>
      </c>
      <c r="O20" s="122">
        <v>2237.85</v>
      </c>
      <c r="P20" s="122">
        <v>1514.5</v>
      </c>
      <c r="Q20" s="17">
        <f t="shared" si="0"/>
        <v>8125.1299999999992</v>
      </c>
      <c r="R20" s="30" t="e">
        <f>SUM(#REF!,#REF!,#REF!,#REF!,#REF!,#REF!,#REF!,#REF!,#REF!,#REF!,#REF!)</f>
        <v>#REF!</v>
      </c>
      <c r="S20" s="18" t="e">
        <f t="shared" si="1"/>
        <v>#REF!</v>
      </c>
      <c r="T20" s="19"/>
      <c r="U20" s="20"/>
      <c r="V20" s="20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1:32" s="74" customFormat="1" outlineLevel="1" x14ac:dyDescent="0.2">
      <c r="A21" s="63" t="s">
        <v>35</v>
      </c>
      <c r="B21" s="64"/>
      <c r="C21" s="65"/>
      <c r="D21" s="66"/>
      <c r="E21" s="67">
        <f t="shared" ref="E21:P21" si="4">SUM(E2:E20)</f>
        <v>7989.6399999999994</v>
      </c>
      <c r="F21" s="67">
        <f t="shared" si="4"/>
        <v>6649.1799999999994</v>
      </c>
      <c r="G21" s="67">
        <f t="shared" si="4"/>
        <v>3283.02</v>
      </c>
      <c r="H21" s="67">
        <f t="shared" si="4"/>
        <v>4795.63</v>
      </c>
      <c r="I21" s="67">
        <f t="shared" si="4"/>
        <v>5639.4800000000005</v>
      </c>
      <c r="J21" s="67">
        <f t="shared" si="4"/>
        <v>2629.0600000000004</v>
      </c>
      <c r="K21" s="67">
        <f t="shared" si="4"/>
        <v>5688.16</v>
      </c>
      <c r="L21" s="67">
        <f t="shared" si="4"/>
        <v>3114.83</v>
      </c>
      <c r="M21" s="67">
        <f t="shared" si="4"/>
        <v>8070.71</v>
      </c>
      <c r="N21" s="67">
        <f t="shared" si="4"/>
        <v>5566.29</v>
      </c>
      <c r="O21" s="67">
        <f t="shared" si="4"/>
        <v>11583.51</v>
      </c>
      <c r="P21" s="67">
        <f t="shared" si="4"/>
        <v>2055.64</v>
      </c>
      <c r="Q21" s="68">
        <f t="shared" si="0"/>
        <v>67065.150000000009</v>
      </c>
      <c r="R21" s="99" t="e">
        <f>SUM(#REF!,#REF!,#REF!,#REF!,#REF!,#REF!,#REF!,#REF!,#REF!,#REF!,#REF!)</f>
        <v>#REF!</v>
      </c>
      <c r="S21" s="70" t="e">
        <f t="shared" si="1"/>
        <v>#REF!</v>
      </c>
      <c r="T21" s="71"/>
      <c r="U21" s="72"/>
      <c r="V21" s="72"/>
      <c r="W21" s="73"/>
      <c r="X21" s="73"/>
      <c r="Y21" s="73"/>
      <c r="Z21" s="73"/>
      <c r="AA21" s="73"/>
      <c r="AB21" s="73"/>
      <c r="AC21" s="73"/>
      <c r="AD21" s="73"/>
      <c r="AE21" s="73"/>
      <c r="AF21" s="73"/>
    </row>
    <row r="22" spans="1:32" s="41" customFormat="1" outlineLevel="1" x14ac:dyDescent="0.2">
      <c r="A22" s="33" t="s">
        <v>105</v>
      </c>
      <c r="B22" s="34"/>
      <c r="C22" s="35"/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17"/>
      <c r="R22" s="30"/>
      <c r="S22" s="18"/>
      <c r="T22" s="38"/>
      <c r="U22" s="39"/>
      <c r="V22" s="39"/>
      <c r="W22" s="40"/>
      <c r="X22" s="40"/>
      <c r="Y22" s="40"/>
      <c r="Z22" s="40"/>
      <c r="AA22" s="40"/>
      <c r="AB22" s="40"/>
      <c r="AC22" s="40"/>
      <c r="AD22" s="40"/>
      <c r="AE22" s="40"/>
      <c r="AF22" s="40"/>
    </row>
    <row r="23" spans="1:32" s="22" customFormat="1" outlineLevel="1" x14ac:dyDescent="0.2">
      <c r="A23" s="42" t="s">
        <v>36</v>
      </c>
      <c r="B23" s="10"/>
      <c r="C23" s="11"/>
      <c r="D23" s="12"/>
      <c r="E23" s="119">
        <v>1515.04</v>
      </c>
      <c r="F23" s="119">
        <v>681.76</v>
      </c>
      <c r="G23" s="119">
        <v>428.86</v>
      </c>
      <c r="H23" s="119">
        <v>434.11</v>
      </c>
      <c r="I23" s="120">
        <v>1423.4</v>
      </c>
      <c r="J23" s="120">
        <v>1532.51</v>
      </c>
      <c r="K23" s="120">
        <v>2990.38</v>
      </c>
      <c r="L23" s="120">
        <v>2262.7800000000002</v>
      </c>
      <c r="M23" s="137">
        <v>868.34</v>
      </c>
      <c r="N23" s="15"/>
      <c r="O23" s="137">
        <v>1343.24</v>
      </c>
      <c r="P23" s="137">
        <v>293.66000000000003</v>
      </c>
      <c r="Q23" s="17">
        <f>SUM(E23,F23,G23,H23,I23,J23,K23,L23,M23,N23,O23,P23)</f>
        <v>13774.080000000002</v>
      </c>
      <c r="R23" s="14"/>
      <c r="S23" s="18">
        <f>SUM(Q23-R23)/2832840</f>
        <v>4.8622866099038431E-3</v>
      </c>
      <c r="T23" s="19"/>
      <c r="U23" s="20"/>
      <c r="V23" s="20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1:32" s="22" customFormat="1" outlineLevel="1" x14ac:dyDescent="0.2">
      <c r="A24" s="9" t="s">
        <v>117</v>
      </c>
      <c r="B24" s="10"/>
      <c r="C24" s="11"/>
      <c r="D24" s="12"/>
      <c r="E24" s="96">
        <v>1476.24</v>
      </c>
      <c r="F24" s="13"/>
      <c r="G24" s="96">
        <v>1966.92</v>
      </c>
      <c r="H24" s="119">
        <v>738.12</v>
      </c>
      <c r="I24" s="120">
        <v>1907.97</v>
      </c>
      <c r="J24" s="15"/>
      <c r="K24" s="120">
        <v>909.49</v>
      </c>
      <c r="L24" s="15"/>
      <c r="M24" s="125"/>
      <c r="N24" s="120">
        <v>1864.72</v>
      </c>
      <c r="O24" s="15"/>
      <c r="P24" s="15"/>
      <c r="Q24" s="17"/>
      <c r="R24" s="14"/>
      <c r="S24" s="18"/>
      <c r="T24" s="19"/>
      <c r="U24" s="20"/>
      <c r="V24" s="20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1:32" s="22" customFormat="1" outlineLevel="1" x14ac:dyDescent="0.2">
      <c r="A25" s="9" t="s">
        <v>108</v>
      </c>
      <c r="B25" s="10"/>
      <c r="C25" s="11"/>
      <c r="D25" s="12"/>
      <c r="E25" s="13"/>
      <c r="F25" s="13"/>
      <c r="G25" s="13"/>
      <c r="H25" s="13"/>
      <c r="I25" s="15"/>
      <c r="J25" s="137">
        <v>115.06</v>
      </c>
      <c r="K25" s="15"/>
      <c r="L25" s="15"/>
      <c r="M25" s="15"/>
      <c r="N25" s="15"/>
      <c r="O25" s="137">
        <v>2260.17</v>
      </c>
      <c r="P25" s="15"/>
      <c r="Q25" s="17"/>
      <c r="R25" s="14"/>
      <c r="S25" s="18"/>
      <c r="T25" s="19"/>
      <c r="U25" s="20"/>
      <c r="V25" s="20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1:32" s="22" customFormat="1" outlineLevel="1" x14ac:dyDescent="0.2">
      <c r="A26" s="42" t="s">
        <v>96</v>
      </c>
      <c r="B26" s="10"/>
      <c r="C26" s="11"/>
      <c r="D26" s="12"/>
      <c r="E26" s="13"/>
      <c r="F26" s="13"/>
      <c r="G26" s="96">
        <v>1892.44</v>
      </c>
      <c r="H26" s="96">
        <v>1579.78</v>
      </c>
      <c r="I26" s="120">
        <v>982.2</v>
      </c>
      <c r="J26" s="120">
        <v>1327.03</v>
      </c>
      <c r="K26" s="120">
        <v>2125.88</v>
      </c>
      <c r="L26" s="120">
        <v>6597.42</v>
      </c>
      <c r="M26" s="15"/>
      <c r="N26" s="120">
        <v>4131.01</v>
      </c>
      <c r="O26" s="137">
        <v>13627.15</v>
      </c>
      <c r="P26" s="137">
        <v>2802.8</v>
      </c>
      <c r="Q26" s="17"/>
      <c r="R26" s="14"/>
      <c r="S26" s="18"/>
      <c r="T26" s="19"/>
      <c r="U26" s="20"/>
      <c r="V26" s="20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1:32" s="22" customFormat="1" outlineLevel="1" x14ac:dyDescent="0.2">
      <c r="A27" s="9" t="s">
        <v>105</v>
      </c>
      <c r="B27" s="10"/>
      <c r="C27" s="11"/>
      <c r="D27" s="12"/>
      <c r="E27" s="13"/>
      <c r="F27" s="13"/>
      <c r="G27" s="13"/>
      <c r="H27" s="13"/>
      <c r="I27" s="137">
        <v>999.32</v>
      </c>
      <c r="J27" s="15"/>
      <c r="K27" s="137">
        <v>531.66999999999996</v>
      </c>
      <c r="L27" s="24"/>
      <c r="M27" s="15"/>
      <c r="N27" s="15"/>
      <c r="O27" s="15"/>
      <c r="P27" s="15"/>
      <c r="Q27" s="17"/>
      <c r="R27" s="14"/>
      <c r="S27" s="18"/>
      <c r="T27" s="19"/>
      <c r="U27" s="20"/>
      <c r="V27" s="20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1:32" s="22" customFormat="1" outlineLevel="1" x14ac:dyDescent="0.2">
      <c r="A28" s="9" t="s">
        <v>37</v>
      </c>
      <c r="B28" s="10"/>
      <c r="C28" s="11"/>
      <c r="D28" s="12"/>
      <c r="E28" s="96">
        <f>4302.08</f>
        <v>4302.08</v>
      </c>
      <c r="F28" s="96">
        <v>7287.31</v>
      </c>
      <c r="G28" s="96">
        <v>3173.35</v>
      </c>
      <c r="H28" s="96">
        <v>13177.38</v>
      </c>
      <c r="I28" s="120">
        <v>3502.31</v>
      </c>
      <c r="J28" s="120">
        <v>6778.35</v>
      </c>
      <c r="K28" s="120">
        <v>4639.87</v>
      </c>
      <c r="L28" s="120">
        <v>3104.27</v>
      </c>
      <c r="M28" s="120">
        <v>1527.49</v>
      </c>
      <c r="N28" s="129">
        <v>9459.2999999999993</v>
      </c>
      <c r="O28" s="129">
        <v>6124.76</v>
      </c>
      <c r="P28" s="129">
        <v>14485.19</v>
      </c>
      <c r="Q28" s="17">
        <f>SUM(E28,F28,G28,H28,I28,J28,K28,L28,M28,N28,O28,P28)</f>
        <v>77561.659999999989</v>
      </c>
      <c r="R28" s="14" t="e">
        <f>SUM(#REF!,#REF!,#REF!,#REF!,#REF!,#REF!,#REF!,#REF!,#REF!,#REF!,#REF!)</f>
        <v>#REF!</v>
      </c>
      <c r="S28" s="18" t="e">
        <f t="shared" si="1"/>
        <v>#REF!</v>
      </c>
      <c r="T28" s="19"/>
      <c r="U28" s="20"/>
      <c r="V28" s="20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1:32" s="22" customFormat="1" outlineLevel="1" x14ac:dyDescent="0.2">
      <c r="A29" s="9" t="s">
        <v>115</v>
      </c>
      <c r="B29" s="10"/>
      <c r="C29" s="11"/>
      <c r="D29" s="12"/>
      <c r="E29" s="13"/>
      <c r="F29" s="13"/>
      <c r="G29" s="13"/>
      <c r="H29" s="96">
        <v>687.6</v>
      </c>
      <c r="I29" s="15"/>
      <c r="J29" s="15"/>
      <c r="K29" s="15"/>
      <c r="L29" s="24"/>
      <c r="M29" s="15"/>
      <c r="N29" s="15"/>
      <c r="O29" s="15"/>
      <c r="P29" s="120">
        <v>2046.26</v>
      </c>
      <c r="Q29" s="17">
        <f>SUM(E29,F29,G29,H29,I29,J29,K29,L29,M29,N29,O29,P29)</f>
        <v>2733.86</v>
      </c>
      <c r="R29" s="14"/>
      <c r="S29" s="18"/>
      <c r="T29" s="19"/>
      <c r="U29" s="20"/>
      <c r="V29" s="20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1:32" s="22" customFormat="1" outlineLevel="1" x14ac:dyDescent="0.2">
      <c r="A30" s="9" t="s">
        <v>90</v>
      </c>
      <c r="B30" s="10"/>
      <c r="C30" s="11"/>
      <c r="D30" s="12"/>
      <c r="E30" s="13"/>
      <c r="F30" s="13"/>
      <c r="G30" s="13"/>
      <c r="H30" s="119">
        <v>1467.79</v>
      </c>
      <c r="I30" s="15"/>
      <c r="J30" s="15"/>
      <c r="K30" s="120">
        <v>3129.9</v>
      </c>
      <c r="L30" s="24"/>
      <c r="M30" s="15"/>
      <c r="N30" s="15"/>
      <c r="O30" s="15"/>
      <c r="P30" s="15"/>
      <c r="Q30" s="17"/>
      <c r="R30" s="14"/>
      <c r="S30" s="18"/>
      <c r="T30" s="19"/>
      <c r="U30" s="20"/>
      <c r="V30" s="20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1:32" s="22" customFormat="1" outlineLevel="1" x14ac:dyDescent="0.2">
      <c r="A31" s="9" t="s">
        <v>99</v>
      </c>
      <c r="B31" s="10"/>
      <c r="C31" s="11"/>
      <c r="D31" s="12"/>
      <c r="E31" s="13"/>
      <c r="F31" s="13"/>
      <c r="G31" s="13"/>
      <c r="H31" s="13"/>
      <c r="I31" s="15"/>
      <c r="J31" s="15"/>
      <c r="K31" s="15"/>
      <c r="L31" s="15"/>
      <c r="M31" s="15"/>
      <c r="N31" s="15"/>
      <c r="O31" s="15"/>
      <c r="P31" s="15"/>
      <c r="Q31" s="17"/>
      <c r="R31" s="14"/>
      <c r="S31" s="18"/>
      <c r="T31" s="19"/>
      <c r="U31" s="20"/>
      <c r="V31" s="20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1:32" s="22" customFormat="1" outlineLevel="1" x14ac:dyDescent="0.2">
      <c r="A32" s="9" t="s">
        <v>38</v>
      </c>
      <c r="B32" s="10"/>
      <c r="C32" s="11"/>
      <c r="D32" s="12"/>
      <c r="E32" s="96">
        <v>1481.2</v>
      </c>
      <c r="F32" s="96">
        <v>1417.97</v>
      </c>
      <c r="G32" s="96">
        <v>1224.6099999999999</v>
      </c>
      <c r="H32" s="96">
        <f>1393.99+1393.99</f>
        <v>2787.98</v>
      </c>
      <c r="I32" s="98">
        <v>1446.2</v>
      </c>
      <c r="J32" s="120">
        <v>1067.9000000000001</v>
      </c>
      <c r="K32" s="120">
        <v>1587.42</v>
      </c>
      <c r="L32" s="120">
        <v>2600.8200000000002</v>
      </c>
      <c r="M32" s="120">
        <v>1294.4000000000001</v>
      </c>
      <c r="N32" s="120">
        <v>3588.48</v>
      </c>
      <c r="O32" s="120">
        <v>3043.03</v>
      </c>
      <c r="P32" s="120">
        <v>222.46</v>
      </c>
      <c r="Q32" s="17">
        <f t="shared" ref="Q32:Q38" si="5">SUM(E32,F32,G32,H32,I32,J32,K32,L32,M32,N32,O32,P32)</f>
        <v>21762.469999999998</v>
      </c>
      <c r="R32" s="14" t="e">
        <f>SUM(#REF!,#REF!,#REF!,#REF!,#REF!,#REF!,#REF!,#REF!,#REF!,#REF!,#REF!)</f>
        <v>#REF!</v>
      </c>
      <c r="S32" s="18" t="e">
        <f t="shared" si="1"/>
        <v>#REF!</v>
      </c>
      <c r="T32" s="19"/>
      <c r="U32" s="20"/>
      <c r="V32" s="20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1:32" s="22" customFormat="1" outlineLevel="1" x14ac:dyDescent="0.2">
      <c r="A33" s="9" t="s">
        <v>39</v>
      </c>
      <c r="B33" s="10"/>
      <c r="C33" s="11"/>
      <c r="D33" s="12"/>
      <c r="E33" s="96">
        <v>1017.55</v>
      </c>
      <c r="F33" s="96">
        <v>523.72</v>
      </c>
      <c r="G33" s="96">
        <v>411.89</v>
      </c>
      <c r="H33" s="96">
        <v>335.49</v>
      </c>
      <c r="I33" s="120">
        <v>111.83</v>
      </c>
      <c r="J33" s="120">
        <v>488.29</v>
      </c>
      <c r="K33" s="120">
        <v>1170.97</v>
      </c>
      <c r="L33" s="120">
        <v>698.52</v>
      </c>
      <c r="M33" s="120">
        <v>290.85000000000002</v>
      </c>
      <c r="N33" s="126">
        <v>2461.9499999999998</v>
      </c>
      <c r="O33" s="126">
        <v>1178.6099999999999</v>
      </c>
      <c r="P33" s="126">
        <v>329.79</v>
      </c>
      <c r="Q33" s="17">
        <f t="shared" si="5"/>
        <v>9019.4600000000009</v>
      </c>
      <c r="R33" s="14" t="e">
        <f>SUM(#REF!,#REF!,#REF!,#REF!,#REF!,#REF!,#REF!,#REF!,#REF!,#REF!,#REF!)</f>
        <v>#REF!</v>
      </c>
      <c r="S33" s="18" t="e">
        <f t="shared" si="1"/>
        <v>#REF!</v>
      </c>
      <c r="T33" s="19"/>
      <c r="U33" s="20"/>
      <c r="V33" s="20"/>
      <c r="W33" s="21"/>
      <c r="X33" s="21"/>
      <c r="Y33" s="21"/>
      <c r="Z33" s="21"/>
      <c r="AA33" s="21"/>
      <c r="AB33" s="21"/>
      <c r="AC33" s="21"/>
      <c r="AD33" s="21"/>
      <c r="AE33" s="21"/>
      <c r="AF33" s="21"/>
    </row>
    <row r="34" spans="1:32" s="22" customFormat="1" outlineLevel="1" x14ac:dyDescent="0.2">
      <c r="A34" s="9" t="s">
        <v>40</v>
      </c>
      <c r="B34" s="10"/>
      <c r="C34" s="11"/>
      <c r="D34" s="95">
        <v>784.96</v>
      </c>
      <c r="E34" s="96">
        <v>933.13</v>
      </c>
      <c r="F34" s="96">
        <v>987.36</v>
      </c>
      <c r="G34" s="96">
        <v>634.19000000000005</v>
      </c>
      <c r="H34" s="96">
        <v>1949.9</v>
      </c>
      <c r="I34" s="120">
        <v>1065.04</v>
      </c>
      <c r="J34" s="120">
        <v>1768.41</v>
      </c>
      <c r="K34" s="120">
        <v>2706.67</v>
      </c>
      <c r="L34" s="120">
        <v>1305.1600000000001</v>
      </c>
      <c r="M34" s="120">
        <v>387.69</v>
      </c>
      <c r="N34" s="137">
        <v>842.28</v>
      </c>
      <c r="O34" s="137">
        <v>1588.02</v>
      </c>
      <c r="P34" s="137">
        <v>3409.62</v>
      </c>
      <c r="Q34" s="17">
        <f t="shared" si="5"/>
        <v>17577.47</v>
      </c>
      <c r="R34" s="14" t="e">
        <f>SUM(#REF!,#REF!,#REF!,#REF!,#REF!,#REF!,#REF!,#REF!,#REF!,#REF!,#REF!)</f>
        <v>#REF!</v>
      </c>
      <c r="S34" s="18" t="e">
        <f t="shared" si="1"/>
        <v>#REF!</v>
      </c>
      <c r="T34" s="19"/>
      <c r="U34" s="20"/>
      <c r="V34" s="20"/>
      <c r="W34" s="21"/>
      <c r="X34" s="21"/>
      <c r="Y34" s="21"/>
      <c r="Z34" s="21"/>
      <c r="AA34" s="21"/>
      <c r="AB34" s="21"/>
      <c r="AC34" s="21"/>
      <c r="AD34" s="21"/>
      <c r="AE34" s="21"/>
      <c r="AF34" s="21"/>
    </row>
    <row r="35" spans="1:32" s="22" customFormat="1" outlineLevel="1" x14ac:dyDescent="0.2">
      <c r="A35" s="9" t="s">
        <v>41</v>
      </c>
      <c r="B35" s="10"/>
      <c r="C35" s="11"/>
      <c r="D35" s="12"/>
      <c r="E35" s="96">
        <v>271.56</v>
      </c>
      <c r="F35" s="96">
        <v>551.63</v>
      </c>
      <c r="G35" s="96">
        <v>407.34</v>
      </c>
      <c r="H35" s="96">
        <v>628.03</v>
      </c>
      <c r="I35" s="120">
        <v>687.41</v>
      </c>
      <c r="J35" s="120">
        <v>415.85</v>
      </c>
      <c r="K35" s="120">
        <v>920.54</v>
      </c>
      <c r="L35" s="120">
        <v>575.28</v>
      </c>
      <c r="M35" s="120">
        <v>537.77</v>
      </c>
      <c r="N35" s="120">
        <v>491.31</v>
      </c>
      <c r="O35" s="120">
        <v>1224.26</v>
      </c>
      <c r="P35" s="137">
        <v>843.87</v>
      </c>
      <c r="Q35" s="17">
        <f t="shared" si="5"/>
        <v>7554.85</v>
      </c>
      <c r="R35" s="14" t="e">
        <f>SUM(#REF!,#REF!,#REF!,#REF!,#REF!,#REF!,#REF!,#REF!,#REF!,#REF!,#REF!)</f>
        <v>#REF!</v>
      </c>
      <c r="S35" s="18" t="e">
        <f t="shared" si="1"/>
        <v>#REF!</v>
      </c>
      <c r="T35" s="19"/>
      <c r="U35" s="20"/>
      <c r="V35" s="20"/>
      <c r="W35" s="21"/>
      <c r="X35" s="21"/>
      <c r="Y35" s="21"/>
      <c r="Z35" s="21"/>
      <c r="AA35" s="21"/>
      <c r="AB35" s="21"/>
      <c r="AC35" s="21"/>
      <c r="AD35" s="21"/>
      <c r="AE35" s="21"/>
      <c r="AF35" s="21"/>
    </row>
    <row r="36" spans="1:32" s="22" customFormat="1" outlineLevel="1" x14ac:dyDescent="0.2">
      <c r="A36" s="9" t="s">
        <v>42</v>
      </c>
      <c r="B36" s="10"/>
      <c r="C36" s="11"/>
      <c r="D36" s="12"/>
      <c r="E36" s="96">
        <v>2646.38</v>
      </c>
      <c r="F36" s="96">
        <v>5994.32</v>
      </c>
      <c r="G36" s="96">
        <v>4374.4399999999996</v>
      </c>
      <c r="H36" s="96">
        <v>1384.57</v>
      </c>
      <c r="I36" s="120">
        <v>2767</v>
      </c>
      <c r="J36" s="120">
        <v>5971.56</v>
      </c>
      <c r="K36" s="120">
        <v>9552.68</v>
      </c>
      <c r="L36" s="120">
        <v>5399.24</v>
      </c>
      <c r="M36" s="120">
        <v>10065.64</v>
      </c>
      <c r="N36" s="120">
        <v>9856.15</v>
      </c>
      <c r="O36" s="120">
        <v>1761.84</v>
      </c>
      <c r="P36" s="120">
        <v>1385.4</v>
      </c>
      <c r="Q36" s="17">
        <f t="shared" si="5"/>
        <v>61159.22</v>
      </c>
      <c r="R36" s="14" t="e">
        <f>SUM(#REF!,#REF!,#REF!,#REF!,#REF!,#REF!,#REF!,#REF!,#REF!,#REF!,#REF!)</f>
        <v>#REF!</v>
      </c>
      <c r="S36" s="18" t="e">
        <f t="shared" si="1"/>
        <v>#REF!</v>
      </c>
      <c r="T36" s="19"/>
      <c r="U36" s="20"/>
      <c r="V36" s="20"/>
      <c r="W36" s="21"/>
      <c r="X36" s="21"/>
      <c r="Y36" s="21"/>
      <c r="Z36" s="21"/>
      <c r="AA36" s="21"/>
      <c r="AB36" s="21"/>
      <c r="AC36" s="21"/>
      <c r="AD36" s="21"/>
      <c r="AE36" s="21"/>
      <c r="AF36" s="21"/>
    </row>
    <row r="37" spans="1:32" s="22" customFormat="1" outlineLevel="1" x14ac:dyDescent="0.2">
      <c r="A37" s="9" t="s">
        <v>43</v>
      </c>
      <c r="B37" s="10"/>
      <c r="C37" s="11"/>
      <c r="D37" s="12"/>
      <c r="E37" s="13"/>
      <c r="F37" s="13"/>
      <c r="G37" s="13"/>
      <c r="H37" s="13"/>
      <c r="I37" s="15"/>
      <c r="J37" s="15"/>
      <c r="K37" s="15"/>
      <c r="L37" s="15"/>
      <c r="M37" s="15"/>
      <c r="N37" s="15"/>
      <c r="O37" s="15"/>
      <c r="P37" s="15"/>
      <c r="Q37" s="17">
        <f t="shared" si="5"/>
        <v>0</v>
      </c>
      <c r="R37" s="14" t="e">
        <f>SUM(#REF!,#REF!,#REF!,#REF!,#REF!,#REF!,#REF!,#REF!,#REF!,#REF!,#REF!)</f>
        <v>#REF!</v>
      </c>
      <c r="S37" s="18" t="e">
        <f t="shared" si="1"/>
        <v>#REF!</v>
      </c>
      <c r="T37" s="19"/>
      <c r="U37" s="20"/>
      <c r="V37" s="20"/>
      <c r="W37" s="97"/>
      <c r="X37" s="21"/>
      <c r="Y37" s="21"/>
      <c r="Z37" s="21"/>
      <c r="AA37" s="21"/>
      <c r="AB37" s="21"/>
      <c r="AC37" s="21"/>
      <c r="AD37" s="21"/>
      <c r="AE37" s="21"/>
      <c r="AF37" s="21"/>
    </row>
    <row r="38" spans="1:32" s="22" customFormat="1" outlineLevel="1" x14ac:dyDescent="0.2">
      <c r="A38" s="9" t="s">
        <v>44</v>
      </c>
      <c r="B38" s="10"/>
      <c r="C38" s="11"/>
      <c r="D38" s="12"/>
      <c r="E38" s="96">
        <v>1871.99</v>
      </c>
      <c r="F38" s="96">
        <v>666.42</v>
      </c>
      <c r="G38" s="96">
        <v>872.14</v>
      </c>
      <c r="H38" s="96">
        <v>685.78</v>
      </c>
      <c r="I38" s="120">
        <v>1239.6600000000001</v>
      </c>
      <c r="J38" s="120">
        <v>790.37</v>
      </c>
      <c r="K38" s="120">
        <v>592.5</v>
      </c>
      <c r="L38" s="120">
        <v>1705.56</v>
      </c>
      <c r="M38" s="137">
        <v>443.44</v>
      </c>
      <c r="N38" s="137">
        <v>840.4</v>
      </c>
      <c r="O38" s="137">
        <v>705.02</v>
      </c>
      <c r="P38" s="137">
        <v>231.24</v>
      </c>
      <c r="Q38" s="17">
        <f t="shared" si="5"/>
        <v>10644.52</v>
      </c>
      <c r="R38" s="14" t="e">
        <f>SUM(#REF!,#REF!,#REF!,#REF!,#REF!,#REF!,#REF!,#REF!,#REF!,#REF!,#REF!)</f>
        <v>#REF!</v>
      </c>
      <c r="S38" s="18" t="e">
        <f t="shared" si="1"/>
        <v>#REF!</v>
      </c>
      <c r="T38" s="19"/>
      <c r="U38" s="20"/>
      <c r="V38" s="20"/>
      <c r="W38" s="21"/>
      <c r="X38" s="21"/>
      <c r="Y38" s="21"/>
      <c r="Z38" s="21"/>
      <c r="AA38" s="21"/>
      <c r="AB38" s="21"/>
      <c r="AC38" s="21"/>
      <c r="AD38" s="21"/>
      <c r="AE38" s="21"/>
      <c r="AF38" s="21"/>
    </row>
    <row r="39" spans="1:32" s="22" customFormat="1" outlineLevel="1" x14ac:dyDescent="0.2">
      <c r="A39" s="9" t="s">
        <v>110</v>
      </c>
      <c r="B39" s="10"/>
      <c r="C39" s="11"/>
      <c r="D39" s="12"/>
      <c r="E39" s="13"/>
      <c r="F39" s="96">
        <v>1032</v>
      </c>
      <c r="G39" s="13"/>
      <c r="H39" s="13"/>
      <c r="I39" s="15"/>
      <c r="J39" s="15"/>
      <c r="K39" s="15"/>
      <c r="L39" s="15"/>
      <c r="M39" s="15"/>
      <c r="N39" s="15"/>
      <c r="O39" s="15"/>
      <c r="P39" s="15"/>
      <c r="Q39" s="17"/>
      <c r="R39" s="14"/>
      <c r="S39" s="18"/>
      <c r="T39" s="19"/>
      <c r="U39" s="20"/>
      <c r="V39" s="20"/>
      <c r="W39" s="21"/>
      <c r="X39" s="21"/>
      <c r="Y39" s="21"/>
      <c r="Z39" s="21"/>
      <c r="AA39" s="21"/>
      <c r="AB39" s="21"/>
      <c r="AC39" s="21"/>
      <c r="AD39" s="21"/>
      <c r="AE39" s="21"/>
      <c r="AF39" s="21"/>
    </row>
    <row r="40" spans="1:32" s="22" customFormat="1" outlineLevel="1" x14ac:dyDescent="0.2">
      <c r="A40" s="9" t="s">
        <v>93</v>
      </c>
      <c r="B40" s="10"/>
      <c r="C40" s="11"/>
      <c r="D40" s="12"/>
      <c r="E40" s="13"/>
      <c r="F40" s="13"/>
      <c r="G40" s="13"/>
      <c r="H40" s="13"/>
      <c r="I40" s="15"/>
      <c r="J40" s="15"/>
      <c r="K40" s="15"/>
      <c r="L40" s="15"/>
      <c r="M40" s="15"/>
      <c r="N40" s="15"/>
      <c r="O40" s="15"/>
      <c r="P40" s="15"/>
      <c r="Q40" s="17"/>
      <c r="R40" s="14"/>
      <c r="S40" s="18"/>
      <c r="T40" s="19"/>
      <c r="U40" s="20"/>
      <c r="V40" s="20"/>
      <c r="W40" s="97"/>
      <c r="X40" s="21"/>
      <c r="Y40" s="21"/>
      <c r="Z40" s="21"/>
      <c r="AA40" s="21"/>
      <c r="AB40" s="21"/>
      <c r="AC40" s="21"/>
      <c r="AD40" s="21"/>
      <c r="AE40" s="21"/>
      <c r="AF40" s="21"/>
    </row>
    <row r="41" spans="1:32" s="22" customFormat="1" outlineLevel="1" x14ac:dyDescent="0.2">
      <c r="A41" s="9" t="s">
        <v>135</v>
      </c>
      <c r="B41" s="10"/>
      <c r="C41" s="11"/>
      <c r="D41" s="12"/>
      <c r="E41" s="13"/>
      <c r="F41" s="13"/>
      <c r="G41" s="13"/>
      <c r="H41" s="13"/>
      <c r="I41" s="15"/>
      <c r="J41" s="15"/>
      <c r="K41" s="120">
        <v>167.94</v>
      </c>
      <c r="L41" s="15"/>
      <c r="M41" s="15"/>
      <c r="N41" s="15"/>
      <c r="O41" s="15"/>
      <c r="P41" s="15"/>
      <c r="Q41" s="17"/>
      <c r="R41" s="14"/>
      <c r="S41" s="18"/>
      <c r="T41" s="19"/>
      <c r="U41" s="20"/>
      <c r="V41" s="20"/>
      <c r="W41" s="97"/>
      <c r="X41" s="21"/>
      <c r="Y41" s="21"/>
      <c r="Z41" s="21"/>
      <c r="AA41" s="21"/>
      <c r="AB41" s="21"/>
      <c r="AC41" s="21"/>
      <c r="AD41" s="21"/>
      <c r="AE41" s="21"/>
      <c r="AF41" s="21"/>
    </row>
    <row r="42" spans="1:32" s="22" customFormat="1" outlineLevel="1" x14ac:dyDescent="0.2">
      <c r="A42" s="9" t="s">
        <v>45</v>
      </c>
      <c r="B42" s="10"/>
      <c r="C42" s="11"/>
      <c r="D42" s="95">
        <v>2117.85</v>
      </c>
      <c r="E42" s="119">
        <v>509.53</v>
      </c>
      <c r="F42" s="13"/>
      <c r="G42" s="13"/>
      <c r="H42" s="13"/>
      <c r="I42" s="15"/>
      <c r="J42" s="15"/>
      <c r="K42" s="15"/>
      <c r="L42" s="15"/>
      <c r="M42" s="120">
        <v>3350.28</v>
      </c>
      <c r="N42" s="15"/>
      <c r="O42" s="15"/>
      <c r="P42" s="15"/>
      <c r="Q42" s="17">
        <f>SUM(E42,F42,G42,H42,I42,J42,K42,L42,M42,N42,O42,P42)</f>
        <v>3859.8100000000004</v>
      </c>
      <c r="R42" s="14" t="e">
        <f>SUM(#REF!,#REF!,#REF!,#REF!,#REF!,#REF!,#REF!,#REF!,#REF!,#REF!,#REF!)</f>
        <v>#REF!</v>
      </c>
      <c r="S42" s="18" t="e">
        <f t="shared" si="1"/>
        <v>#REF!</v>
      </c>
      <c r="T42" s="19"/>
      <c r="U42" s="20"/>
      <c r="V42" s="20"/>
      <c r="W42" s="21"/>
      <c r="X42" s="21"/>
      <c r="Y42" s="21"/>
      <c r="Z42" s="21"/>
      <c r="AA42" s="21"/>
      <c r="AB42" s="21"/>
      <c r="AC42" s="21"/>
      <c r="AD42" s="21"/>
      <c r="AE42" s="21"/>
      <c r="AF42" s="21"/>
    </row>
    <row r="43" spans="1:32" s="22" customFormat="1" outlineLevel="1" x14ac:dyDescent="0.2">
      <c r="A43" s="9" t="s">
        <v>46</v>
      </c>
      <c r="B43" s="10"/>
      <c r="C43" s="11"/>
      <c r="D43" s="12"/>
      <c r="E43" s="96">
        <v>495.4</v>
      </c>
      <c r="F43" s="13"/>
      <c r="G43" s="13"/>
      <c r="H43" s="96">
        <v>1195.0999999999999</v>
      </c>
      <c r="I43" s="120">
        <v>1033.4000000000001</v>
      </c>
      <c r="J43" s="120">
        <v>1268.2</v>
      </c>
      <c r="K43" s="120">
        <v>1033.4000000000001</v>
      </c>
      <c r="L43" s="15"/>
      <c r="M43" s="15"/>
      <c r="N43" s="137">
        <v>544.4</v>
      </c>
      <c r="O43" s="15"/>
      <c r="P43" s="120">
        <v>1088.8</v>
      </c>
      <c r="Q43" s="17"/>
      <c r="R43" s="14"/>
      <c r="S43" s="18"/>
      <c r="T43" s="19"/>
      <c r="U43" s="20"/>
      <c r="V43" s="20"/>
      <c r="W43" s="21"/>
      <c r="X43" s="21"/>
      <c r="Y43" s="21"/>
      <c r="Z43" s="21"/>
      <c r="AA43" s="21"/>
      <c r="AB43" s="21"/>
      <c r="AC43" s="21"/>
      <c r="AD43" s="21"/>
      <c r="AE43" s="21"/>
      <c r="AF43" s="21"/>
    </row>
    <row r="44" spans="1:32" s="22" customFormat="1" outlineLevel="1" x14ac:dyDescent="0.2">
      <c r="A44" s="9" t="s">
        <v>47</v>
      </c>
      <c r="B44" s="10"/>
      <c r="C44" s="11"/>
      <c r="D44" s="12"/>
      <c r="E44" s="13"/>
      <c r="F44" s="13"/>
      <c r="G44" s="13"/>
      <c r="H44" s="13"/>
      <c r="I44" s="15"/>
      <c r="J44" s="15"/>
      <c r="K44" s="15"/>
      <c r="L44" s="15"/>
      <c r="M44" s="15"/>
      <c r="N44" s="15"/>
      <c r="O44" s="15"/>
      <c r="P44" s="15"/>
      <c r="Q44" s="17">
        <f>SUM(E44,F44,G44,H44,I44,J44,K44,L44,M44,N44,O44,P44)</f>
        <v>0</v>
      </c>
      <c r="R44" s="14" t="e">
        <f>SUM(#REF!,#REF!,#REF!,#REF!,#REF!,#REF!,#REF!,#REF!,#REF!,#REF!,#REF!)</f>
        <v>#REF!</v>
      </c>
      <c r="S44" s="18" t="e">
        <f t="shared" si="1"/>
        <v>#REF!</v>
      </c>
      <c r="T44" s="19"/>
      <c r="U44" s="20"/>
      <c r="V44" s="20"/>
      <c r="W44" s="21"/>
      <c r="X44" s="21"/>
      <c r="Y44" s="21"/>
      <c r="Z44" s="21"/>
      <c r="AA44" s="21"/>
      <c r="AB44" s="21"/>
      <c r="AC44" s="21"/>
      <c r="AD44" s="21"/>
      <c r="AE44" s="21"/>
      <c r="AF44" s="21"/>
    </row>
    <row r="45" spans="1:32" s="22" customFormat="1" outlineLevel="1" x14ac:dyDescent="0.2">
      <c r="A45" s="9" t="s">
        <v>48</v>
      </c>
      <c r="B45" s="10"/>
      <c r="C45" s="11"/>
      <c r="D45" s="12"/>
      <c r="E45" s="96">
        <v>1349.64</v>
      </c>
      <c r="F45" s="96">
        <v>1920.19</v>
      </c>
      <c r="G45" s="96">
        <v>1283.07</v>
      </c>
      <c r="H45" s="96">
        <v>1763.85</v>
      </c>
      <c r="I45" s="120">
        <v>828.91</v>
      </c>
      <c r="J45" s="120">
        <v>4080.5</v>
      </c>
      <c r="K45" s="120">
        <v>2831.57</v>
      </c>
      <c r="L45" s="120">
        <v>2376.6</v>
      </c>
      <c r="M45" s="120">
        <v>1655.19</v>
      </c>
      <c r="N45" s="126">
        <v>1841</v>
      </c>
      <c r="O45" s="120">
        <v>1136.51</v>
      </c>
      <c r="P45" s="120">
        <v>1964.34</v>
      </c>
      <c r="Q45" s="17">
        <f>SUM(E45,F45,G45,H45,I45,J45,K45,L45,M45,N45,O45,P45)</f>
        <v>23031.369999999995</v>
      </c>
      <c r="R45" s="14" t="e">
        <f>SUM(#REF!,#REF!,#REF!,#REF!,#REF!,#REF!,#REF!,#REF!,#REF!,#REF!,#REF!)</f>
        <v>#REF!</v>
      </c>
      <c r="S45" s="18" t="e">
        <f t="shared" si="1"/>
        <v>#REF!</v>
      </c>
      <c r="T45" s="19"/>
      <c r="U45" s="20"/>
      <c r="V45" s="20"/>
      <c r="W45" s="21"/>
      <c r="X45" s="21"/>
      <c r="Y45" s="21"/>
      <c r="Z45" s="21"/>
      <c r="AA45" s="21"/>
      <c r="AB45" s="21"/>
      <c r="AC45" s="21"/>
      <c r="AD45" s="21"/>
      <c r="AE45" s="21"/>
      <c r="AF45" s="21"/>
    </row>
    <row r="46" spans="1:32" s="22" customFormat="1" outlineLevel="1" x14ac:dyDescent="0.2">
      <c r="A46" s="9" t="s">
        <v>49</v>
      </c>
      <c r="B46" s="10"/>
      <c r="C46" s="11"/>
      <c r="D46" s="12"/>
      <c r="E46" s="96">
        <v>962.56</v>
      </c>
      <c r="F46" s="96">
        <v>4450.21</v>
      </c>
      <c r="G46" s="96">
        <v>1429.76</v>
      </c>
      <c r="H46" s="119">
        <v>2307.96</v>
      </c>
      <c r="I46" s="120">
        <v>2336.86</v>
      </c>
      <c r="J46" s="120">
        <v>2276.46</v>
      </c>
      <c r="K46" s="120">
        <v>83.97</v>
      </c>
      <c r="L46" s="120">
        <v>731.49</v>
      </c>
      <c r="M46" s="15"/>
      <c r="N46" s="120">
        <v>787.47</v>
      </c>
      <c r="O46" s="120">
        <v>846.47</v>
      </c>
      <c r="P46" s="127">
        <v>1949.55</v>
      </c>
      <c r="Q46" s="17">
        <f>SUM(E46,F46,G46,H46,I46,J46,K46,L46,M46,N46,O46,P46)</f>
        <v>18162.759999999998</v>
      </c>
      <c r="R46" s="14" t="e">
        <f>SUM(#REF!,#REF!,#REF!,#REF!,#REF!,#REF!,#REF!,#REF!,#REF!,#REF!,#REF!)</f>
        <v>#REF!</v>
      </c>
      <c r="S46" s="18" t="e">
        <f t="shared" si="1"/>
        <v>#REF!</v>
      </c>
      <c r="T46" s="19"/>
      <c r="U46" s="20"/>
      <c r="V46" s="20"/>
      <c r="W46" s="21"/>
      <c r="X46" s="21"/>
      <c r="Y46" s="21"/>
      <c r="Z46" s="21"/>
      <c r="AA46" s="21"/>
      <c r="AB46" s="21"/>
      <c r="AC46" s="21"/>
      <c r="AD46" s="21"/>
      <c r="AE46" s="21"/>
      <c r="AF46" s="21"/>
    </row>
    <row r="47" spans="1:32" s="22" customFormat="1" outlineLevel="1" x14ac:dyDescent="0.2">
      <c r="A47" s="9" t="s">
        <v>100</v>
      </c>
      <c r="B47" s="10"/>
      <c r="C47" s="11"/>
      <c r="D47" s="12"/>
      <c r="E47" s="119">
        <v>152.80000000000001</v>
      </c>
      <c r="F47" s="13"/>
      <c r="G47" s="119">
        <v>152.80000000000001</v>
      </c>
      <c r="H47" s="119">
        <v>152.80000000000001</v>
      </c>
      <c r="I47" s="15"/>
      <c r="J47" s="98">
        <v>152.80000000000001</v>
      </c>
      <c r="K47" s="98">
        <v>83.97</v>
      </c>
      <c r="L47" s="15"/>
      <c r="M47" s="15"/>
      <c r="N47" s="15"/>
      <c r="O47" s="15"/>
      <c r="P47" s="15"/>
      <c r="Q47" s="17"/>
      <c r="R47" s="14"/>
      <c r="S47" s="18"/>
      <c r="T47" s="19"/>
      <c r="U47" s="20"/>
      <c r="V47" s="20"/>
      <c r="W47" s="21"/>
      <c r="X47" s="21"/>
      <c r="Y47" s="21"/>
      <c r="Z47" s="21"/>
      <c r="AA47" s="21"/>
      <c r="AB47" s="21"/>
      <c r="AC47" s="21"/>
      <c r="AD47" s="21"/>
      <c r="AE47" s="21"/>
      <c r="AF47" s="21"/>
    </row>
    <row r="48" spans="1:32" s="22" customFormat="1" outlineLevel="1" x14ac:dyDescent="0.2">
      <c r="A48" s="9" t="s">
        <v>50</v>
      </c>
      <c r="B48" s="10"/>
      <c r="C48" s="11"/>
      <c r="D48" s="12"/>
      <c r="E48" s="96">
        <v>768.99</v>
      </c>
      <c r="F48" s="13"/>
      <c r="G48" s="96">
        <v>689.09</v>
      </c>
      <c r="H48" s="13"/>
      <c r="I48" s="120">
        <v>474.11</v>
      </c>
      <c r="J48" s="120">
        <v>1736.62</v>
      </c>
      <c r="K48" s="120">
        <v>522.42999999999995</v>
      </c>
      <c r="L48" s="120">
        <v>510.1</v>
      </c>
      <c r="M48" s="15"/>
      <c r="N48" s="120">
        <v>492.07</v>
      </c>
      <c r="O48" s="15"/>
      <c r="P48" s="120">
        <v>318.99</v>
      </c>
      <c r="Q48" s="17">
        <f>SUM(E48,F48,G48,H48,I48,J48,K48,L48,M48,N48,O48,P48)</f>
        <v>5512.4</v>
      </c>
      <c r="R48" s="14" t="e">
        <f>SUM(#REF!,#REF!,#REF!,#REF!,#REF!,#REF!,#REF!,#REF!,#REF!,#REF!,#REF!)</f>
        <v>#REF!</v>
      </c>
      <c r="S48" s="18" t="e">
        <f t="shared" si="1"/>
        <v>#REF!</v>
      </c>
      <c r="T48" s="19"/>
      <c r="U48" s="23"/>
      <c r="V48" s="20"/>
      <c r="W48" s="21"/>
      <c r="X48" s="21"/>
      <c r="Y48" s="21"/>
      <c r="Z48" s="21"/>
      <c r="AA48" s="21"/>
      <c r="AB48" s="21"/>
      <c r="AC48" s="21"/>
      <c r="AD48" s="21"/>
      <c r="AE48" s="21"/>
      <c r="AF48" s="21"/>
    </row>
    <row r="49" spans="1:32" s="22" customFormat="1" outlineLevel="1" x14ac:dyDescent="0.2">
      <c r="A49" s="9" t="s">
        <v>132</v>
      </c>
      <c r="B49" s="10"/>
      <c r="C49" s="11"/>
      <c r="D49" s="12"/>
      <c r="E49" s="13"/>
      <c r="F49" s="13"/>
      <c r="G49" s="96">
        <v>492.76</v>
      </c>
      <c r="H49" s="13"/>
      <c r="I49" s="15"/>
      <c r="J49" s="15"/>
      <c r="K49" s="120">
        <v>763.5</v>
      </c>
      <c r="L49" s="15"/>
      <c r="M49" s="15"/>
      <c r="N49" s="15"/>
      <c r="O49" s="137">
        <v>1021.53</v>
      </c>
      <c r="P49" s="15"/>
      <c r="Q49" s="17">
        <f>SUM(E49,F49,G49,H49,I49,J49,K49,L49,M49,N49,O49,P49)</f>
        <v>2277.79</v>
      </c>
      <c r="R49" s="14" t="e">
        <f>SUM(#REF!,#REF!,#REF!,#REF!,#REF!,#REF!,#REF!,#REF!,#REF!,#REF!,#REF!)</f>
        <v>#REF!</v>
      </c>
      <c r="S49" s="18" t="e">
        <f>SUM(Q49-R49)/2832840</f>
        <v>#REF!</v>
      </c>
      <c r="T49" s="19"/>
      <c r="U49" s="20"/>
      <c r="V49" s="20"/>
      <c r="W49" s="21"/>
      <c r="X49" s="21"/>
      <c r="Y49" s="21"/>
      <c r="Z49" s="21"/>
      <c r="AA49" s="21"/>
      <c r="AB49" s="21"/>
      <c r="AC49" s="21"/>
      <c r="AD49" s="21"/>
      <c r="AE49" s="21"/>
      <c r="AF49" s="21"/>
    </row>
    <row r="50" spans="1:32" s="22" customFormat="1" outlineLevel="1" x14ac:dyDescent="0.2">
      <c r="A50" s="9" t="s">
        <v>51</v>
      </c>
      <c r="B50" s="10"/>
      <c r="C50" s="11"/>
      <c r="D50" s="95">
        <v>2465.59</v>
      </c>
      <c r="E50" s="96">
        <v>1663.54</v>
      </c>
      <c r="F50" s="96">
        <f>1580.94+469.89</f>
        <v>2050.83</v>
      </c>
      <c r="G50" s="123">
        <v>2035.99</v>
      </c>
      <c r="H50" s="119">
        <v>1770.7</v>
      </c>
      <c r="I50" s="120">
        <v>5489.98</v>
      </c>
      <c r="J50" s="120">
        <v>464.18</v>
      </c>
      <c r="K50" s="120">
        <v>1424.74</v>
      </c>
      <c r="L50" s="15"/>
      <c r="M50" s="120">
        <v>3450.06</v>
      </c>
      <c r="N50" s="120">
        <v>1706.68</v>
      </c>
      <c r="O50" s="120">
        <v>712.37</v>
      </c>
      <c r="P50" s="137">
        <v>941.9</v>
      </c>
      <c r="Q50" s="17">
        <f>SUM(E50,F50,G50,H50,I50,J50,K50,L50,M50,N50,O50,P50)</f>
        <v>21710.97</v>
      </c>
      <c r="R50" s="14" t="e">
        <f>SUM(#REF!,#REF!,#REF!,#REF!,#REF!,#REF!,#REF!,#REF!,#REF!,#REF!,#REF!)</f>
        <v>#REF!</v>
      </c>
      <c r="S50" s="18" t="e">
        <f t="shared" si="1"/>
        <v>#REF!</v>
      </c>
      <c r="T50" s="19"/>
      <c r="U50" s="20"/>
      <c r="V50" s="20"/>
      <c r="W50" s="21"/>
      <c r="X50" s="21"/>
      <c r="Y50" s="21"/>
      <c r="Z50" s="21"/>
      <c r="AA50" s="21"/>
      <c r="AB50" s="21"/>
      <c r="AC50" s="21"/>
      <c r="AD50" s="21"/>
      <c r="AE50" s="21"/>
      <c r="AF50" s="21"/>
    </row>
    <row r="51" spans="1:32" s="22" customFormat="1" outlineLevel="1" x14ac:dyDescent="0.2">
      <c r="A51" s="9" t="s">
        <v>106</v>
      </c>
      <c r="B51" s="10"/>
      <c r="C51" s="11"/>
      <c r="D51" s="12"/>
      <c r="E51" s="13"/>
      <c r="F51" s="13"/>
      <c r="G51" s="13"/>
      <c r="H51" s="13"/>
      <c r="I51" s="98">
        <v>1021.24</v>
      </c>
      <c r="J51" s="120">
        <v>732.2</v>
      </c>
      <c r="K51" s="16"/>
      <c r="L51" s="137">
        <v>791.61</v>
      </c>
      <c r="M51" s="15"/>
      <c r="N51" s="15"/>
      <c r="O51" s="15"/>
      <c r="P51" s="15"/>
      <c r="Q51" s="17"/>
      <c r="R51" s="14"/>
      <c r="S51" s="18"/>
      <c r="T51" s="19"/>
      <c r="U51" s="20"/>
      <c r="V51" s="20"/>
      <c r="W51" s="21"/>
      <c r="X51" s="21"/>
      <c r="Y51" s="21"/>
      <c r="Z51" s="21"/>
      <c r="AA51" s="21"/>
      <c r="AB51" s="21"/>
      <c r="AC51" s="21"/>
      <c r="AD51" s="21"/>
      <c r="AE51" s="21"/>
      <c r="AF51" s="21"/>
    </row>
    <row r="52" spans="1:32" s="22" customFormat="1" outlineLevel="1" x14ac:dyDescent="0.2">
      <c r="A52" s="9" t="s">
        <v>138</v>
      </c>
      <c r="B52" s="10"/>
      <c r="C52" s="11"/>
      <c r="D52" s="12"/>
      <c r="E52" s="13"/>
      <c r="F52" s="13"/>
      <c r="G52" s="13"/>
      <c r="H52" s="13"/>
      <c r="I52" s="15"/>
      <c r="J52" s="15"/>
      <c r="K52" s="16"/>
      <c r="L52" s="120">
        <v>1584.2</v>
      </c>
      <c r="M52" s="15"/>
      <c r="N52" s="15"/>
      <c r="O52" s="15"/>
      <c r="P52" s="15"/>
      <c r="Q52" s="17"/>
      <c r="R52" s="14"/>
      <c r="S52" s="18"/>
      <c r="T52" s="19"/>
      <c r="U52" s="20"/>
      <c r="V52" s="20"/>
      <c r="W52" s="21"/>
      <c r="X52" s="21"/>
      <c r="Y52" s="21"/>
      <c r="Z52" s="21"/>
      <c r="AA52" s="21"/>
      <c r="AB52" s="21"/>
      <c r="AC52" s="21"/>
      <c r="AD52" s="21"/>
      <c r="AE52" s="21"/>
      <c r="AF52" s="21"/>
    </row>
    <row r="53" spans="1:32" s="22" customFormat="1" outlineLevel="1" x14ac:dyDescent="0.2">
      <c r="A53" s="9" t="s">
        <v>124</v>
      </c>
      <c r="B53" s="10"/>
      <c r="C53" s="11"/>
      <c r="D53" s="12"/>
      <c r="E53" s="13"/>
      <c r="F53" s="13"/>
      <c r="G53" s="96">
        <v>333.6</v>
      </c>
      <c r="H53" s="13"/>
      <c r="I53" s="15"/>
      <c r="J53" s="15"/>
      <c r="K53" s="15"/>
      <c r="L53" s="15"/>
      <c r="M53" s="15"/>
      <c r="N53" s="15"/>
      <c r="O53" s="15"/>
      <c r="P53" s="15"/>
      <c r="Q53" s="17">
        <f t="shared" ref="Q53" si="6">SUM(E53,F53,G53,H53,I53,J53,K53,L53,M53,N53,O53,P53)</f>
        <v>333.6</v>
      </c>
      <c r="R53" s="14" t="e">
        <f>SUM(#REF!,#REF!,#REF!,#REF!,#REF!,#REF!,#REF!,#REF!,#REF!,#REF!,#REF!)</f>
        <v>#REF!</v>
      </c>
      <c r="S53" s="18" t="e">
        <f t="shared" ref="S53" si="7">SUM(Q53-R53)/2832840</f>
        <v>#REF!</v>
      </c>
      <c r="T53" s="19"/>
      <c r="U53" s="20"/>
      <c r="V53" s="20"/>
      <c r="W53" s="21"/>
      <c r="X53" s="21"/>
      <c r="Y53" s="21"/>
      <c r="Z53" s="21"/>
      <c r="AA53" s="21"/>
      <c r="AB53" s="21"/>
      <c r="AC53" s="21"/>
      <c r="AD53" s="21"/>
      <c r="AE53" s="21"/>
      <c r="AF53" s="21"/>
    </row>
    <row r="54" spans="1:32" s="22" customFormat="1" outlineLevel="1" x14ac:dyDescent="0.2">
      <c r="A54" s="9" t="s">
        <v>52</v>
      </c>
      <c r="B54" s="10"/>
      <c r="C54" s="11"/>
      <c r="D54" s="12"/>
      <c r="E54" s="119">
        <v>807</v>
      </c>
      <c r="F54" s="13"/>
      <c r="G54" s="13"/>
      <c r="H54" s="13"/>
      <c r="I54" s="15"/>
      <c r="J54" s="120">
        <v>730.2</v>
      </c>
      <c r="K54" s="15"/>
      <c r="L54" s="15"/>
      <c r="M54" s="120">
        <v>544.4</v>
      </c>
      <c r="N54" s="120">
        <v>1060.4000000000001</v>
      </c>
      <c r="O54" s="15"/>
      <c r="P54" s="120">
        <f>2134.8+1731.82</f>
        <v>3866.62</v>
      </c>
      <c r="Q54" s="17">
        <f t="shared" ref="Q54:Q61" si="8">SUM(E54,F54,G54,H54,I54,J54,K54,L54,M54,N54,O54,P54)</f>
        <v>7008.62</v>
      </c>
      <c r="R54" s="14" t="e">
        <f>SUM(#REF!,#REF!,#REF!,#REF!,#REF!,#REF!,#REF!,#REF!,#REF!,#REF!,#REF!)</f>
        <v>#REF!</v>
      </c>
      <c r="S54" s="18" t="e">
        <f t="shared" si="1"/>
        <v>#REF!</v>
      </c>
      <c r="T54" s="19"/>
      <c r="U54" s="20"/>
      <c r="V54" s="20"/>
      <c r="W54" s="21"/>
      <c r="X54" s="21"/>
      <c r="Y54" s="21"/>
      <c r="Z54" s="21"/>
      <c r="AA54" s="21"/>
      <c r="AB54" s="21"/>
      <c r="AC54" s="21"/>
      <c r="AD54" s="21"/>
      <c r="AE54" s="21"/>
      <c r="AF54" s="21"/>
    </row>
    <row r="55" spans="1:32" s="22" customFormat="1" outlineLevel="1" x14ac:dyDescent="0.2">
      <c r="A55" s="9" t="s">
        <v>139</v>
      </c>
      <c r="B55" s="10"/>
      <c r="C55" s="11"/>
      <c r="D55" s="12"/>
      <c r="E55" s="119"/>
      <c r="F55" s="13"/>
      <c r="G55" s="13"/>
      <c r="H55" s="13"/>
      <c r="I55" s="15"/>
      <c r="J55" s="15"/>
      <c r="K55" s="15"/>
      <c r="L55" s="15"/>
      <c r="M55" s="15"/>
      <c r="N55" s="15"/>
      <c r="O55" s="15"/>
      <c r="P55" s="120">
        <v>2215.4299999999998</v>
      </c>
      <c r="Q55" s="17"/>
      <c r="R55" s="14"/>
      <c r="S55" s="18"/>
      <c r="T55" s="19"/>
      <c r="U55" s="20"/>
      <c r="V55" s="20"/>
      <c r="W55" s="21"/>
      <c r="X55" s="21"/>
      <c r="Y55" s="21"/>
      <c r="Z55" s="21"/>
      <c r="AA55" s="21"/>
      <c r="AB55" s="21"/>
      <c r="AC55" s="21"/>
      <c r="AD55" s="21"/>
      <c r="AE55" s="21"/>
      <c r="AF55" s="21"/>
    </row>
    <row r="56" spans="1:32" s="22" customFormat="1" outlineLevel="1" x14ac:dyDescent="0.2">
      <c r="A56" s="9" t="s">
        <v>53</v>
      </c>
      <c r="B56" s="10"/>
      <c r="C56" s="11"/>
      <c r="D56" s="12"/>
      <c r="E56" s="96">
        <v>23676.5</v>
      </c>
      <c r="F56" s="96">
        <f>2958.6</f>
        <v>2958.6</v>
      </c>
      <c r="G56" s="96">
        <v>3569.93</v>
      </c>
      <c r="H56" s="96">
        <v>443.27</v>
      </c>
      <c r="I56" s="120">
        <v>7525.04</v>
      </c>
      <c r="J56" s="120">
        <v>1220.5899999999999</v>
      </c>
      <c r="K56" s="120">
        <v>18227.54</v>
      </c>
      <c r="L56" s="120">
        <f>9971.59+1600.44</f>
        <v>11572.03</v>
      </c>
      <c r="M56" s="120">
        <v>1277.9000000000001</v>
      </c>
      <c r="N56" s="120">
        <v>11338.17</v>
      </c>
      <c r="O56" s="120">
        <v>10665.08</v>
      </c>
      <c r="P56" s="120">
        <v>1625.71</v>
      </c>
      <c r="Q56" s="17">
        <f t="shared" si="8"/>
        <v>94100.36</v>
      </c>
      <c r="R56" s="14"/>
      <c r="S56" s="18">
        <f t="shared" si="1"/>
        <v>3.3217675548213102E-2</v>
      </c>
      <c r="T56" s="19"/>
      <c r="U56" s="20"/>
      <c r="V56" s="20"/>
      <c r="W56" s="21"/>
      <c r="X56" s="21"/>
      <c r="Y56" s="21"/>
      <c r="Z56" s="21"/>
      <c r="AA56" s="21"/>
      <c r="AB56" s="21"/>
      <c r="AC56" s="21"/>
      <c r="AD56" s="21"/>
      <c r="AE56" s="21"/>
      <c r="AF56" s="21"/>
    </row>
    <row r="57" spans="1:32" s="22" customFormat="1" outlineLevel="1" x14ac:dyDescent="0.2">
      <c r="A57" s="9" t="s">
        <v>54</v>
      </c>
      <c r="B57" s="10"/>
      <c r="C57" s="11"/>
      <c r="D57" s="95">
        <f>89748.48+96282.77+168905.48+157820.12+175999.96+63469.66</f>
        <v>752226.47</v>
      </c>
      <c r="E57" s="96">
        <v>166673.76999999999</v>
      </c>
      <c r="F57" s="96">
        <f>222516.11+389.49</f>
        <v>222905.59999999998</v>
      </c>
      <c r="G57" s="96">
        <v>251267.33</v>
      </c>
      <c r="H57" s="119">
        <f>100271.66+24493.3+41891.85</f>
        <v>166656.81</v>
      </c>
      <c r="I57" s="120">
        <f>130521.85+14721.85+266.17</f>
        <v>145509.87000000002</v>
      </c>
      <c r="J57" s="120">
        <f>37031.09+166019.43+3211.7</f>
        <v>206262.22</v>
      </c>
      <c r="K57" s="120">
        <f>12230.74+179535.39</f>
        <v>191766.13</v>
      </c>
      <c r="L57" s="137">
        <v>75011.67</v>
      </c>
      <c r="M57" s="137">
        <v>57089.65</v>
      </c>
      <c r="N57" s="137">
        <v>2067.25</v>
      </c>
      <c r="O57" s="137">
        <v>30899.89</v>
      </c>
      <c r="P57" s="137">
        <f>114257.19+5369.92</f>
        <v>119627.11</v>
      </c>
      <c r="Q57" s="17">
        <f t="shared" si="8"/>
        <v>1635737.2999999998</v>
      </c>
      <c r="R57" s="14" t="e">
        <f>SUM(#REF!,#REF!,#REF!,#REF!,#REF!,#REF!,#REF!,#REF!,#REF!,#REF!,#REF!)</f>
        <v>#REF!</v>
      </c>
      <c r="S57" s="18" t="e">
        <f t="shared" si="1"/>
        <v>#REF!</v>
      </c>
      <c r="T57" s="19"/>
      <c r="U57" s="20"/>
      <c r="V57" s="20"/>
      <c r="W57" s="21"/>
      <c r="X57" s="21"/>
      <c r="Y57" s="21"/>
      <c r="Z57" s="21"/>
      <c r="AA57" s="21"/>
      <c r="AB57" s="21"/>
      <c r="AC57" s="21"/>
      <c r="AD57" s="21"/>
      <c r="AE57" s="21"/>
      <c r="AF57" s="21"/>
    </row>
    <row r="58" spans="1:32" s="22" customFormat="1" outlineLevel="1" x14ac:dyDescent="0.2">
      <c r="A58" s="9" t="s">
        <v>55</v>
      </c>
      <c r="B58" s="10"/>
      <c r="C58" s="11"/>
      <c r="D58" s="12"/>
      <c r="E58" s="13"/>
      <c r="F58" s="96">
        <f>275</f>
        <v>275</v>
      </c>
      <c r="G58" s="119">
        <f>1996.8+78</f>
        <v>2074.8000000000002</v>
      </c>
      <c r="H58" s="13"/>
      <c r="I58" s="15"/>
      <c r="J58" s="120">
        <v>382</v>
      </c>
      <c r="K58" s="15"/>
      <c r="L58" s="120">
        <v>2021.94</v>
      </c>
      <c r="M58" s="120">
        <v>167.94</v>
      </c>
      <c r="N58" s="120">
        <v>550</v>
      </c>
      <c r="O58" s="120">
        <v>431</v>
      </c>
      <c r="P58" s="15"/>
      <c r="Q58" s="17">
        <f t="shared" si="8"/>
        <v>5902.6799999999994</v>
      </c>
      <c r="R58" s="14" t="e">
        <f>SUM(#REF!,#REF!,#REF!,#REF!,#REF!,#REF!,#REF!,#REF!,#REF!,#REF!,#REF!)</f>
        <v>#REF!</v>
      </c>
      <c r="S58" s="18" t="e">
        <f t="shared" si="1"/>
        <v>#REF!</v>
      </c>
      <c r="T58" s="19"/>
      <c r="U58" s="20"/>
      <c r="V58" s="20"/>
      <c r="W58" s="21"/>
      <c r="X58" s="21"/>
      <c r="Y58" s="21"/>
      <c r="Z58" s="21"/>
      <c r="AA58" s="21"/>
      <c r="AB58" s="21"/>
      <c r="AC58" s="21"/>
      <c r="AD58" s="21"/>
      <c r="AE58" s="21"/>
      <c r="AF58" s="21"/>
    </row>
    <row r="59" spans="1:32" s="22" customFormat="1" outlineLevel="1" x14ac:dyDescent="0.2">
      <c r="A59" s="9" t="s">
        <v>56</v>
      </c>
      <c r="B59" s="10"/>
      <c r="C59" s="11"/>
      <c r="D59" s="12"/>
      <c r="E59" s="13" t="s">
        <v>142</v>
      </c>
      <c r="F59" s="13"/>
      <c r="G59" s="140"/>
      <c r="H59" s="13"/>
      <c r="I59" s="15"/>
      <c r="J59" s="15"/>
      <c r="K59" s="15"/>
      <c r="L59" s="15"/>
      <c r="M59" s="15"/>
      <c r="N59" s="15"/>
      <c r="O59" s="15"/>
      <c r="P59" s="15"/>
      <c r="Q59" s="17">
        <f t="shared" si="8"/>
        <v>0</v>
      </c>
      <c r="R59" s="14" t="e">
        <f>SUM(#REF!,#REF!,#REF!,#REF!,#REF!,#REF!,#REF!,#REF!,#REF!,#REF!,#REF!)</f>
        <v>#REF!</v>
      </c>
      <c r="S59" s="18" t="e">
        <f t="shared" si="1"/>
        <v>#REF!</v>
      </c>
      <c r="T59" s="19"/>
      <c r="U59" s="20"/>
      <c r="V59" s="20"/>
      <c r="W59" s="21"/>
      <c r="X59" s="21"/>
      <c r="Y59" s="21"/>
      <c r="Z59" s="21"/>
      <c r="AA59" s="21"/>
      <c r="AB59" s="21"/>
      <c r="AC59" s="21"/>
      <c r="AD59" s="21"/>
      <c r="AE59" s="21"/>
      <c r="AF59" s="21"/>
    </row>
    <row r="60" spans="1:32" s="22" customFormat="1" outlineLevel="1" x14ac:dyDescent="0.2">
      <c r="A60" s="9" t="s">
        <v>57</v>
      </c>
      <c r="B60" s="10"/>
      <c r="C60" s="11"/>
      <c r="D60" s="12"/>
      <c r="E60" s="13"/>
      <c r="F60" s="13"/>
      <c r="G60" s="13"/>
      <c r="H60" s="13"/>
      <c r="I60" s="15"/>
      <c r="J60" s="15"/>
      <c r="K60" s="15"/>
      <c r="L60" s="15"/>
      <c r="M60" s="15"/>
      <c r="N60" s="15"/>
      <c r="O60" s="15"/>
      <c r="P60" s="15"/>
      <c r="Q60" s="17">
        <f t="shared" si="8"/>
        <v>0</v>
      </c>
      <c r="R60" s="14" t="e">
        <f>SUM(#REF!,#REF!,#REF!,#REF!,#REF!,#REF!,#REF!,#REF!,#REF!,#REF!,#REF!)</f>
        <v>#REF!</v>
      </c>
      <c r="S60" s="18" t="e">
        <f t="shared" si="1"/>
        <v>#REF!</v>
      </c>
      <c r="T60" s="19"/>
      <c r="U60" s="20"/>
      <c r="V60" s="20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spans="1:32" s="22" customFormat="1" outlineLevel="1" x14ac:dyDescent="0.2">
      <c r="A61" s="9" t="s">
        <v>58</v>
      </c>
      <c r="B61" s="10"/>
      <c r="C61" s="11"/>
      <c r="D61" s="12"/>
      <c r="E61" s="96">
        <v>372</v>
      </c>
      <c r="F61" s="96">
        <v>2090.4</v>
      </c>
      <c r="G61" s="96">
        <v>2362.6999999999998</v>
      </c>
      <c r="H61" s="96">
        <v>906.74</v>
      </c>
      <c r="I61" s="120">
        <v>538</v>
      </c>
      <c r="J61" s="120">
        <v>2237.2399999999998</v>
      </c>
      <c r="K61" s="120">
        <v>1718.2</v>
      </c>
      <c r="L61" s="15"/>
      <c r="M61" s="15"/>
      <c r="N61" s="120">
        <v>1091.04</v>
      </c>
      <c r="O61" s="120">
        <v>1082.4000000000001</v>
      </c>
      <c r="P61" s="120">
        <v>2189.6</v>
      </c>
      <c r="Q61" s="17">
        <f t="shared" si="8"/>
        <v>14588.32</v>
      </c>
      <c r="R61" s="14" t="e">
        <f>SUM(#REF!,#REF!,#REF!,#REF!,#REF!,#REF!,#REF!,#REF!,#REF!,#REF!,#REF!)</f>
        <v>#REF!</v>
      </c>
      <c r="S61" s="18" t="e">
        <f t="shared" si="1"/>
        <v>#REF!</v>
      </c>
      <c r="T61" s="19"/>
      <c r="U61" s="20"/>
      <c r="V61" s="20"/>
      <c r="W61" s="21"/>
      <c r="X61" s="21"/>
      <c r="Y61" s="21"/>
      <c r="Z61" s="21"/>
      <c r="AA61" s="21"/>
      <c r="AB61" s="21"/>
      <c r="AC61" s="21"/>
      <c r="AD61" s="21"/>
      <c r="AE61" s="21"/>
      <c r="AF61" s="21"/>
    </row>
    <row r="62" spans="1:32" s="22" customFormat="1" outlineLevel="1" x14ac:dyDescent="0.2">
      <c r="A62" s="9" t="s">
        <v>126</v>
      </c>
      <c r="B62" s="10"/>
      <c r="C62" s="11"/>
      <c r="D62" s="12"/>
      <c r="E62" s="13"/>
      <c r="F62" s="13"/>
      <c r="G62" s="13"/>
      <c r="H62" s="96">
        <v>152.80000000000001</v>
      </c>
      <c r="I62" s="15"/>
      <c r="J62" s="15"/>
      <c r="K62" s="15"/>
      <c r="L62" s="15"/>
      <c r="M62" s="15"/>
      <c r="N62" s="15"/>
      <c r="O62" s="15"/>
      <c r="P62" s="15"/>
      <c r="Q62" s="17">
        <f t="shared" ref="Q62" si="9">SUM(E62,F62,G62,H62,I62,J62,K62,L62,M62,N62,O62,P62)</f>
        <v>152.80000000000001</v>
      </c>
      <c r="R62" s="14" t="e">
        <f>SUM(#REF!,#REF!,#REF!,#REF!,#REF!,#REF!,#REF!,#REF!,#REF!,#REF!,#REF!)</f>
        <v>#REF!</v>
      </c>
      <c r="S62" s="18" t="e">
        <f t="shared" ref="S62" si="10">SUM(Q62-R62)/2832840</f>
        <v>#REF!</v>
      </c>
      <c r="T62" s="19"/>
      <c r="U62" s="20"/>
      <c r="V62" s="20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spans="1:32" s="22" customFormat="1" outlineLevel="1" x14ac:dyDescent="0.2">
      <c r="A63" s="9" t="s">
        <v>113</v>
      </c>
      <c r="B63" s="10"/>
      <c r="C63" s="11"/>
      <c r="D63" s="12"/>
      <c r="E63" s="13"/>
      <c r="F63" s="13"/>
      <c r="G63" s="13"/>
      <c r="H63" s="13"/>
      <c r="I63" s="15"/>
      <c r="J63" s="15"/>
      <c r="K63" s="15"/>
      <c r="L63" s="15"/>
      <c r="M63" s="15"/>
      <c r="N63" s="15"/>
      <c r="O63" s="15"/>
      <c r="P63" s="15"/>
      <c r="Q63" s="17"/>
      <c r="R63" s="14"/>
      <c r="S63" s="18"/>
      <c r="T63" s="19"/>
      <c r="U63" s="20"/>
      <c r="V63" s="20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spans="1:32" s="22" customFormat="1" outlineLevel="1" x14ac:dyDescent="0.2">
      <c r="A64" s="9" t="s">
        <v>85</v>
      </c>
      <c r="B64" s="10"/>
      <c r="C64" s="11"/>
      <c r="D64" s="12"/>
      <c r="E64" s="96">
        <v>464.18</v>
      </c>
      <c r="F64" s="96">
        <v>369.06</v>
      </c>
      <c r="G64" s="96">
        <v>184.53</v>
      </c>
      <c r="H64" s="119">
        <v>369.06</v>
      </c>
      <c r="I64" s="120">
        <v>369.06</v>
      </c>
      <c r="J64" s="120">
        <v>233.64</v>
      </c>
      <c r="K64" s="15"/>
      <c r="L64" s="120">
        <v>307.08999999999997</v>
      </c>
      <c r="M64" s="120">
        <v>202.64</v>
      </c>
      <c r="N64" s="120">
        <v>202.64</v>
      </c>
      <c r="O64" s="120">
        <v>202.64</v>
      </c>
      <c r="P64" s="120">
        <v>202.64</v>
      </c>
      <c r="Q64" s="17">
        <f>SUM(E64,F64,G64,H64,I64,J64,K64,L64,M64,N64,O64,P64)</f>
        <v>3107.1799999999994</v>
      </c>
      <c r="R64" s="14"/>
      <c r="S64" s="18">
        <f t="shared" si="1"/>
        <v>1.0968427443837278E-3</v>
      </c>
      <c r="T64" s="19"/>
      <c r="U64" s="20"/>
      <c r="V64" s="20"/>
      <c r="W64" s="21"/>
      <c r="X64" s="21"/>
      <c r="Y64" s="21"/>
      <c r="Z64" s="21"/>
      <c r="AA64" s="21"/>
      <c r="AB64" s="21"/>
      <c r="AC64" s="21"/>
      <c r="AD64" s="21"/>
      <c r="AE64" s="21"/>
      <c r="AF64" s="21"/>
    </row>
    <row r="65" spans="1:32" s="22" customFormat="1" outlineLevel="1" x14ac:dyDescent="0.2">
      <c r="A65" s="9" t="s">
        <v>133</v>
      </c>
      <c r="B65" s="10"/>
      <c r="C65" s="11"/>
      <c r="D65" s="12"/>
      <c r="E65" s="13"/>
      <c r="F65" s="13"/>
      <c r="G65" s="13"/>
      <c r="H65" s="13"/>
      <c r="I65" s="15"/>
      <c r="J65" s="15"/>
      <c r="K65" s="120">
        <v>5368.2</v>
      </c>
      <c r="L65" s="15"/>
      <c r="M65" s="15"/>
      <c r="N65" s="15"/>
      <c r="O65" s="15"/>
      <c r="P65" s="15"/>
      <c r="Q65" s="17"/>
      <c r="R65" s="14"/>
      <c r="S65" s="18"/>
      <c r="T65" s="19"/>
      <c r="U65" s="20"/>
      <c r="V65" s="20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spans="1:32" s="22" customFormat="1" outlineLevel="1" x14ac:dyDescent="0.2">
      <c r="A66" s="9" t="s">
        <v>59</v>
      </c>
      <c r="B66" s="10"/>
      <c r="C66" s="11"/>
      <c r="D66" s="95">
        <v>757.26</v>
      </c>
      <c r="E66" s="13"/>
      <c r="F66" s="13"/>
      <c r="G66" s="119">
        <v>152.80000000000001</v>
      </c>
      <c r="H66" s="119">
        <v>188.33</v>
      </c>
      <c r="I66" s="15"/>
      <c r="J66" s="15"/>
      <c r="K66" s="120">
        <v>961.45</v>
      </c>
      <c r="L66" s="15"/>
      <c r="M66" s="15"/>
      <c r="N66" s="120">
        <v>122.91</v>
      </c>
      <c r="O66" s="15"/>
      <c r="P66" s="15"/>
      <c r="Q66" s="17">
        <f>SUM(E66,F66,G66,H66,I66,J66,K66,L66,M66,N66,O66,P66)</f>
        <v>1425.49</v>
      </c>
      <c r="R66" s="14" t="e">
        <f>SUM(#REF!,#REF!,#REF!,#REF!,#REF!,#REF!,#REF!,#REF!,#REF!,#REF!,#REF!)</f>
        <v>#REF!</v>
      </c>
      <c r="S66" s="18" t="e">
        <f t="shared" si="1"/>
        <v>#REF!</v>
      </c>
      <c r="T66" s="19"/>
      <c r="U66" s="20"/>
      <c r="V66" s="20"/>
      <c r="W66" s="21"/>
      <c r="X66" s="21"/>
      <c r="Y66" s="21"/>
      <c r="Z66" s="21"/>
      <c r="AA66" s="21"/>
      <c r="AB66" s="21"/>
      <c r="AC66" s="21"/>
      <c r="AD66" s="21"/>
      <c r="AE66" s="21"/>
      <c r="AF66" s="21"/>
    </row>
    <row r="67" spans="1:32" s="22" customFormat="1" outlineLevel="1" x14ac:dyDescent="0.2">
      <c r="A67" s="9" t="s">
        <v>107</v>
      </c>
      <c r="B67" s="10"/>
      <c r="C67" s="11"/>
      <c r="D67" s="12"/>
      <c r="E67" s="136">
        <v>229.2</v>
      </c>
      <c r="F67" s="13"/>
      <c r="G67" s="136">
        <v>458.4</v>
      </c>
      <c r="H67" s="13"/>
      <c r="I67" s="15"/>
      <c r="J67" s="15"/>
      <c r="K67" s="15"/>
      <c r="L67" s="15"/>
      <c r="M67" s="15"/>
      <c r="N67" s="15"/>
      <c r="O67" s="15"/>
      <c r="P67" s="15"/>
      <c r="Q67" s="17"/>
      <c r="R67" s="14"/>
      <c r="S67" s="18"/>
      <c r="T67" s="19"/>
      <c r="U67" s="20"/>
      <c r="V67" s="20"/>
      <c r="W67" s="21"/>
      <c r="X67" s="21"/>
      <c r="Y67" s="21"/>
      <c r="Z67" s="21"/>
      <c r="AA67" s="21"/>
      <c r="AB67" s="21"/>
      <c r="AC67" s="21"/>
      <c r="AD67" s="21"/>
      <c r="AE67" s="21"/>
      <c r="AF67" s="21"/>
    </row>
    <row r="68" spans="1:32" s="22" customFormat="1" outlineLevel="1" x14ac:dyDescent="0.2">
      <c r="A68" s="9" t="s">
        <v>60</v>
      </c>
      <c r="B68" s="10"/>
      <c r="C68" s="11"/>
      <c r="D68" s="12"/>
      <c r="E68" s="13"/>
      <c r="F68" s="13"/>
      <c r="G68" s="13"/>
      <c r="H68" s="119">
        <v>424.88</v>
      </c>
      <c r="I68" s="120">
        <v>180.91</v>
      </c>
      <c r="J68" s="15"/>
      <c r="K68" s="15"/>
      <c r="L68" s="15"/>
      <c r="M68" s="137">
        <v>391.95</v>
      </c>
      <c r="N68" s="15"/>
      <c r="O68" s="15"/>
      <c r="P68" s="15"/>
      <c r="Q68" s="17">
        <f>SUM(E68,F68,G68,H68,I68,J68,K68,L68,M68,N68,O68,P68)</f>
        <v>997.74</v>
      </c>
      <c r="R68" s="14" t="e">
        <f>SUM(#REF!,#REF!,#REF!,#REF!,#REF!,#REF!,#REF!,#REF!,#REF!,#REF!,#REF!)</f>
        <v>#REF!</v>
      </c>
      <c r="S68" s="18" t="e">
        <f t="shared" si="1"/>
        <v>#REF!</v>
      </c>
      <c r="T68" s="19"/>
      <c r="U68" s="20"/>
      <c r="V68" s="20"/>
      <c r="W68" s="21"/>
      <c r="X68" s="21"/>
      <c r="Y68" s="21"/>
      <c r="Z68" s="21"/>
      <c r="AA68" s="21"/>
      <c r="AB68" s="21"/>
      <c r="AC68" s="21"/>
      <c r="AD68" s="21"/>
      <c r="AE68" s="21"/>
      <c r="AF68" s="21"/>
    </row>
    <row r="69" spans="1:32" s="22" customFormat="1" outlineLevel="1" x14ac:dyDescent="0.2">
      <c r="A69" s="9" t="s">
        <v>61</v>
      </c>
      <c r="B69" s="10"/>
      <c r="C69" s="11"/>
      <c r="D69" s="12"/>
      <c r="E69" s="13"/>
      <c r="F69" s="13"/>
      <c r="G69" s="13"/>
      <c r="H69" s="13"/>
      <c r="I69" s="15"/>
      <c r="J69" s="15"/>
      <c r="K69" s="15"/>
      <c r="L69" s="15"/>
      <c r="M69" s="15"/>
      <c r="N69" s="15"/>
      <c r="O69" s="15"/>
      <c r="P69" s="15"/>
      <c r="Q69" s="17">
        <f>SUM(E69,F69,G69,H69,I69,J69,K69,L69,M69,N69,O69,P69)</f>
        <v>0</v>
      </c>
      <c r="R69" s="14" t="e">
        <f>SUM(#REF!,#REF!,#REF!,#REF!,#REF!,#REF!,#REF!,#REF!,#REF!,#REF!,#REF!)</f>
        <v>#REF!</v>
      </c>
      <c r="S69" s="18" t="e">
        <f t="shared" si="1"/>
        <v>#REF!</v>
      </c>
      <c r="T69" s="19"/>
      <c r="U69" s="20"/>
      <c r="V69" s="20"/>
      <c r="W69" s="21"/>
      <c r="X69" s="21"/>
      <c r="Y69" s="21"/>
      <c r="Z69" s="21"/>
      <c r="AA69" s="21"/>
      <c r="AB69" s="21"/>
      <c r="AC69" s="21"/>
      <c r="AD69" s="21"/>
      <c r="AE69" s="21"/>
      <c r="AF69" s="21"/>
    </row>
    <row r="70" spans="1:32" s="22" customFormat="1" outlineLevel="1" x14ac:dyDescent="0.2">
      <c r="A70" s="9" t="s">
        <v>62</v>
      </c>
      <c r="B70" s="10"/>
      <c r="C70" s="11"/>
      <c r="D70" s="12"/>
      <c r="E70" s="13"/>
      <c r="F70" s="96">
        <v>76.400000000000006</v>
      </c>
      <c r="G70" s="13"/>
      <c r="H70" s="13"/>
      <c r="I70" s="15"/>
      <c r="J70" s="120">
        <v>76.400000000000006</v>
      </c>
      <c r="K70" s="120">
        <v>83.97</v>
      </c>
      <c r="L70" s="15"/>
      <c r="M70" s="15"/>
      <c r="N70" s="15"/>
      <c r="O70" s="15"/>
      <c r="P70" s="15"/>
      <c r="Q70" s="17"/>
      <c r="R70" s="14"/>
      <c r="S70" s="18"/>
      <c r="T70" s="19"/>
      <c r="U70" s="20"/>
      <c r="V70" s="20"/>
      <c r="W70" s="21"/>
      <c r="X70" s="21"/>
      <c r="Y70" s="21"/>
      <c r="Z70" s="21"/>
      <c r="AA70" s="21"/>
      <c r="AB70" s="21"/>
      <c r="AC70" s="21"/>
      <c r="AD70" s="21"/>
      <c r="AE70" s="21"/>
      <c r="AF70" s="21"/>
    </row>
    <row r="71" spans="1:32" s="22" customFormat="1" outlineLevel="1" x14ac:dyDescent="0.2">
      <c r="A71" s="9" t="s">
        <v>63</v>
      </c>
      <c r="B71" s="10"/>
      <c r="C71" s="11"/>
      <c r="D71" s="95">
        <f>1845.3+2069.77+6729.62+1940.42</f>
        <v>12585.109999999999</v>
      </c>
      <c r="E71" s="96">
        <f>1660.77+1291.71</f>
        <v>2952.48</v>
      </c>
      <c r="F71" s="136">
        <f>1476.24</f>
        <v>1476.24</v>
      </c>
      <c r="G71" s="136">
        <v>1331.65</v>
      </c>
      <c r="H71" s="136">
        <v>1556.12</v>
      </c>
      <c r="I71" s="137">
        <v>738.12</v>
      </c>
      <c r="J71" s="137">
        <v>922.65</v>
      </c>
      <c r="K71" s="137">
        <v>810.56</v>
      </c>
      <c r="L71" s="137">
        <v>2547.36</v>
      </c>
      <c r="M71" s="137">
        <v>1259.68</v>
      </c>
      <c r="N71" s="137">
        <v>810.56</v>
      </c>
      <c r="O71" s="15"/>
      <c r="P71" s="15"/>
      <c r="Q71" s="17">
        <f>SUM(E71,F71,G71,H71,I71,J71,K71,L71,M71,N71,O71,P71)</f>
        <v>14405.42</v>
      </c>
      <c r="R71" s="14" t="e">
        <f>SUM(#REF!,#REF!,#REF!,#REF!,#REF!,#REF!,#REF!,#REF!,#REF!,#REF!,#REF!)</f>
        <v>#REF!</v>
      </c>
      <c r="S71" s="18" t="e">
        <f t="shared" si="1"/>
        <v>#REF!</v>
      </c>
      <c r="T71" s="19"/>
      <c r="U71" s="20"/>
      <c r="V71" s="20"/>
      <c r="W71" s="21"/>
      <c r="X71" s="21"/>
      <c r="Y71" s="21"/>
      <c r="Z71" s="21"/>
      <c r="AA71" s="21"/>
      <c r="AB71" s="21"/>
      <c r="AC71" s="21"/>
      <c r="AD71" s="21"/>
      <c r="AE71" s="21"/>
      <c r="AF71" s="21"/>
    </row>
    <row r="72" spans="1:32" s="22" customFormat="1" outlineLevel="1" x14ac:dyDescent="0.2">
      <c r="A72" s="9" t="s">
        <v>64</v>
      </c>
      <c r="B72" s="10"/>
      <c r="C72" s="11"/>
      <c r="D72" s="12"/>
      <c r="E72" s="96">
        <f>5607.42+6920.37</f>
        <v>12527.79</v>
      </c>
      <c r="F72" s="96">
        <v>6131.13</v>
      </c>
      <c r="G72" s="96">
        <v>9631.5499999999993</v>
      </c>
      <c r="H72" s="119">
        <v>6914.78</v>
      </c>
      <c r="I72" s="120">
        <v>3526.91</v>
      </c>
      <c r="J72" s="120">
        <v>4473.88</v>
      </c>
      <c r="K72" s="120">
        <v>4843.7</v>
      </c>
      <c r="L72" s="120">
        <v>7852.46</v>
      </c>
      <c r="M72" s="120">
        <v>2941.41</v>
      </c>
      <c r="N72" s="137">
        <v>3972.16</v>
      </c>
      <c r="O72" s="137">
        <v>3129.36</v>
      </c>
      <c r="P72" s="15"/>
      <c r="Q72" s="17">
        <f>SUM(E72,F72,G72,H72,I72,J72,K72,L72,M72,N72,O72,P72)</f>
        <v>65945.13</v>
      </c>
      <c r="R72" s="14" t="e">
        <f>SUM(#REF!,#REF!,#REF!,#REF!,#REF!,#REF!,#REF!,#REF!,#REF!,#REF!,#REF!)</f>
        <v>#REF!</v>
      </c>
      <c r="S72" s="18" t="e">
        <f t="shared" si="1"/>
        <v>#REF!</v>
      </c>
      <c r="T72" s="19"/>
      <c r="U72" s="20"/>
      <c r="V72" s="20"/>
      <c r="W72" s="21"/>
      <c r="X72" s="21"/>
      <c r="Y72" s="21"/>
      <c r="Z72" s="21"/>
      <c r="AA72" s="21"/>
      <c r="AB72" s="21"/>
      <c r="AC72" s="21"/>
      <c r="AD72" s="21"/>
      <c r="AE72" s="21"/>
      <c r="AF72" s="21"/>
    </row>
    <row r="73" spans="1:32" s="22" customFormat="1" outlineLevel="1" x14ac:dyDescent="0.2">
      <c r="A73" s="9" t="s">
        <v>136</v>
      </c>
      <c r="B73" s="10"/>
      <c r="C73" s="11"/>
      <c r="D73" s="12"/>
      <c r="E73" s="13"/>
      <c r="F73" s="13"/>
      <c r="G73" s="13"/>
      <c r="H73" s="13"/>
      <c r="I73" s="15"/>
      <c r="J73" s="15"/>
      <c r="K73" s="15"/>
      <c r="L73" s="15"/>
      <c r="M73" s="120">
        <v>1304.7</v>
      </c>
      <c r="N73" s="120">
        <v>83.97</v>
      </c>
      <c r="O73" s="15"/>
      <c r="P73" s="15"/>
      <c r="Q73" s="17"/>
      <c r="R73" s="14"/>
      <c r="S73" s="18"/>
      <c r="T73" s="19"/>
      <c r="U73" s="20"/>
      <c r="V73" s="20"/>
      <c r="W73" s="21"/>
      <c r="X73" s="21"/>
      <c r="Y73" s="21"/>
      <c r="Z73" s="21"/>
      <c r="AA73" s="21"/>
      <c r="AB73" s="21"/>
      <c r="AC73" s="21"/>
      <c r="AD73" s="21"/>
      <c r="AE73" s="21"/>
      <c r="AF73" s="21"/>
    </row>
    <row r="74" spans="1:32" s="22" customFormat="1" outlineLevel="1" x14ac:dyDescent="0.2">
      <c r="A74" s="9" t="s">
        <v>65</v>
      </c>
      <c r="B74" s="10"/>
      <c r="C74" s="11"/>
      <c r="D74" s="12"/>
      <c r="E74" s="119">
        <v>2898.09</v>
      </c>
      <c r="F74" s="119">
        <v>7119.64</v>
      </c>
      <c r="G74" s="119">
        <v>5696.14</v>
      </c>
      <c r="H74" s="119">
        <v>7846.84</v>
      </c>
      <c r="I74" s="120">
        <v>1141.3800000000001</v>
      </c>
      <c r="J74" s="120">
        <v>2571.6</v>
      </c>
      <c r="K74" s="120">
        <v>13771.62</v>
      </c>
      <c r="L74" s="120">
        <v>4884.93</v>
      </c>
      <c r="M74" s="120">
        <v>2876.15</v>
      </c>
      <c r="N74" s="120">
        <v>5153.6499999999996</v>
      </c>
      <c r="O74" s="120">
        <v>4109.88</v>
      </c>
      <c r="P74" s="120">
        <v>5610.08</v>
      </c>
      <c r="Q74" s="17">
        <f>SUM(E74,F74,G74,H74,I74,J74,K74,L74,M74,N74,O74,P74)</f>
        <v>63680</v>
      </c>
      <c r="R74" s="14" t="e">
        <f>SUM(#REF!,#REF!,#REF!,#REF!,#REF!,#REF!,#REF!,#REF!,#REF!,#REF!,#REF!)</f>
        <v>#REF!</v>
      </c>
      <c r="S74" s="18" t="e">
        <f t="shared" si="1"/>
        <v>#REF!</v>
      </c>
      <c r="T74" s="19"/>
      <c r="U74" s="20"/>
      <c r="V74" s="20"/>
      <c r="W74" s="21"/>
      <c r="X74" s="21"/>
      <c r="Y74" s="21"/>
      <c r="Z74" s="21"/>
      <c r="AA74" s="21"/>
      <c r="AB74" s="21"/>
      <c r="AC74" s="21"/>
      <c r="AD74" s="21"/>
      <c r="AE74" s="21"/>
      <c r="AF74" s="21"/>
    </row>
    <row r="75" spans="1:32" s="22" customFormat="1" outlineLevel="1" x14ac:dyDescent="0.2">
      <c r="A75" s="9" t="s">
        <v>66</v>
      </c>
      <c r="B75" s="10"/>
      <c r="C75" s="11"/>
      <c r="D75" s="12"/>
      <c r="E75" s="13"/>
      <c r="F75" s="13"/>
      <c r="G75" s="13"/>
      <c r="H75" s="13"/>
      <c r="I75" s="15"/>
      <c r="J75" s="15"/>
      <c r="K75" s="15"/>
      <c r="L75" s="15"/>
      <c r="M75" s="15"/>
      <c r="N75" s="15"/>
      <c r="O75" s="15"/>
      <c r="P75" s="15"/>
      <c r="Q75" s="17">
        <f>SUM(E75,F75,G75,H75,I75,J75,K75,L75,M75,N75,O75,P75)</f>
        <v>0</v>
      </c>
      <c r="R75" s="14" t="e">
        <f>SUM(#REF!,#REF!,#REF!,#REF!,#REF!,#REF!,#REF!,#REF!,#REF!,#REF!,#REF!)</f>
        <v>#REF!</v>
      </c>
      <c r="S75" s="18" t="e">
        <f t="shared" si="1"/>
        <v>#REF!</v>
      </c>
      <c r="T75" s="19"/>
      <c r="U75" s="20"/>
      <c r="V75" s="20"/>
      <c r="W75" s="21"/>
      <c r="X75" s="21"/>
      <c r="Y75" s="21"/>
      <c r="Z75" s="21"/>
      <c r="AA75" s="21"/>
      <c r="AB75" s="21"/>
      <c r="AC75" s="21"/>
      <c r="AD75" s="21"/>
      <c r="AE75" s="21"/>
      <c r="AF75" s="21"/>
    </row>
    <row r="76" spans="1:32" s="22" customFormat="1" outlineLevel="1" x14ac:dyDescent="0.2">
      <c r="A76" s="9" t="s">
        <v>129</v>
      </c>
      <c r="B76" s="10"/>
      <c r="C76" s="11"/>
      <c r="D76" s="12"/>
      <c r="E76" s="96">
        <v>1040.03</v>
      </c>
      <c r="F76" s="13"/>
      <c r="G76" s="13"/>
      <c r="H76" s="13"/>
      <c r="I76" s="15"/>
      <c r="J76" s="120">
        <v>2353.7800000000002</v>
      </c>
      <c r="K76" s="15"/>
      <c r="L76" s="15"/>
      <c r="M76" s="15"/>
      <c r="N76" s="15"/>
      <c r="O76" s="15"/>
      <c r="P76" s="15"/>
      <c r="Q76" s="17"/>
      <c r="R76" s="14"/>
      <c r="S76" s="18"/>
      <c r="T76" s="19"/>
      <c r="U76" s="20"/>
      <c r="V76" s="20"/>
      <c r="W76" s="21"/>
      <c r="X76" s="21"/>
      <c r="Y76" s="21"/>
      <c r="Z76" s="21"/>
      <c r="AA76" s="21"/>
      <c r="AB76" s="21"/>
      <c r="AC76" s="21"/>
      <c r="AD76" s="21"/>
      <c r="AE76" s="21"/>
      <c r="AF76" s="21"/>
    </row>
    <row r="77" spans="1:32" s="22" customFormat="1" outlineLevel="1" x14ac:dyDescent="0.2">
      <c r="A77" s="9" t="s">
        <v>114</v>
      </c>
      <c r="B77" s="10"/>
      <c r="C77" s="11"/>
      <c r="D77" s="12"/>
      <c r="E77" s="13"/>
      <c r="F77" s="119">
        <v>305.60000000000002</v>
      </c>
      <c r="G77" s="13"/>
      <c r="H77" s="13"/>
      <c r="I77" s="15"/>
      <c r="J77" s="15"/>
      <c r="K77" s="15"/>
      <c r="L77" s="15"/>
      <c r="M77" s="15"/>
      <c r="N77" s="15"/>
      <c r="O77" s="15"/>
      <c r="P77" s="15"/>
      <c r="Q77" s="17"/>
      <c r="R77" s="14"/>
      <c r="S77" s="18"/>
      <c r="T77" s="19"/>
      <c r="U77" s="20"/>
      <c r="V77" s="20"/>
      <c r="W77" s="21"/>
      <c r="X77" s="21"/>
      <c r="Y77" s="21"/>
      <c r="Z77" s="21"/>
      <c r="AA77" s="21"/>
      <c r="AB77" s="21"/>
      <c r="AC77" s="21"/>
      <c r="AD77" s="21"/>
      <c r="AE77" s="21"/>
      <c r="AF77" s="21"/>
    </row>
    <row r="78" spans="1:32" s="22" customFormat="1" outlineLevel="1" x14ac:dyDescent="0.2">
      <c r="A78" s="9" t="s">
        <v>67</v>
      </c>
      <c r="B78" s="10"/>
      <c r="C78" s="11"/>
      <c r="D78" s="12"/>
      <c r="E78" s="13"/>
      <c r="F78" s="13"/>
      <c r="G78" s="96">
        <v>76.400000000000006</v>
      </c>
      <c r="H78" s="13"/>
      <c r="I78" s="15"/>
      <c r="J78" s="15"/>
      <c r="K78" s="15"/>
      <c r="L78" s="15"/>
      <c r="M78" s="137">
        <v>83.97</v>
      </c>
      <c r="N78" s="137">
        <v>83.97</v>
      </c>
      <c r="O78" s="15"/>
      <c r="P78" s="15"/>
      <c r="Q78" s="17"/>
      <c r="R78" s="14"/>
      <c r="S78" s="18"/>
      <c r="T78" s="19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</row>
    <row r="79" spans="1:32" s="22" customFormat="1" outlineLevel="1" x14ac:dyDescent="0.2">
      <c r="A79" s="9" t="s">
        <v>141</v>
      </c>
      <c r="B79" s="10"/>
      <c r="C79" s="11"/>
      <c r="D79" s="12"/>
      <c r="E79" s="13"/>
      <c r="F79" s="13"/>
      <c r="G79" s="96"/>
      <c r="H79" s="13"/>
      <c r="I79" s="15"/>
      <c r="J79" s="15"/>
      <c r="K79" s="15"/>
      <c r="L79" s="15"/>
      <c r="M79" s="15"/>
      <c r="N79" s="15"/>
      <c r="O79" s="15"/>
      <c r="P79" s="120">
        <v>722.1</v>
      </c>
      <c r="Q79" s="17"/>
      <c r="R79" s="14"/>
      <c r="S79" s="18"/>
      <c r="T79" s="19"/>
      <c r="U79" s="20"/>
      <c r="V79" s="20"/>
      <c r="W79" s="21"/>
      <c r="X79" s="21"/>
      <c r="Y79" s="21"/>
      <c r="Z79" s="21"/>
      <c r="AA79" s="21"/>
      <c r="AB79" s="21"/>
      <c r="AC79" s="21"/>
      <c r="AD79" s="21"/>
      <c r="AE79" s="21"/>
      <c r="AF79" s="21"/>
    </row>
    <row r="80" spans="1:32" s="22" customFormat="1" outlineLevel="1" x14ac:dyDescent="0.2">
      <c r="A80" s="9" t="s">
        <v>125</v>
      </c>
      <c r="B80" s="10"/>
      <c r="C80" s="11"/>
      <c r="D80" s="12"/>
      <c r="E80" s="13"/>
      <c r="F80" s="13"/>
      <c r="G80" s="13"/>
      <c r="H80" s="96">
        <v>1386.13</v>
      </c>
      <c r="I80" s="120">
        <v>3317.21</v>
      </c>
      <c r="J80" s="126">
        <v>750.12</v>
      </c>
      <c r="K80" s="126">
        <v>517.86</v>
      </c>
      <c r="L80" s="120">
        <v>1369.35</v>
      </c>
      <c r="M80" s="15"/>
      <c r="N80" s="15"/>
      <c r="O80" s="15"/>
      <c r="P80" s="15"/>
      <c r="Q80" s="17">
        <f>SUM(E80,F80,G80,H80,I80,J80,K80,L80,M80,N80,O80,P80)</f>
        <v>7340.67</v>
      </c>
      <c r="R80" s="14" t="e">
        <f>SUM(#REF!,#REF!,#REF!,#REF!,#REF!,#REF!,#REF!,#REF!,#REF!,#REF!,#REF!)</f>
        <v>#REF!</v>
      </c>
      <c r="S80" s="18" t="e">
        <f t="shared" ref="S80" si="11">SUM(Q80-R80)/2832840</f>
        <v>#REF!</v>
      </c>
      <c r="T80" s="19"/>
      <c r="U80" s="20"/>
      <c r="V80" s="20"/>
      <c r="W80" s="21"/>
      <c r="X80" s="21"/>
      <c r="Y80" s="21"/>
      <c r="Z80" s="21"/>
      <c r="AA80" s="21"/>
      <c r="AB80" s="21"/>
      <c r="AC80" s="21"/>
      <c r="AD80" s="21"/>
      <c r="AE80" s="21"/>
      <c r="AF80" s="21"/>
    </row>
    <row r="81" spans="1:32" s="22" customFormat="1" outlineLevel="1" x14ac:dyDescent="0.2">
      <c r="A81" s="9" t="s">
        <v>68</v>
      </c>
      <c r="B81" s="10"/>
      <c r="C81" s="11"/>
      <c r="D81" s="12"/>
      <c r="E81" s="13"/>
      <c r="F81" s="13"/>
      <c r="G81" s="13"/>
      <c r="H81" s="13"/>
      <c r="I81" s="15"/>
      <c r="J81" s="15"/>
      <c r="K81" s="15"/>
      <c r="L81" s="15"/>
      <c r="M81" s="15"/>
      <c r="N81" s="15"/>
      <c r="O81" s="15"/>
      <c r="P81" s="15"/>
      <c r="Q81" s="17">
        <f>SUM(E81,F81,G81,H81,I81,J81,K81,L81,M81,N81,O81,P81)</f>
        <v>0</v>
      </c>
      <c r="R81" s="14" t="e">
        <f>SUM(#REF!,#REF!,#REF!,#REF!,#REF!,#REF!,#REF!,#REF!,#REF!,#REF!,#REF!)</f>
        <v>#REF!</v>
      </c>
      <c r="S81" s="18" t="e">
        <f t="shared" si="1"/>
        <v>#REF!</v>
      </c>
      <c r="T81" s="19"/>
      <c r="U81" s="20"/>
      <c r="V81" s="20"/>
      <c r="W81" s="21"/>
      <c r="X81" s="21"/>
      <c r="Y81" s="21"/>
      <c r="Z81" s="21"/>
      <c r="AA81" s="21"/>
      <c r="AB81" s="21"/>
      <c r="AC81" s="21"/>
      <c r="AD81" s="21"/>
      <c r="AE81" s="21"/>
      <c r="AF81" s="21"/>
    </row>
    <row r="82" spans="1:32" s="22" customFormat="1" outlineLevel="1" x14ac:dyDescent="0.2">
      <c r="A82" s="9" t="s">
        <v>95</v>
      </c>
      <c r="B82" s="10"/>
      <c r="C82" s="11"/>
      <c r="D82" s="12"/>
      <c r="E82" s="13"/>
      <c r="F82" s="13"/>
      <c r="G82" s="13"/>
      <c r="H82" s="13"/>
      <c r="I82" s="15"/>
      <c r="J82" s="15"/>
      <c r="K82" s="15"/>
      <c r="L82" s="15"/>
      <c r="M82" s="15"/>
      <c r="N82" s="15"/>
      <c r="O82" s="15"/>
      <c r="P82" s="15"/>
      <c r="Q82" s="17"/>
      <c r="R82" s="14"/>
      <c r="S82" s="18"/>
      <c r="T82" s="19"/>
      <c r="U82" s="20"/>
      <c r="V82" s="20"/>
      <c r="W82" s="21"/>
      <c r="X82" s="21"/>
      <c r="Y82" s="21"/>
      <c r="Z82" s="21"/>
      <c r="AA82" s="21"/>
      <c r="AB82" s="21"/>
      <c r="AC82" s="21"/>
      <c r="AD82" s="21"/>
      <c r="AE82" s="21"/>
      <c r="AF82" s="21"/>
    </row>
    <row r="83" spans="1:32" s="22" customFormat="1" outlineLevel="1" x14ac:dyDescent="0.2">
      <c r="A83" s="9" t="s">
        <v>91</v>
      </c>
      <c r="B83" s="10"/>
      <c r="C83" s="11"/>
      <c r="D83" s="95">
        <f>29952.91+21811.59+12045.36+1263.64+34645.91</f>
        <v>99719.41</v>
      </c>
      <c r="E83" s="96">
        <v>5534.84</v>
      </c>
      <c r="F83" s="96">
        <v>10897.93</v>
      </c>
      <c r="G83" s="96">
        <v>10974.33</v>
      </c>
      <c r="H83" s="119">
        <v>17166.43</v>
      </c>
      <c r="I83" s="120">
        <v>6539.34</v>
      </c>
      <c r="J83" s="120">
        <v>3451.71</v>
      </c>
      <c r="K83" s="120">
        <v>4752.6899999999996</v>
      </c>
      <c r="L83" s="15"/>
      <c r="M83" s="126">
        <v>29212.77</v>
      </c>
      <c r="N83" s="126">
        <v>83.97</v>
      </c>
      <c r="O83" s="15"/>
      <c r="P83" s="15"/>
      <c r="Q83" s="17"/>
      <c r="R83" s="14"/>
      <c r="S83" s="18"/>
      <c r="T83" s="19"/>
      <c r="U83" s="20"/>
      <c r="V83" s="20"/>
      <c r="W83" s="21"/>
      <c r="X83" s="21"/>
      <c r="Y83" s="21"/>
      <c r="Z83" s="21"/>
      <c r="AA83" s="21"/>
      <c r="AB83" s="21"/>
      <c r="AC83" s="21"/>
      <c r="AD83" s="21"/>
      <c r="AE83" s="21"/>
      <c r="AF83" s="21"/>
    </row>
    <row r="84" spans="1:32" s="22" customFormat="1" outlineLevel="1" x14ac:dyDescent="0.2">
      <c r="A84" s="9" t="s">
        <v>69</v>
      </c>
      <c r="B84" s="10"/>
      <c r="C84" s="11"/>
      <c r="D84" s="12"/>
      <c r="E84" s="13"/>
      <c r="F84" s="13"/>
      <c r="G84" s="13"/>
      <c r="H84" s="119">
        <v>3977.49</v>
      </c>
      <c r="I84" s="15"/>
      <c r="J84" s="15"/>
      <c r="K84" s="15"/>
      <c r="L84" s="15"/>
      <c r="M84" s="15"/>
      <c r="N84" s="15"/>
      <c r="O84" s="15"/>
      <c r="P84" s="15"/>
      <c r="Q84" s="17">
        <f>SUM(E84,F84,G84,H84,I84,J84,K84,L84,M84,N84,O84,P84)</f>
        <v>3977.49</v>
      </c>
      <c r="R84" s="14" t="e">
        <f>SUM(#REF!,#REF!,#REF!,#REF!,#REF!,#REF!,#REF!,#REF!,#REF!,#REF!,#REF!)</f>
        <v>#REF!</v>
      </c>
      <c r="S84" s="18" t="e">
        <f t="shared" si="1"/>
        <v>#REF!</v>
      </c>
      <c r="T84" s="19"/>
      <c r="U84" s="20"/>
      <c r="V84" s="20"/>
      <c r="W84" s="21"/>
      <c r="X84" s="21"/>
      <c r="Y84" s="21"/>
      <c r="Z84" s="21"/>
      <c r="AA84" s="21"/>
      <c r="AB84" s="21"/>
      <c r="AC84" s="21"/>
      <c r="AD84" s="21"/>
      <c r="AE84" s="21"/>
      <c r="AF84" s="21"/>
    </row>
    <row r="85" spans="1:32" s="22" customFormat="1" outlineLevel="1" x14ac:dyDescent="0.2">
      <c r="A85" s="9" t="s">
        <v>94</v>
      </c>
      <c r="B85" s="10"/>
      <c r="C85" s="11"/>
      <c r="D85" s="12"/>
      <c r="E85" s="13"/>
      <c r="F85" s="13"/>
      <c r="G85" s="13"/>
      <c r="H85" s="13"/>
      <c r="I85" s="15"/>
      <c r="J85" s="15"/>
      <c r="K85" s="15"/>
      <c r="L85" s="15"/>
      <c r="M85" s="15"/>
      <c r="N85" s="15"/>
      <c r="O85" s="15"/>
      <c r="P85" s="15"/>
      <c r="Q85" s="17"/>
      <c r="R85" s="14"/>
      <c r="S85" s="18"/>
      <c r="T85" s="19"/>
      <c r="U85" s="20"/>
      <c r="V85" s="20"/>
      <c r="W85" s="21"/>
      <c r="X85" s="21"/>
      <c r="Y85" s="21"/>
      <c r="Z85" s="21"/>
      <c r="AA85" s="21"/>
      <c r="AB85" s="21"/>
      <c r="AC85" s="21"/>
      <c r="AD85" s="21"/>
      <c r="AE85" s="21"/>
      <c r="AF85" s="21"/>
    </row>
    <row r="86" spans="1:32" s="22" customFormat="1" outlineLevel="1" x14ac:dyDescent="0.2">
      <c r="A86" s="9" t="s">
        <v>70</v>
      </c>
      <c r="B86" s="10"/>
      <c r="C86" s="11"/>
      <c r="D86" s="12"/>
      <c r="E86" s="13"/>
      <c r="F86" s="13"/>
      <c r="G86" s="13"/>
      <c r="H86" s="119">
        <v>76.400000000000006</v>
      </c>
      <c r="I86" s="15"/>
      <c r="J86" s="15"/>
      <c r="K86" s="15"/>
      <c r="L86" s="15"/>
      <c r="M86" s="15"/>
      <c r="N86" s="137">
        <v>167.94</v>
      </c>
      <c r="O86" s="15"/>
      <c r="P86" s="15"/>
      <c r="Q86" s="17">
        <f>SUM(E86,F86,G86,H86,I86,J86,K86,L86,M86,N86,O86,P86)</f>
        <v>244.34</v>
      </c>
      <c r="R86" s="14" t="e">
        <f>SUM(#REF!,#REF!,#REF!,#REF!,#REF!,#REF!,#REF!,#REF!,#REF!,#REF!,#REF!)</f>
        <v>#REF!</v>
      </c>
      <c r="S86" s="18" t="e">
        <f t="shared" si="1"/>
        <v>#REF!</v>
      </c>
      <c r="T86" s="19"/>
      <c r="U86" s="20"/>
      <c r="V86" s="20"/>
      <c r="W86" s="21"/>
      <c r="X86" s="21"/>
      <c r="Y86" s="21"/>
      <c r="Z86" s="21"/>
      <c r="AA86" s="21"/>
      <c r="AB86" s="21"/>
      <c r="AC86" s="21"/>
      <c r="AD86" s="21"/>
      <c r="AE86" s="21"/>
      <c r="AF86" s="21"/>
    </row>
    <row r="87" spans="1:32" s="22" customFormat="1" outlineLevel="1" x14ac:dyDescent="0.2">
      <c r="A87" s="9" t="s">
        <v>71</v>
      </c>
      <c r="B87" s="10"/>
      <c r="C87" s="11"/>
      <c r="D87" s="95">
        <v>5880.02</v>
      </c>
      <c r="E87" s="96">
        <v>3463.2</v>
      </c>
      <c r="F87" s="13"/>
      <c r="G87" s="13"/>
      <c r="H87" s="96">
        <v>3593.53</v>
      </c>
      <c r="I87" s="15"/>
      <c r="J87" s="120">
        <v>2742.54</v>
      </c>
      <c r="K87" s="120">
        <v>739.24</v>
      </c>
      <c r="L87" s="15"/>
      <c r="M87" s="120">
        <v>2460.2600000000002</v>
      </c>
      <c r="N87" s="120">
        <v>1079.6300000000001</v>
      </c>
      <c r="O87" s="120">
        <v>1257.28</v>
      </c>
      <c r="P87" s="15"/>
      <c r="Q87" s="17">
        <f>SUM(E87,F87,G87,H87,I87,J87,K87,L87,M87,N87,O87,P87)</f>
        <v>15335.680000000002</v>
      </c>
      <c r="R87" s="14"/>
      <c r="S87" s="18">
        <f t="shared" si="1"/>
        <v>5.4135355332457892E-3</v>
      </c>
      <c r="T87" s="19"/>
      <c r="U87" s="20"/>
      <c r="V87" s="20"/>
      <c r="W87" s="21"/>
      <c r="X87" s="21"/>
      <c r="Y87" s="21"/>
      <c r="Z87" s="21"/>
      <c r="AA87" s="21"/>
      <c r="AB87" s="21"/>
      <c r="AC87" s="21"/>
      <c r="AD87" s="21"/>
      <c r="AE87" s="21"/>
      <c r="AF87" s="21"/>
    </row>
    <row r="88" spans="1:32" s="22" customFormat="1" outlineLevel="1" x14ac:dyDescent="0.2">
      <c r="A88" s="9" t="s">
        <v>72</v>
      </c>
      <c r="B88" s="10"/>
      <c r="C88" s="11"/>
      <c r="D88" s="12"/>
      <c r="E88" s="13"/>
      <c r="F88" s="13"/>
      <c r="G88" s="96">
        <v>229.2</v>
      </c>
      <c r="H88" s="96">
        <v>687.39</v>
      </c>
      <c r="I88" s="15"/>
      <c r="J88" s="15"/>
      <c r="K88" s="120">
        <v>4646.42</v>
      </c>
      <c r="L88" s="120">
        <v>5620.14</v>
      </c>
      <c r="M88" s="15"/>
      <c r="N88" s="15"/>
      <c r="O88" s="15"/>
      <c r="P88" s="120">
        <v>2220.3000000000002</v>
      </c>
      <c r="Q88" s="17">
        <f>SUM(E88,F88,G88,H88,I88,J88,K88,L88,M88,N88,O88,P88)</f>
        <v>13403.45</v>
      </c>
      <c r="R88" s="14" t="e">
        <f>SUM(#REF!,#REF!,#REF!,#REF!,#REF!,#REF!,#REF!,#REF!,#REF!,#REF!,#REF!)</f>
        <v>#REF!</v>
      </c>
      <c r="S88" s="18" t="e">
        <f t="shared" si="1"/>
        <v>#REF!</v>
      </c>
      <c r="T88" s="19"/>
      <c r="U88" s="20"/>
      <c r="V88" s="20"/>
      <c r="W88" s="21"/>
      <c r="X88" s="21"/>
      <c r="Y88" s="21"/>
      <c r="Z88" s="21"/>
      <c r="AA88" s="21"/>
      <c r="AB88" s="21"/>
      <c r="AC88" s="21"/>
      <c r="AD88" s="21"/>
      <c r="AE88" s="21"/>
      <c r="AF88" s="21"/>
    </row>
    <row r="89" spans="1:32" s="22" customFormat="1" outlineLevel="1" x14ac:dyDescent="0.2">
      <c r="A89" s="9" t="s">
        <v>134</v>
      </c>
      <c r="B89" s="10"/>
      <c r="C89" s="11"/>
      <c r="D89" s="12"/>
      <c r="E89" s="13"/>
      <c r="F89" s="13"/>
      <c r="G89" s="13"/>
      <c r="H89" s="13"/>
      <c r="I89" s="15"/>
      <c r="J89" s="15"/>
      <c r="K89" s="15"/>
      <c r="L89" s="120">
        <v>1125.1099999999999</v>
      </c>
      <c r="M89" s="15"/>
      <c r="N89" s="137">
        <v>623.08000000000004</v>
      </c>
      <c r="O89" s="137">
        <v>454.35</v>
      </c>
      <c r="P89" s="137">
        <v>893.03</v>
      </c>
      <c r="Q89" s="17"/>
      <c r="R89" s="14"/>
      <c r="S89" s="18"/>
      <c r="T89" s="19"/>
      <c r="U89" s="20"/>
      <c r="V89" s="20"/>
      <c r="W89" s="21"/>
      <c r="X89" s="21"/>
      <c r="Y89" s="21"/>
      <c r="Z89" s="21"/>
      <c r="AA89" s="21"/>
      <c r="AB89" s="21"/>
      <c r="AC89" s="21"/>
      <c r="AD89" s="21"/>
      <c r="AE89" s="21"/>
      <c r="AF89" s="21"/>
    </row>
    <row r="90" spans="1:32" s="22" customFormat="1" outlineLevel="1" x14ac:dyDescent="0.2">
      <c r="A90" s="9" t="s">
        <v>130</v>
      </c>
      <c r="B90" s="10"/>
      <c r="C90" s="11"/>
      <c r="D90" s="12"/>
      <c r="E90" s="13"/>
      <c r="F90" s="13"/>
      <c r="G90" s="13"/>
      <c r="H90" s="13"/>
      <c r="I90" s="15"/>
      <c r="J90" s="120">
        <v>352.5</v>
      </c>
      <c r="K90" s="120">
        <v>394.28</v>
      </c>
      <c r="L90" s="15"/>
      <c r="M90" s="15"/>
      <c r="N90" s="15"/>
      <c r="O90" s="15"/>
      <c r="P90" s="15"/>
      <c r="Q90" s="17">
        <f>SUM(E90,F90,G90,H90,I90,J90,K90,L90,M90,N90,O90,P90)</f>
        <v>746.78</v>
      </c>
      <c r="R90" s="14"/>
      <c r="S90" s="18"/>
      <c r="T90" s="19"/>
      <c r="U90" s="20"/>
      <c r="V90" s="20"/>
      <c r="W90" s="21"/>
      <c r="X90" s="21"/>
      <c r="Y90" s="21"/>
      <c r="Z90" s="21"/>
      <c r="AA90" s="21"/>
      <c r="AB90" s="21"/>
      <c r="AC90" s="21"/>
      <c r="AD90" s="21"/>
      <c r="AE90" s="21"/>
      <c r="AF90" s="21"/>
    </row>
    <row r="91" spans="1:32" s="22" customFormat="1" outlineLevel="1" x14ac:dyDescent="0.2">
      <c r="A91" s="9" t="s">
        <v>73</v>
      </c>
      <c r="B91" s="10"/>
      <c r="C91" s="11"/>
      <c r="D91" s="12"/>
      <c r="E91" s="119">
        <v>9007.83</v>
      </c>
      <c r="F91" s="119">
        <v>9628.5300000000007</v>
      </c>
      <c r="G91" s="119">
        <v>13980.02</v>
      </c>
      <c r="H91" s="119">
        <v>5082.25</v>
      </c>
      <c r="I91" s="120">
        <v>10688.93</v>
      </c>
      <c r="J91" s="120">
        <v>15467.86</v>
      </c>
      <c r="K91" s="120">
        <v>14695.02</v>
      </c>
      <c r="L91" s="120">
        <v>9449.0300000000007</v>
      </c>
      <c r="M91" s="120">
        <v>5126.47</v>
      </c>
      <c r="N91" s="120">
        <v>11380.88</v>
      </c>
      <c r="O91" s="120">
        <v>9632.2999999999993</v>
      </c>
      <c r="P91" s="137">
        <v>14654.72</v>
      </c>
      <c r="Q91" s="17">
        <f>SUM(E91,F91,G91,H91,I91,J91,K91,L91,M91,N91,O91,P91)</f>
        <v>128793.84000000001</v>
      </c>
      <c r="R91" s="14" t="e">
        <f>SUM(#REF!,#REF!,#REF!,#REF!,#REF!,#REF!,#REF!,#REF!,#REF!,#REF!,#REF!)</f>
        <v>#REF!</v>
      </c>
      <c r="S91" s="18" t="e">
        <f t="shared" si="1"/>
        <v>#REF!</v>
      </c>
      <c r="T91" s="19"/>
      <c r="U91" s="20"/>
      <c r="V91" s="20"/>
      <c r="W91" s="21"/>
      <c r="X91" s="21"/>
      <c r="Y91" s="21"/>
      <c r="Z91" s="21"/>
      <c r="AA91" s="21"/>
      <c r="AB91" s="21"/>
      <c r="AC91" s="21"/>
      <c r="AD91" s="21"/>
      <c r="AE91" s="21"/>
      <c r="AF91" s="21"/>
    </row>
    <row r="92" spans="1:32" s="22" customFormat="1" outlineLevel="1" x14ac:dyDescent="0.2">
      <c r="A92" s="9" t="s">
        <v>120</v>
      </c>
      <c r="B92" s="10"/>
      <c r="C92" s="11"/>
      <c r="D92" s="12"/>
      <c r="E92" s="96">
        <v>3516.46</v>
      </c>
      <c r="F92" s="13"/>
      <c r="G92" s="13"/>
      <c r="H92" s="96">
        <v>4511.2</v>
      </c>
      <c r="I92" s="15"/>
      <c r="J92" s="15"/>
      <c r="K92" s="120">
        <v>3307.03</v>
      </c>
      <c r="L92" s="15"/>
      <c r="M92" s="120">
        <v>3804.75</v>
      </c>
      <c r="N92" s="15"/>
      <c r="O92" s="15"/>
      <c r="P92" s="137">
        <v>4573.95</v>
      </c>
      <c r="Q92" s="17"/>
      <c r="R92" s="14"/>
      <c r="S92" s="18"/>
      <c r="T92" s="19"/>
      <c r="U92" s="20"/>
      <c r="V92" s="20"/>
      <c r="W92" s="21"/>
      <c r="X92" s="21"/>
      <c r="Y92" s="21"/>
      <c r="Z92" s="21"/>
      <c r="AA92" s="21"/>
      <c r="AB92" s="21"/>
      <c r="AC92" s="21"/>
      <c r="AD92" s="21"/>
      <c r="AE92" s="21"/>
      <c r="AF92" s="21"/>
    </row>
    <row r="93" spans="1:32" s="22" customFormat="1" outlineLevel="1" x14ac:dyDescent="0.2">
      <c r="A93" s="9" t="s">
        <v>74</v>
      </c>
      <c r="B93" s="10"/>
      <c r="C93" s="11"/>
      <c r="D93" s="12"/>
      <c r="E93" s="13"/>
      <c r="F93" s="13"/>
      <c r="G93" s="13"/>
      <c r="H93" s="13"/>
      <c r="I93" s="15"/>
      <c r="J93" s="15"/>
      <c r="K93" s="15"/>
      <c r="L93" s="15"/>
      <c r="M93" s="15"/>
      <c r="N93" s="15"/>
      <c r="O93" s="15"/>
      <c r="P93" s="15"/>
      <c r="Q93" s="17">
        <f>SUM(E93,F93,G93,H93,I93,J93,K93,L93,M93,N93,O93,P93)</f>
        <v>0</v>
      </c>
      <c r="R93" s="14"/>
      <c r="S93" s="18">
        <f t="shared" si="1"/>
        <v>0</v>
      </c>
      <c r="T93" s="19"/>
      <c r="U93" s="20"/>
      <c r="V93" s="20"/>
      <c r="W93" s="21"/>
      <c r="X93" s="21"/>
      <c r="Y93" s="21"/>
      <c r="Z93" s="21"/>
      <c r="AA93" s="21"/>
      <c r="AB93" s="21"/>
      <c r="AC93" s="21"/>
      <c r="AD93" s="21"/>
      <c r="AE93" s="21"/>
      <c r="AF93" s="21"/>
    </row>
    <row r="94" spans="1:32" s="22" customFormat="1" outlineLevel="1" x14ac:dyDescent="0.2">
      <c r="A94" s="9" t="s">
        <v>75</v>
      </c>
      <c r="B94" s="10"/>
      <c r="C94" s="11"/>
      <c r="D94" s="12"/>
      <c r="E94" s="13"/>
      <c r="F94" s="119">
        <v>389.67</v>
      </c>
      <c r="G94" s="13"/>
      <c r="H94" s="13"/>
      <c r="I94" s="15"/>
      <c r="J94" s="15"/>
      <c r="K94" s="15"/>
      <c r="L94" s="15"/>
      <c r="M94" s="15"/>
      <c r="N94" s="15"/>
      <c r="O94" s="15"/>
      <c r="P94" s="15"/>
      <c r="Q94" s="17">
        <f>SUM(E94,F94,G94,H94,I94,J94,K94,L94,M94,N94,O94,P94)</f>
        <v>389.67</v>
      </c>
      <c r="R94" s="14" t="e">
        <f>SUM(#REF!,#REF!,#REF!,#REF!,#REF!,#REF!,#REF!,#REF!,#REF!,#REF!,#REF!)</f>
        <v>#REF!</v>
      </c>
      <c r="S94" s="18" t="e">
        <f t="shared" ref="S94:S105" si="12">SUM(Q94-R94)/2832840</f>
        <v>#REF!</v>
      </c>
      <c r="T94" s="19"/>
      <c r="U94" s="20"/>
      <c r="V94" s="20"/>
      <c r="W94" s="21"/>
      <c r="X94" s="21"/>
      <c r="Y94" s="21"/>
      <c r="Z94" s="21"/>
      <c r="AA94" s="21"/>
      <c r="AB94" s="21"/>
      <c r="AC94" s="21"/>
      <c r="AD94" s="21"/>
      <c r="AE94" s="21"/>
      <c r="AF94" s="21"/>
    </row>
    <row r="95" spans="1:32" s="22" customFormat="1" outlineLevel="1" x14ac:dyDescent="0.2">
      <c r="A95" s="9" t="s">
        <v>98</v>
      </c>
      <c r="B95" s="10"/>
      <c r="C95" s="11"/>
      <c r="D95" s="95">
        <f>8743.54+15539.38+15019.06+14052.48</f>
        <v>53354.459999999992</v>
      </c>
      <c r="E95" s="96">
        <v>15262.99</v>
      </c>
      <c r="F95" s="96">
        <v>11194.43</v>
      </c>
      <c r="G95" s="96">
        <v>16750.55</v>
      </c>
      <c r="H95" s="119">
        <v>18936.62</v>
      </c>
      <c r="I95" s="120">
        <v>10720.9</v>
      </c>
      <c r="J95" s="129">
        <v>20467.34</v>
      </c>
      <c r="K95" s="137">
        <v>14727.36</v>
      </c>
      <c r="L95" s="129">
        <v>12724.4</v>
      </c>
      <c r="M95" s="129">
        <v>8581.19</v>
      </c>
      <c r="N95" s="129">
        <v>7822.13</v>
      </c>
      <c r="O95" s="129">
        <v>16346.7</v>
      </c>
      <c r="P95" s="129">
        <v>15128.05</v>
      </c>
      <c r="Q95" s="17">
        <f>SUM(E95,F95,G95,H95,I95,J95,K95,L95,M95,N95,O95,P95)</f>
        <v>168662.65999999997</v>
      </c>
      <c r="R95" s="14" t="e">
        <f>SUM(#REF!,#REF!,#REF!,#REF!,#REF!,#REF!,#REF!,#REF!,#REF!,#REF!,#REF!)</f>
        <v>#REF!</v>
      </c>
      <c r="S95" s="18" t="e">
        <f t="shared" si="12"/>
        <v>#REF!</v>
      </c>
      <c r="T95" s="19"/>
      <c r="U95" s="20"/>
      <c r="V95" s="20"/>
      <c r="W95" s="21"/>
      <c r="X95" s="21"/>
      <c r="Y95" s="21"/>
      <c r="Z95" s="21"/>
      <c r="AA95" s="21"/>
      <c r="AB95" s="21"/>
      <c r="AC95" s="21"/>
      <c r="AD95" s="21"/>
      <c r="AE95" s="21"/>
      <c r="AF95" s="21"/>
    </row>
    <row r="96" spans="1:32" s="22" customFormat="1" outlineLevel="1" x14ac:dyDescent="0.2">
      <c r="A96" s="9" t="s">
        <v>89</v>
      </c>
      <c r="B96" s="10"/>
      <c r="C96" s="11"/>
      <c r="D96" s="12"/>
      <c r="E96" s="13"/>
      <c r="F96" s="13"/>
      <c r="G96" s="13"/>
      <c r="H96" s="13"/>
      <c r="I96" s="15"/>
      <c r="J96" s="15"/>
      <c r="K96" s="15"/>
      <c r="L96" s="15"/>
      <c r="M96" s="15"/>
      <c r="N96" s="15"/>
      <c r="O96" s="15"/>
      <c r="P96" s="15"/>
      <c r="Q96" s="17"/>
      <c r="R96" s="14"/>
      <c r="S96" s="18"/>
      <c r="T96" s="19"/>
      <c r="U96" s="20"/>
      <c r="V96" s="20"/>
      <c r="W96" s="21"/>
      <c r="X96" s="21"/>
      <c r="Y96" s="21"/>
      <c r="Z96" s="21"/>
      <c r="AA96" s="21"/>
      <c r="AB96" s="21"/>
      <c r="AC96" s="21"/>
      <c r="AD96" s="21"/>
      <c r="AE96" s="21"/>
      <c r="AF96" s="21"/>
    </row>
    <row r="97" spans="1:32" s="22" customFormat="1" outlineLevel="1" x14ac:dyDescent="0.2">
      <c r="A97" s="9" t="s">
        <v>140</v>
      </c>
      <c r="B97" s="10"/>
      <c r="C97" s="11"/>
      <c r="D97" s="12"/>
      <c r="E97" s="13"/>
      <c r="F97" s="13"/>
      <c r="G97" s="13"/>
      <c r="H97" s="13"/>
      <c r="I97" s="15"/>
      <c r="J97" s="15"/>
      <c r="K97" s="15"/>
      <c r="L97" s="15"/>
      <c r="M97" s="15"/>
      <c r="N97" s="15"/>
      <c r="O97" s="15"/>
      <c r="P97" s="130">
        <v>2338.91</v>
      </c>
      <c r="Q97" s="17"/>
      <c r="R97" s="14"/>
      <c r="S97" s="18"/>
      <c r="T97" s="19"/>
      <c r="U97" s="20"/>
      <c r="V97" s="20"/>
      <c r="W97" s="21"/>
      <c r="X97" s="21"/>
      <c r="Y97" s="21"/>
      <c r="Z97" s="21"/>
      <c r="AA97" s="21"/>
      <c r="AB97" s="21"/>
      <c r="AC97" s="21"/>
      <c r="AD97" s="21"/>
      <c r="AE97" s="21"/>
      <c r="AF97" s="21"/>
    </row>
    <row r="98" spans="1:32" s="22" customFormat="1" outlineLevel="1" x14ac:dyDescent="0.2">
      <c r="A98" s="9" t="s">
        <v>111</v>
      </c>
      <c r="B98" s="10"/>
      <c r="C98" s="11"/>
      <c r="D98" s="12"/>
      <c r="E98" s="13"/>
      <c r="F98" s="13"/>
      <c r="G98" s="13"/>
      <c r="H98" s="13"/>
      <c r="I98" s="15"/>
      <c r="J98" s="15"/>
      <c r="K98" s="15"/>
      <c r="L98" s="15"/>
      <c r="M98" s="15"/>
      <c r="N98" s="15"/>
      <c r="O98" s="137">
        <v>587.79</v>
      </c>
      <c r="P98" s="15"/>
      <c r="Q98" s="17"/>
      <c r="R98" s="14"/>
      <c r="S98" s="18"/>
      <c r="T98" s="19"/>
      <c r="U98" s="20"/>
      <c r="V98" s="20"/>
      <c r="W98" s="21"/>
      <c r="X98" s="21"/>
      <c r="Y98" s="21"/>
      <c r="Z98" s="21"/>
      <c r="AA98" s="21"/>
      <c r="AB98" s="21"/>
      <c r="AC98" s="21"/>
      <c r="AD98" s="21"/>
      <c r="AE98" s="21"/>
      <c r="AF98" s="21"/>
    </row>
    <row r="99" spans="1:32" s="22" customFormat="1" outlineLevel="1" x14ac:dyDescent="0.2">
      <c r="A99" s="9" t="s">
        <v>76</v>
      </c>
      <c r="B99" s="10"/>
      <c r="C99" s="11"/>
      <c r="D99" s="12"/>
      <c r="E99" s="96">
        <v>217.4</v>
      </c>
      <c r="F99" s="96">
        <v>530.15</v>
      </c>
      <c r="G99" s="96">
        <v>447.9</v>
      </c>
      <c r="H99" s="96">
        <v>285.29000000000002</v>
      </c>
      <c r="I99" s="120">
        <v>299.02</v>
      </c>
      <c r="J99" s="120">
        <v>299.02</v>
      </c>
      <c r="K99" s="120">
        <v>438.69</v>
      </c>
      <c r="L99" s="15"/>
      <c r="M99" s="120">
        <v>1164.5899999999999</v>
      </c>
      <c r="N99" s="126">
        <v>877.36</v>
      </c>
      <c r="O99" s="126">
        <v>877.36</v>
      </c>
      <c r="P99" s="15"/>
      <c r="Q99" s="17">
        <f>SUM(E99,F99,G99,H99,I99,J99,K99,L99,M99,N99,O99,P99)</f>
        <v>5436.7799999999988</v>
      </c>
      <c r="R99" s="14" t="e">
        <f>SUM(#REF!,#REF!,#REF!,#REF!,#REF!,#REF!,#REF!,#REF!,#REF!,#REF!,#REF!)</f>
        <v>#REF!</v>
      </c>
      <c r="S99" s="18" t="e">
        <f t="shared" si="12"/>
        <v>#REF!</v>
      </c>
      <c r="T99" s="19"/>
      <c r="U99" s="20"/>
      <c r="V99" s="20"/>
      <c r="W99" s="21"/>
      <c r="X99" s="21"/>
      <c r="Y99" s="21"/>
      <c r="Z99" s="21"/>
      <c r="AA99" s="21"/>
      <c r="AB99" s="21"/>
      <c r="AC99" s="21"/>
      <c r="AD99" s="21"/>
      <c r="AE99" s="21"/>
      <c r="AF99" s="21"/>
    </row>
    <row r="100" spans="1:32" s="22" customFormat="1" outlineLevel="1" x14ac:dyDescent="0.2">
      <c r="A100" s="9" t="s">
        <v>112</v>
      </c>
      <c r="B100" s="10"/>
      <c r="C100" s="11"/>
      <c r="D100" s="12"/>
      <c r="E100" s="13"/>
      <c r="F100" s="13"/>
      <c r="G100" s="13"/>
      <c r="H100" s="13"/>
      <c r="I100" s="15"/>
      <c r="J100" s="15"/>
      <c r="K100" s="15"/>
      <c r="L100" s="15"/>
      <c r="M100" s="15"/>
      <c r="N100" s="15"/>
      <c r="O100" s="15"/>
      <c r="P100" s="15"/>
      <c r="Q100" s="17"/>
      <c r="R100" s="14"/>
      <c r="S100" s="18"/>
      <c r="T100" s="19"/>
      <c r="U100" s="20"/>
      <c r="V100" s="20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</row>
    <row r="101" spans="1:32" s="22" customFormat="1" outlineLevel="1" x14ac:dyDescent="0.2">
      <c r="A101" s="9" t="s">
        <v>77</v>
      </c>
      <c r="B101" s="10"/>
      <c r="C101" s="11"/>
      <c r="D101" s="95">
        <f>57389.11+11068.21+15331.07+17411.11+3734.66</f>
        <v>104934.16000000002</v>
      </c>
      <c r="E101" s="96">
        <v>22028.57</v>
      </c>
      <c r="F101" s="96">
        <v>7557.86</v>
      </c>
      <c r="G101" s="119">
        <v>5627.79</v>
      </c>
      <c r="H101" s="119">
        <v>5794.14</v>
      </c>
      <c r="I101" s="120">
        <v>13146.81</v>
      </c>
      <c r="J101" s="120">
        <v>4330.28</v>
      </c>
      <c r="K101" s="120">
        <v>3300.91</v>
      </c>
      <c r="L101" s="98">
        <v>5647.59</v>
      </c>
      <c r="M101" s="98">
        <v>6889.32</v>
      </c>
      <c r="N101" s="98">
        <v>3286.22</v>
      </c>
      <c r="O101" s="98">
        <f>8666.88+14474.34</f>
        <v>23141.22</v>
      </c>
      <c r="P101" s="98">
        <v>5071.5200000000004</v>
      </c>
      <c r="Q101" s="17">
        <f>SUM(E101,F101,G101,H101,I101,J101,K101,L101,M101,N101,O101,P101)</f>
        <v>105822.23</v>
      </c>
      <c r="R101" s="14" t="e">
        <f>SUM(#REF!,#REF!,#REF!,#REF!,#REF!,#REF!,#REF!,#REF!,#REF!,#REF!,#REF!)</f>
        <v>#REF!</v>
      </c>
      <c r="S101" s="18" t="e">
        <f t="shared" si="12"/>
        <v>#REF!</v>
      </c>
      <c r="T101" s="19"/>
      <c r="U101" s="20"/>
      <c r="V101" s="20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</row>
    <row r="102" spans="1:32" s="22" customFormat="1" outlineLevel="1" x14ac:dyDescent="0.2">
      <c r="A102" s="9" t="s">
        <v>78</v>
      </c>
      <c r="B102" s="10"/>
      <c r="C102" s="11"/>
      <c r="D102" s="12"/>
      <c r="E102" s="13"/>
      <c r="F102" s="13"/>
      <c r="G102" s="13"/>
      <c r="H102" s="13"/>
      <c r="I102" s="15"/>
      <c r="J102" s="15"/>
      <c r="K102" s="15"/>
      <c r="L102" s="15"/>
      <c r="M102" s="15"/>
      <c r="N102" s="15"/>
      <c r="O102" s="15"/>
      <c r="P102" s="15"/>
      <c r="Q102" s="17">
        <f>SUM(E102,F102,G102,H102,I102,J102,K102,L102,M102,N102,O102,P102)</f>
        <v>0</v>
      </c>
      <c r="R102" s="14" t="e">
        <f>SUM(#REF!,#REF!,#REF!,#REF!,#REF!,#REF!,#REF!,#REF!,#REF!,#REF!,#REF!)</f>
        <v>#REF!</v>
      </c>
      <c r="S102" s="18" t="e">
        <f t="shared" si="12"/>
        <v>#REF!</v>
      </c>
      <c r="T102" s="19"/>
      <c r="U102" s="20"/>
      <c r="V102" s="20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</row>
    <row r="103" spans="1:32" s="22" customFormat="1" outlineLevel="1" x14ac:dyDescent="0.2">
      <c r="A103" s="9" t="s">
        <v>88</v>
      </c>
      <c r="B103" s="10"/>
      <c r="C103" s="11"/>
      <c r="D103" s="12"/>
      <c r="E103" s="13"/>
      <c r="F103" s="13"/>
      <c r="G103" s="13"/>
      <c r="H103" s="13"/>
      <c r="I103" s="15"/>
      <c r="J103" s="15"/>
      <c r="K103" s="15"/>
      <c r="L103" s="15"/>
      <c r="M103" s="15"/>
      <c r="N103" s="15"/>
      <c r="O103" s="15"/>
      <c r="P103" s="15"/>
      <c r="Q103" s="17">
        <f>SUM(E103,F103,G103,H103,I103,J103,K103,L103,M103,N103,O103,P103)</f>
        <v>0</v>
      </c>
      <c r="R103" s="14" t="e">
        <f>SUM(#REF!,#REF!,#REF!,#REF!,#REF!,#REF!,#REF!,#REF!,#REF!,#REF!,#REF!)</f>
        <v>#REF!</v>
      </c>
      <c r="S103" s="18" t="e">
        <f>SUM(Q103-R103)/2832840</f>
        <v>#REF!</v>
      </c>
      <c r="T103" s="19"/>
      <c r="U103" s="20"/>
      <c r="V103" s="20"/>
      <c r="W103" s="21"/>
      <c r="X103" s="21"/>
      <c r="Y103" s="20"/>
      <c r="Z103" s="21"/>
      <c r="AA103" s="21"/>
      <c r="AB103" s="21"/>
      <c r="AC103" s="21"/>
      <c r="AD103" s="21"/>
      <c r="AE103" s="21"/>
      <c r="AF103" s="21"/>
    </row>
    <row r="104" spans="1:32" outlineLevel="1" x14ac:dyDescent="0.2">
      <c r="A104" s="9" t="s">
        <v>79</v>
      </c>
      <c r="B104" s="10"/>
      <c r="C104" s="11"/>
      <c r="D104" s="12"/>
      <c r="E104" s="96">
        <v>1117.3</v>
      </c>
      <c r="F104" s="13"/>
      <c r="G104" s="13"/>
      <c r="H104" s="13"/>
      <c r="I104" s="137">
        <v>3795.61</v>
      </c>
      <c r="J104" s="15"/>
      <c r="K104" s="15"/>
      <c r="L104" s="15"/>
      <c r="M104" s="15"/>
      <c r="N104" s="137">
        <v>6327.94</v>
      </c>
      <c r="O104" s="125"/>
      <c r="P104" s="125"/>
      <c r="Q104" s="17">
        <f>SUM(E104,F104,G104,H104,I104,J104,K104,L104,M104,N104,O104,P104)</f>
        <v>11240.849999999999</v>
      </c>
      <c r="R104" s="14" t="e">
        <f>SUM(#REF!,#REF!,#REF!,#REF!,#REF!,#REF!,#REF!,#REF!,#REF!,#REF!,#REF!)</f>
        <v>#REF!</v>
      </c>
      <c r="S104" s="18" t="e">
        <f t="shared" si="12"/>
        <v>#REF!</v>
      </c>
      <c r="T104" s="19"/>
      <c r="V104" s="6"/>
      <c r="AE104" s="7"/>
      <c r="AF104" s="7"/>
    </row>
    <row r="105" spans="1:32" outlineLevel="1" x14ac:dyDescent="0.2">
      <c r="A105" s="9" t="s">
        <v>80</v>
      </c>
      <c r="B105" s="43"/>
      <c r="C105" s="11"/>
      <c r="D105" s="95">
        <f>105006.59+121447.24</f>
        <v>226453.83000000002</v>
      </c>
      <c r="E105" s="96">
        <v>89634.32</v>
      </c>
      <c r="F105" s="96">
        <f>61949.58+134493.54</f>
        <v>196443.12</v>
      </c>
      <c r="G105" s="96">
        <v>43045.91</v>
      </c>
      <c r="H105" s="119">
        <v>184075.72</v>
      </c>
      <c r="I105" s="120">
        <v>195992</v>
      </c>
      <c r="J105" s="120">
        <v>82025.710000000006</v>
      </c>
      <c r="K105" s="120">
        <v>78341.789999999994</v>
      </c>
      <c r="L105" s="120">
        <f>65379.14+43668.59</f>
        <v>109047.73</v>
      </c>
      <c r="M105" s="120">
        <v>118971.4</v>
      </c>
      <c r="N105" s="137">
        <v>82521.17</v>
      </c>
      <c r="O105" s="137">
        <v>24766.42</v>
      </c>
      <c r="P105" s="137">
        <v>42758.44</v>
      </c>
      <c r="Q105" s="17">
        <f>SUM(E105,F105,G105,H105,I105,J105,K105,L105,M105,N105,O105,P105)</f>
        <v>1247623.7299999997</v>
      </c>
      <c r="R105" s="46" t="s">
        <v>104</v>
      </c>
      <c r="S105" s="18" t="e">
        <f t="shared" si="12"/>
        <v>#VALUE!</v>
      </c>
      <c r="T105" s="48"/>
      <c r="V105" s="6"/>
      <c r="AE105" s="7"/>
      <c r="AF105" s="7"/>
    </row>
    <row r="106" spans="1:32" outlineLevel="1" x14ac:dyDescent="0.2">
      <c r="A106" s="9" t="s">
        <v>81</v>
      </c>
      <c r="B106" s="43"/>
      <c r="C106" s="11"/>
      <c r="D106" s="44"/>
      <c r="E106" s="45"/>
      <c r="F106" s="96">
        <v>229.2</v>
      </c>
      <c r="G106" s="96">
        <v>382</v>
      </c>
      <c r="H106" s="13"/>
      <c r="I106" s="98">
        <v>570.57000000000005</v>
      </c>
      <c r="J106" s="47"/>
      <c r="K106" s="47"/>
      <c r="L106" s="120">
        <v>167.94</v>
      </c>
      <c r="M106" s="47"/>
      <c r="N106" s="125"/>
      <c r="O106" s="137">
        <v>6543.92</v>
      </c>
      <c r="P106" s="125"/>
      <c r="Q106" s="17"/>
      <c r="R106" s="46"/>
      <c r="S106" s="18"/>
      <c r="T106" s="48"/>
      <c r="V106" s="6"/>
      <c r="AE106" s="7"/>
      <c r="AF106" s="7"/>
    </row>
    <row r="107" spans="1:32" outlineLevel="1" x14ac:dyDescent="0.2">
      <c r="A107" s="9" t="s">
        <v>86</v>
      </c>
      <c r="B107" s="43"/>
      <c r="C107" s="11"/>
      <c r="D107" s="44"/>
      <c r="E107" s="136">
        <v>76.400000000000006</v>
      </c>
      <c r="F107" s="45"/>
      <c r="G107" s="136">
        <v>229.2</v>
      </c>
      <c r="H107" s="13"/>
      <c r="I107" s="137">
        <v>5321.1</v>
      </c>
      <c r="J107" s="137">
        <v>76.400000000000006</v>
      </c>
      <c r="K107" s="47"/>
      <c r="L107" s="47"/>
      <c r="M107" s="137">
        <v>167.94</v>
      </c>
      <c r="N107" s="137">
        <v>83.97</v>
      </c>
      <c r="O107" s="47"/>
      <c r="P107" s="47"/>
      <c r="Q107" s="17"/>
      <c r="R107" s="46"/>
      <c r="S107" s="49"/>
      <c r="T107" s="48"/>
      <c r="V107" s="6"/>
      <c r="AE107" s="7"/>
      <c r="AF107" s="7"/>
    </row>
    <row r="108" spans="1:32" s="41" customFormat="1" outlineLevel="1" x14ac:dyDescent="0.2">
      <c r="A108" s="9" t="s">
        <v>92</v>
      </c>
      <c r="B108" s="43"/>
      <c r="C108" s="11"/>
      <c r="D108" s="44"/>
      <c r="E108" s="96">
        <v>8509.8799999999992</v>
      </c>
      <c r="F108" s="96">
        <v>2399.85</v>
      </c>
      <c r="G108" s="45"/>
      <c r="H108" s="96">
        <v>1771.44</v>
      </c>
      <c r="I108" s="120">
        <v>3287.19</v>
      </c>
      <c r="J108" s="120">
        <v>9171.31</v>
      </c>
      <c r="K108" s="120">
        <v>5716.65</v>
      </c>
      <c r="L108" s="120">
        <v>6508.31</v>
      </c>
      <c r="M108" s="120">
        <v>3217.5</v>
      </c>
      <c r="N108" s="120">
        <v>1394.78</v>
      </c>
      <c r="O108" s="120">
        <v>329.79</v>
      </c>
      <c r="P108" s="137">
        <v>5538.76</v>
      </c>
      <c r="Q108" s="17"/>
      <c r="R108" s="46"/>
      <c r="S108" s="49"/>
      <c r="T108" s="48"/>
      <c r="U108" s="39"/>
      <c r="V108" s="39"/>
      <c r="W108" s="40"/>
      <c r="X108" s="40"/>
      <c r="Y108" s="39"/>
      <c r="Z108" s="40"/>
      <c r="AA108" s="40"/>
      <c r="AB108" s="40"/>
      <c r="AC108" s="40"/>
      <c r="AD108" s="40"/>
      <c r="AE108" s="40"/>
      <c r="AF108" s="40"/>
    </row>
    <row r="109" spans="1:32" s="41" customFormat="1" outlineLevel="1" x14ac:dyDescent="0.2">
      <c r="A109" s="9" t="s">
        <v>137</v>
      </c>
      <c r="B109" s="43"/>
      <c r="C109" s="11"/>
      <c r="D109" s="44"/>
      <c r="E109" s="13"/>
      <c r="F109" s="13"/>
      <c r="G109" s="119">
        <v>6300</v>
      </c>
      <c r="H109" s="119">
        <v>8525.56</v>
      </c>
      <c r="I109" s="120">
        <v>8550</v>
      </c>
      <c r="J109" s="120">
        <v>11422.9</v>
      </c>
      <c r="K109" s="120">
        <v>13585.95</v>
      </c>
      <c r="L109" s="120">
        <v>10480.370000000001</v>
      </c>
      <c r="M109" s="120">
        <v>12430.37</v>
      </c>
      <c r="N109" s="120">
        <v>14954.62</v>
      </c>
      <c r="O109" s="137">
        <v>15348.73</v>
      </c>
      <c r="P109" s="137">
        <v>14680.37</v>
      </c>
      <c r="Q109" s="17">
        <f>SUM(G109:P109)</f>
        <v>116278.87</v>
      </c>
      <c r="R109" s="46"/>
      <c r="S109" s="49"/>
      <c r="T109" s="48"/>
      <c r="U109" s="39"/>
      <c r="V109" s="39"/>
      <c r="W109" s="40"/>
      <c r="X109" s="40"/>
      <c r="Y109" s="39"/>
      <c r="Z109" s="40"/>
      <c r="AA109" s="40"/>
      <c r="AB109" s="40"/>
      <c r="AC109" s="40"/>
      <c r="AD109" s="40"/>
      <c r="AE109" s="40"/>
      <c r="AF109" s="40"/>
    </row>
    <row r="110" spans="1:32" s="41" customFormat="1" outlineLevel="1" x14ac:dyDescent="0.2">
      <c r="A110" s="50" t="s">
        <v>83</v>
      </c>
      <c r="B110" s="43"/>
      <c r="C110" s="11"/>
      <c r="D110" s="44"/>
      <c r="E110" s="96">
        <f>2782.08+178.25</f>
        <v>2960.33</v>
      </c>
      <c r="F110" s="96">
        <v>19655.72</v>
      </c>
      <c r="G110" s="96">
        <f>3150.59+394.72</f>
        <v>3545.3100000000004</v>
      </c>
      <c r="H110" s="96">
        <v>5576.28</v>
      </c>
      <c r="I110" s="98">
        <v>5025.01</v>
      </c>
      <c r="J110" s="98">
        <v>4708.54</v>
      </c>
      <c r="K110" s="120">
        <v>11015.06</v>
      </c>
      <c r="L110" s="120">
        <v>13765.85</v>
      </c>
      <c r="M110" s="137">
        <v>4667.75</v>
      </c>
      <c r="N110" s="137">
        <v>5663.71</v>
      </c>
      <c r="O110" s="137">
        <f>5696.1+9873.45</f>
        <v>15569.550000000001</v>
      </c>
      <c r="P110" s="137">
        <f>5009.55</f>
        <v>5009.55</v>
      </c>
      <c r="Q110" s="17">
        <f>SUM(E110:P110)</f>
        <v>97162.660000000018</v>
      </c>
      <c r="R110" s="46"/>
      <c r="S110" s="49"/>
      <c r="T110" s="48"/>
      <c r="U110" s="39"/>
      <c r="V110" s="39"/>
      <c r="W110" s="40"/>
      <c r="X110" s="40"/>
      <c r="Y110" s="39"/>
      <c r="Z110" s="40"/>
      <c r="AA110" s="40"/>
      <c r="AB110" s="40"/>
      <c r="AC110" s="40"/>
      <c r="AD110" s="40"/>
      <c r="AE110" s="40"/>
      <c r="AF110" s="40"/>
    </row>
    <row r="111" spans="1:32" s="41" customFormat="1" outlineLevel="1" x14ac:dyDescent="0.2">
      <c r="A111" s="9" t="s">
        <v>84</v>
      </c>
      <c r="B111" s="43"/>
      <c r="C111" s="11"/>
      <c r="D111" s="44"/>
      <c r="E111" s="96">
        <f t="shared" ref="E111:O111" si="13">E21*20/100</f>
        <v>1597.9279999999999</v>
      </c>
      <c r="F111" s="96">
        <f t="shared" si="13"/>
        <v>1329.8359999999998</v>
      </c>
      <c r="G111" s="96">
        <f t="shared" si="13"/>
        <v>656.60399999999993</v>
      </c>
      <c r="H111" s="96">
        <f t="shared" si="13"/>
        <v>959.12600000000009</v>
      </c>
      <c r="I111" s="96">
        <f t="shared" si="13"/>
        <v>1127.896</v>
      </c>
      <c r="J111" s="96">
        <f t="shared" si="13"/>
        <v>525.81200000000013</v>
      </c>
      <c r="K111" s="96">
        <f t="shared" si="13"/>
        <v>1137.6320000000001</v>
      </c>
      <c r="L111" s="136">
        <f t="shared" si="13"/>
        <v>622.96600000000001</v>
      </c>
      <c r="M111" s="136">
        <f t="shared" si="13"/>
        <v>1614.1420000000001</v>
      </c>
      <c r="N111" s="136">
        <f t="shared" si="13"/>
        <v>1113.258</v>
      </c>
      <c r="O111" s="136">
        <f t="shared" si="13"/>
        <v>2316.7020000000002</v>
      </c>
      <c r="P111" s="136">
        <f>V113101</f>
        <v>0</v>
      </c>
      <c r="Q111" s="17"/>
      <c r="R111" s="46"/>
      <c r="S111" s="49"/>
      <c r="T111" s="48"/>
      <c r="U111" s="39"/>
      <c r="V111" s="39"/>
      <c r="W111" s="40"/>
      <c r="X111" s="40"/>
      <c r="Y111" s="39"/>
      <c r="Z111" s="40"/>
      <c r="AA111" s="40"/>
      <c r="AB111" s="40"/>
      <c r="AC111" s="40"/>
      <c r="AD111" s="40"/>
      <c r="AE111" s="40"/>
      <c r="AF111" s="40"/>
    </row>
    <row r="112" spans="1:32" s="41" customFormat="1" outlineLevel="1" x14ac:dyDescent="0.2">
      <c r="A112" s="9" t="s">
        <v>101</v>
      </c>
      <c r="B112" s="43"/>
      <c r="C112" s="11"/>
      <c r="D112" s="95">
        <f>51664.06+45863.52+39047.97+26956.72+23201.59</f>
        <v>186733.86</v>
      </c>
      <c r="E112" s="96">
        <v>23682.17</v>
      </c>
      <c r="F112" s="96">
        <v>42513.2</v>
      </c>
      <c r="G112" s="119">
        <v>27767.43</v>
      </c>
      <c r="H112" s="119">
        <v>24425.200000000001</v>
      </c>
      <c r="I112" s="120">
        <v>27123.7</v>
      </c>
      <c r="J112" s="120">
        <v>41637.730000000003</v>
      </c>
      <c r="K112" s="137">
        <v>31184.69</v>
      </c>
      <c r="L112" s="137">
        <v>27283.07</v>
      </c>
      <c r="M112" s="137">
        <v>26088.22</v>
      </c>
      <c r="N112" s="137">
        <v>26670.11</v>
      </c>
      <c r="O112" s="120">
        <v>26664.639999999999</v>
      </c>
      <c r="P112" s="120">
        <v>26221.57</v>
      </c>
      <c r="Q112" s="17">
        <f>SUM(E112,F112,G112,H112,I112,J112,K112,L112,M112,N112,O112,P112)</f>
        <v>351261.73000000004</v>
      </c>
      <c r="R112" s="46"/>
      <c r="S112" s="49"/>
      <c r="T112" s="48"/>
      <c r="U112" s="39"/>
      <c r="V112" s="39"/>
      <c r="W112" s="40"/>
      <c r="X112" s="40"/>
      <c r="Y112" s="39"/>
      <c r="Z112" s="40"/>
      <c r="AA112" s="40"/>
      <c r="AB112" s="40"/>
      <c r="AC112" s="40"/>
      <c r="AD112" s="40"/>
      <c r="AE112" s="40"/>
      <c r="AF112" s="40"/>
    </row>
    <row r="113" spans="1:32" s="74" customFormat="1" outlineLevel="1" x14ac:dyDescent="0.2">
      <c r="A113" s="100" t="s">
        <v>116</v>
      </c>
      <c r="B113" s="101"/>
      <c r="C113" s="102"/>
      <c r="D113" s="103"/>
      <c r="E113" s="104">
        <f t="shared" ref="E113:P113" si="14">SUM(E22:E112)</f>
        <v>419668.28800000006</v>
      </c>
      <c r="F113" s="104">
        <f t="shared" si="14"/>
        <v>574040.88599999994</v>
      </c>
      <c r="G113" s="104">
        <f t="shared" si="14"/>
        <v>428545.72400000016</v>
      </c>
      <c r="H113" s="104">
        <f t="shared" si="14"/>
        <v>505336.76599999995</v>
      </c>
      <c r="I113" s="104">
        <f t="shared" si="14"/>
        <v>482351.41599999997</v>
      </c>
      <c r="J113" s="104">
        <f t="shared" si="14"/>
        <v>449860.26200000005</v>
      </c>
      <c r="K113" s="104">
        <f t="shared" si="14"/>
        <v>463822.13200000004</v>
      </c>
      <c r="L113" s="104">
        <f t="shared" si="14"/>
        <v>338252.386</v>
      </c>
      <c r="M113" s="104">
        <f t="shared" si="14"/>
        <v>316408.21199999994</v>
      </c>
      <c r="N113" s="104">
        <f t="shared" si="14"/>
        <v>229494.70799999998</v>
      </c>
      <c r="O113" s="104">
        <f t="shared" si="14"/>
        <v>230929.98200000002</v>
      </c>
      <c r="P113" s="104">
        <f t="shared" si="14"/>
        <v>307462.33</v>
      </c>
      <c r="Q113" s="105">
        <f>SUM(E113,F113,G113,H113,I113,J113,K113,L113,M113,N113,O113,P113)</f>
        <v>4746173.0920000002</v>
      </c>
      <c r="R113" s="69"/>
      <c r="S113" s="70"/>
      <c r="T113" s="71"/>
      <c r="U113" s="72"/>
      <c r="V113" s="72"/>
      <c r="W113" s="73"/>
      <c r="X113" s="73"/>
      <c r="Y113" s="72"/>
      <c r="Z113" s="73"/>
      <c r="AA113" s="73"/>
      <c r="AB113" s="73"/>
      <c r="AC113" s="73"/>
      <c r="AD113" s="73"/>
      <c r="AE113" s="73"/>
      <c r="AF113" s="73"/>
    </row>
    <row r="114" spans="1:32" s="80" customFormat="1" outlineLevel="1" x14ac:dyDescent="0.2">
      <c r="A114" s="106" t="s">
        <v>102</v>
      </c>
      <c r="B114" s="107"/>
      <c r="C114" s="108"/>
      <c r="D114" s="109">
        <f>SUM(D22:D113)</f>
        <v>1448012.98</v>
      </c>
      <c r="E114" s="110">
        <f t="shared" ref="E114:P114" si="15">SUM(E21,E113)</f>
        <v>427657.92800000007</v>
      </c>
      <c r="F114" s="110">
        <f t="shared" si="15"/>
        <v>580690.06599999999</v>
      </c>
      <c r="G114" s="110">
        <f t="shared" si="15"/>
        <v>431828.74400000018</v>
      </c>
      <c r="H114" s="110">
        <f t="shared" si="15"/>
        <v>510132.39599999995</v>
      </c>
      <c r="I114" s="110">
        <f t="shared" si="15"/>
        <v>487990.89599999995</v>
      </c>
      <c r="J114" s="110">
        <f t="shared" si="15"/>
        <v>452489.32200000004</v>
      </c>
      <c r="K114" s="110">
        <f t="shared" si="15"/>
        <v>469510.29200000002</v>
      </c>
      <c r="L114" s="110">
        <f t="shared" si="15"/>
        <v>341367.21600000001</v>
      </c>
      <c r="M114" s="110">
        <f t="shared" si="15"/>
        <v>324478.92199999996</v>
      </c>
      <c r="N114" s="110">
        <f t="shared" si="15"/>
        <v>235060.99799999999</v>
      </c>
      <c r="O114" s="110">
        <f t="shared" si="15"/>
        <v>242513.49200000003</v>
      </c>
      <c r="P114" s="110">
        <f t="shared" si="15"/>
        <v>309517.97000000003</v>
      </c>
      <c r="Q114" s="111">
        <f>SUM(E114:P114)</f>
        <v>4813238.2419999996</v>
      </c>
      <c r="R114" s="76" t="e">
        <f>SUM(#REF!,#REF!,#REF!,#REF!,#REF!,#REF!,#REF!,#REF!,#REF!,#REF!,#REF!)</f>
        <v>#REF!</v>
      </c>
      <c r="S114" s="77" t="e">
        <f t="shared" ref="S114:S115" si="16">SUM(Q114-R114)/2832840</f>
        <v>#REF!</v>
      </c>
      <c r="T114" s="75" t="e">
        <f>B114-Q114+R114</f>
        <v>#REF!</v>
      </c>
      <c r="U114" s="78"/>
      <c r="V114" s="78"/>
      <c r="W114" s="79"/>
      <c r="X114" s="79"/>
      <c r="Y114" s="78"/>
      <c r="Z114" s="79"/>
      <c r="AA114" s="79"/>
      <c r="AB114" s="79"/>
      <c r="AC114" s="79"/>
      <c r="AD114" s="79"/>
      <c r="AE114" s="79"/>
      <c r="AF114" s="79"/>
    </row>
    <row r="115" spans="1:32" s="80" customFormat="1" outlineLevel="1" x14ac:dyDescent="0.2">
      <c r="A115" s="112" t="s">
        <v>82</v>
      </c>
      <c r="B115" s="113"/>
      <c r="C115" s="114"/>
      <c r="D115" s="115">
        <f>23853.79+5450.54+578.26+24251.96+1623.28+335.68+10785.37+3221.53+1123.08+895.27+25094.84+2633.27+1154.6+7609.97+2995.9+18448.47+10725.28+613+5068.22+8408.44+6284.02+439.77+23326.67+999.67+3194.49+3216.31+4006.12+23806.05+823.41+40062.3+1372.94+6552.29+1125.25+4222.02+2188.44+147.45+1749.55+537.21+13879.5+5236.68+4901.58+492.88+3159.07+514044.39+408.46+501.94+194+44589.14+2583.03+6722.55+1052.29+1623.8+261.18</f>
        <v>878575.20000000019</v>
      </c>
      <c r="E115" s="116">
        <f>381.89+8761.58+21758.1+1033.94+198550.06+10567.05</f>
        <v>241052.62</v>
      </c>
      <c r="F115" s="116">
        <f>2476.55+8386.72+938.04+72461.36+10463.7</f>
        <v>94726.37</v>
      </c>
      <c r="G115" s="116">
        <f>162.65+11.39+6368.3+19569.21+1122.47+185525.87+13518.35</f>
        <v>226278.24</v>
      </c>
      <c r="H115" s="116">
        <f>7484.06+13.04+25264.09+1473.28+235000.38+12043.32</f>
        <v>281278.17</v>
      </c>
      <c r="I115" s="117">
        <f>1843+7720.83+14197.51+1355.05+173168.52+10325.02</f>
        <v>208609.92999999996</v>
      </c>
      <c r="J115" s="117">
        <f>1328.29+36.3+5459.26+16792.98+750.41+232118.94+12775.35</f>
        <v>269261.52999999997</v>
      </c>
      <c r="K115" s="117">
        <f>1358.01+485+52.33+4323.43+18179.2+1099.36+196764.16+12363.88</f>
        <v>234625.37</v>
      </c>
      <c r="L115" s="117">
        <f>776+477.3+791.25+7106.68+11625.62+1061.09+195190+14243.24</f>
        <v>231271.18</v>
      </c>
      <c r="M115" s="117">
        <f>74.81+5667.4+11237.95+778.74+186775.73+11816.5</f>
        <v>216351.13</v>
      </c>
      <c r="N115" s="117">
        <f>511.78+369.05+1164+6886.89+10671.45+1220.7+193695.57+10880.95</f>
        <v>225400.39</v>
      </c>
      <c r="O115" s="117">
        <f>903.8+164.16+582+7522.96+7092.6+564.95+154858.16+11931.5</f>
        <v>183620.13</v>
      </c>
      <c r="P115" s="117">
        <f>46.86+201.17+582+7972.37+9913.39+218226.46</f>
        <v>236942.25</v>
      </c>
      <c r="Q115" s="111">
        <f>SUM(E115:P115)</f>
        <v>2649417.31</v>
      </c>
      <c r="R115" s="76"/>
      <c r="S115" s="77">
        <f t="shared" si="16"/>
        <v>0.9352513061097697</v>
      </c>
      <c r="T115" s="75"/>
      <c r="U115" s="78"/>
      <c r="V115" s="78"/>
      <c r="W115" s="79"/>
      <c r="X115" s="79"/>
      <c r="Y115" s="79"/>
      <c r="Z115" s="79"/>
      <c r="AA115" s="79"/>
      <c r="AB115" s="81"/>
      <c r="AC115" s="79"/>
      <c r="AD115" s="79"/>
      <c r="AE115" s="79"/>
      <c r="AF115" s="79"/>
    </row>
    <row r="116" spans="1:32" outlineLevel="1" x14ac:dyDescent="0.2">
      <c r="A116" s="145" t="s">
        <v>150</v>
      </c>
      <c r="B116" s="43"/>
      <c r="C116" s="11"/>
      <c r="D116" s="44"/>
      <c r="E116" s="45"/>
      <c r="F116" s="45"/>
      <c r="G116" s="45">
        <v>90598</v>
      </c>
      <c r="H116" s="45">
        <v>90501</v>
      </c>
      <c r="I116" s="47">
        <v>89725</v>
      </c>
      <c r="J116" s="47">
        <v>88852</v>
      </c>
      <c r="K116" s="47">
        <v>86330</v>
      </c>
      <c r="L116" s="47">
        <v>85748</v>
      </c>
      <c r="M116" s="47">
        <v>84228</v>
      </c>
      <c r="N116" s="47">
        <v>83426</v>
      </c>
      <c r="O116" s="47">
        <v>83226</v>
      </c>
      <c r="P116" s="47">
        <v>83226</v>
      </c>
      <c r="Q116" s="111">
        <f>SUM(E116:P116)</f>
        <v>865860</v>
      </c>
      <c r="R116" s="52"/>
      <c r="S116" s="55"/>
      <c r="T116" s="56"/>
      <c r="U116" s="57"/>
      <c r="V116" s="6"/>
      <c r="W116" s="6"/>
      <c r="X116" s="6"/>
      <c r="AE116" s="7"/>
      <c r="AF116" s="7"/>
    </row>
    <row r="117" spans="1:32" outlineLevel="1" x14ac:dyDescent="0.2">
      <c r="A117" s="145" t="s">
        <v>151</v>
      </c>
      <c r="B117" s="43"/>
      <c r="C117" s="11"/>
      <c r="D117" s="44"/>
      <c r="E117" s="44">
        <f t="shared" ref="E117:Q117" si="17">E115-E116</f>
        <v>241052.62</v>
      </c>
      <c r="F117" s="44">
        <f t="shared" si="17"/>
        <v>94726.37</v>
      </c>
      <c r="G117" s="44">
        <f t="shared" si="17"/>
        <v>135680.24</v>
      </c>
      <c r="H117" s="44">
        <f t="shared" si="17"/>
        <v>190777.16999999998</v>
      </c>
      <c r="I117" s="44">
        <f t="shared" si="17"/>
        <v>118884.92999999996</v>
      </c>
      <c r="J117" s="44">
        <f t="shared" si="17"/>
        <v>180409.52999999997</v>
      </c>
      <c r="K117" s="44">
        <f t="shared" si="17"/>
        <v>148295.37</v>
      </c>
      <c r="L117" s="44">
        <f t="shared" si="17"/>
        <v>145523.18</v>
      </c>
      <c r="M117" s="44">
        <f t="shared" si="17"/>
        <v>132123.13</v>
      </c>
      <c r="N117" s="44">
        <f t="shared" si="17"/>
        <v>141974.39000000001</v>
      </c>
      <c r="O117" s="44">
        <f t="shared" si="17"/>
        <v>100394.13</v>
      </c>
      <c r="P117" s="44">
        <f t="shared" si="17"/>
        <v>153716.25</v>
      </c>
      <c r="Q117" s="44">
        <f t="shared" si="17"/>
        <v>1783557.31</v>
      </c>
      <c r="R117" s="52"/>
      <c r="S117" s="55"/>
      <c r="T117" s="56"/>
      <c r="U117" s="57"/>
      <c r="V117" s="6"/>
      <c r="W117" s="6"/>
      <c r="X117" s="6"/>
      <c r="AE117" s="7"/>
      <c r="AF117" s="7"/>
    </row>
    <row r="118" spans="1:32" ht="15" outlineLevel="1" x14ac:dyDescent="0.25">
      <c r="A118" s="143" t="s">
        <v>118</v>
      </c>
      <c r="B118" s="144"/>
      <c r="C118" s="144"/>
      <c r="D118" s="144"/>
      <c r="E118" s="144"/>
      <c r="F118" s="82"/>
      <c r="G118" s="51"/>
      <c r="H118" s="51"/>
      <c r="I118" s="53"/>
      <c r="J118" s="53"/>
      <c r="K118" s="53"/>
      <c r="L118" s="53"/>
      <c r="M118" s="53"/>
      <c r="N118" s="53"/>
      <c r="O118" s="53"/>
      <c r="P118" s="53"/>
      <c r="Q118" s="54"/>
      <c r="R118" s="52"/>
      <c r="S118" s="55"/>
      <c r="T118" s="56"/>
      <c r="U118" s="57">
        <f>Q114-Q109</f>
        <v>4696959.3719999995</v>
      </c>
      <c r="V118" s="6"/>
      <c r="W118" s="6"/>
      <c r="X118" s="6"/>
      <c r="AE118" s="7"/>
      <c r="AF118" s="7"/>
    </row>
    <row r="119" spans="1:32" ht="15" outlineLevel="1" x14ac:dyDescent="0.25">
      <c r="A119" s="141"/>
      <c r="B119" s="142"/>
      <c r="C119" s="83"/>
      <c r="D119" s="84"/>
      <c r="E119" s="82"/>
      <c r="F119" s="82"/>
      <c r="G119" s="51"/>
      <c r="H119" s="51"/>
      <c r="I119" s="53"/>
      <c r="J119" s="53"/>
      <c r="K119" s="53"/>
      <c r="L119" s="53"/>
      <c r="M119" s="53"/>
      <c r="N119" s="132" t="s">
        <v>146</v>
      </c>
      <c r="O119" s="132" t="s">
        <v>147</v>
      </c>
      <c r="P119" s="132"/>
      <c r="Q119" s="133"/>
      <c r="R119" s="52"/>
      <c r="S119" s="55"/>
      <c r="T119" s="56"/>
      <c r="U119" s="57"/>
      <c r="V119" s="6"/>
      <c r="W119" s="6"/>
      <c r="X119" s="6"/>
      <c r="AE119" s="7"/>
      <c r="AF119" s="7"/>
    </row>
    <row r="120" spans="1:32" ht="15" outlineLevel="1" x14ac:dyDescent="0.25">
      <c r="A120" s="85" t="s">
        <v>119</v>
      </c>
      <c r="B120" s="86"/>
      <c r="C120" s="87"/>
      <c r="D120" s="88"/>
      <c r="E120" s="86">
        <v>3124380</v>
      </c>
      <c r="F120" s="82"/>
      <c r="G120" s="51"/>
      <c r="H120" s="51"/>
      <c r="I120" s="53"/>
      <c r="J120" s="53"/>
      <c r="K120" s="131"/>
      <c r="L120" s="53"/>
      <c r="M120" s="53"/>
      <c r="N120" s="134" t="s">
        <v>145</v>
      </c>
      <c r="O120" s="134" t="s">
        <v>144</v>
      </c>
      <c r="P120" s="134"/>
      <c r="Q120" s="135"/>
      <c r="R120" s="52"/>
      <c r="S120" s="55"/>
      <c r="T120" s="56"/>
      <c r="U120" s="57"/>
      <c r="V120" s="6"/>
      <c r="W120" s="6"/>
      <c r="X120" s="6"/>
      <c r="AE120" s="7"/>
      <c r="AF120" s="7"/>
    </row>
    <row r="121" spans="1:32" ht="15.75" outlineLevel="1" x14ac:dyDescent="0.25">
      <c r="A121" s="85" t="s">
        <v>128</v>
      </c>
      <c r="B121" s="86"/>
      <c r="C121" s="87"/>
      <c r="D121" s="88"/>
      <c r="E121" s="86">
        <f>Q114</f>
        <v>4813238.2419999996</v>
      </c>
      <c r="F121" s="82"/>
      <c r="G121" s="147"/>
      <c r="H121" s="147"/>
      <c r="I121" s="146"/>
      <c r="J121" s="53"/>
      <c r="K121" s="131"/>
      <c r="L121" s="118"/>
      <c r="M121" s="53"/>
      <c r="N121" s="138" t="s">
        <v>148</v>
      </c>
      <c r="O121" s="138" t="s">
        <v>149</v>
      </c>
      <c r="P121" s="138"/>
      <c r="Q121" s="139"/>
      <c r="R121" s="52"/>
      <c r="S121" s="55"/>
      <c r="T121" s="56"/>
      <c r="U121" s="57"/>
      <c r="V121" s="6"/>
      <c r="W121" s="6"/>
      <c r="AE121" s="7"/>
      <c r="AF121" s="7"/>
    </row>
    <row r="122" spans="1:32" ht="15.75" outlineLevel="1" x14ac:dyDescent="0.25">
      <c r="A122" s="85" t="s">
        <v>131</v>
      </c>
      <c r="B122" s="86"/>
      <c r="C122" s="87"/>
      <c r="D122" s="88"/>
      <c r="E122" s="86">
        <f>Q115</f>
        <v>2649417.31</v>
      </c>
      <c r="F122" s="82"/>
      <c r="G122" s="147"/>
      <c r="H122" s="147"/>
      <c r="I122" s="146"/>
      <c r="J122" s="53"/>
      <c r="K122" s="131"/>
      <c r="L122" s="53"/>
      <c r="M122" s="53"/>
      <c r="N122" s="53"/>
      <c r="O122" s="53"/>
      <c r="P122" s="53"/>
      <c r="Q122" s="54"/>
      <c r="R122" s="52"/>
      <c r="S122" s="55"/>
      <c r="T122" s="56"/>
      <c r="U122" s="57"/>
      <c r="V122" s="6"/>
      <c r="AE122" s="7"/>
      <c r="AF122" s="7"/>
    </row>
    <row r="123" spans="1:32" ht="15.75" outlineLevel="1" x14ac:dyDescent="0.25">
      <c r="A123" s="85" t="s">
        <v>122</v>
      </c>
      <c r="B123" s="86"/>
      <c r="C123" s="87"/>
      <c r="D123" s="88"/>
      <c r="E123" s="86">
        <f>D114</f>
        <v>1448012.98</v>
      </c>
      <c r="F123" s="82"/>
      <c r="G123" s="147"/>
      <c r="H123" s="147"/>
      <c r="I123" s="146"/>
      <c r="J123" s="53"/>
      <c r="K123" s="131"/>
      <c r="L123" s="53"/>
      <c r="M123" s="53"/>
      <c r="N123" s="53"/>
      <c r="O123" s="53"/>
      <c r="P123" s="53"/>
      <c r="Q123" s="54"/>
      <c r="R123" s="52"/>
      <c r="S123" s="55"/>
      <c r="T123" s="56"/>
      <c r="U123" s="57"/>
      <c r="V123" s="6"/>
      <c r="AE123" s="7"/>
      <c r="AF123" s="7"/>
    </row>
    <row r="124" spans="1:32" ht="15.75" outlineLevel="1" x14ac:dyDescent="0.25">
      <c r="A124" s="85" t="s">
        <v>127</v>
      </c>
      <c r="B124" s="86"/>
      <c r="C124" s="87"/>
      <c r="D124" s="88"/>
      <c r="E124" s="86">
        <f>D115</f>
        <v>878575.20000000019</v>
      </c>
      <c r="F124" s="82"/>
      <c r="G124" s="147"/>
      <c r="H124" s="147"/>
      <c r="I124" s="146"/>
      <c r="J124" s="53"/>
      <c r="K124" s="131"/>
      <c r="L124" s="53"/>
      <c r="M124" s="53"/>
      <c r="N124" s="53"/>
      <c r="O124" s="53"/>
      <c r="P124" s="53"/>
      <c r="Q124" s="54"/>
      <c r="R124" s="52"/>
      <c r="S124" s="55"/>
      <c r="T124" s="56"/>
      <c r="U124" s="57"/>
      <c r="V124" s="6"/>
      <c r="AE124" s="7"/>
      <c r="AF124" s="7"/>
    </row>
    <row r="125" spans="1:32" ht="15.75" outlineLevel="1" x14ac:dyDescent="0.25">
      <c r="A125" s="85"/>
      <c r="B125" s="89"/>
      <c r="C125" s="87"/>
      <c r="D125" s="88"/>
      <c r="E125" s="89"/>
      <c r="F125" s="82"/>
      <c r="G125" s="147"/>
      <c r="H125" s="147"/>
      <c r="I125" s="146"/>
      <c r="J125" s="53"/>
      <c r="K125" s="131"/>
      <c r="L125" s="53"/>
      <c r="M125" s="53"/>
      <c r="N125" s="53"/>
      <c r="O125" s="53"/>
      <c r="P125" s="53"/>
      <c r="Q125" s="54"/>
      <c r="R125" s="52"/>
      <c r="S125" s="55"/>
      <c r="T125" s="56"/>
      <c r="U125" s="57"/>
      <c r="V125" s="6"/>
      <c r="AE125" s="7"/>
      <c r="AF125" s="7"/>
    </row>
    <row r="126" spans="1:32" ht="15.75" outlineLevel="1" x14ac:dyDescent="0.25">
      <c r="A126" s="90" t="s">
        <v>103</v>
      </c>
      <c r="B126" s="89"/>
      <c r="C126" s="87"/>
      <c r="D126" s="88"/>
      <c r="E126" s="89">
        <f>E120+E122</f>
        <v>5773797.3100000005</v>
      </c>
      <c r="F126" s="82"/>
      <c r="G126" s="147"/>
      <c r="H126" s="147"/>
      <c r="I126" s="146"/>
      <c r="J126" s="53"/>
      <c r="K126" s="131"/>
      <c r="L126" s="53"/>
      <c r="M126" s="53"/>
      <c r="N126" s="53"/>
      <c r="O126" s="53"/>
      <c r="P126" s="53"/>
      <c r="Q126" s="54"/>
      <c r="R126" s="52"/>
      <c r="S126" s="55"/>
      <c r="T126" s="56"/>
      <c r="U126" s="57"/>
      <c r="V126" s="6"/>
      <c r="W126" s="6"/>
      <c r="X126" s="6"/>
      <c r="AE126" s="7"/>
      <c r="AF126" s="7"/>
    </row>
    <row r="127" spans="1:32" ht="15.75" outlineLevel="1" x14ac:dyDescent="0.25">
      <c r="A127" s="90" t="s">
        <v>102</v>
      </c>
      <c r="B127" s="89"/>
      <c r="C127" s="87"/>
      <c r="D127" s="88"/>
      <c r="E127" s="89">
        <f>E121</f>
        <v>4813238.2419999996</v>
      </c>
      <c r="F127" s="82"/>
      <c r="G127" s="147"/>
      <c r="H127" s="147"/>
      <c r="I127" s="146"/>
      <c r="J127" s="53"/>
      <c r="K127" s="131"/>
      <c r="L127" s="53"/>
      <c r="M127" s="53"/>
      <c r="N127" s="53"/>
      <c r="O127" s="53"/>
      <c r="P127" s="53"/>
      <c r="Q127" s="54"/>
      <c r="R127" s="52"/>
      <c r="S127" s="55"/>
      <c r="T127" s="56"/>
      <c r="U127" s="57"/>
      <c r="V127" s="6"/>
      <c r="W127" s="6"/>
      <c r="AE127" s="7"/>
      <c r="AF127" s="7"/>
    </row>
    <row r="128" spans="1:32" ht="15.75" x14ac:dyDescent="0.25">
      <c r="A128" s="90" t="s">
        <v>121</v>
      </c>
      <c r="B128" s="86"/>
      <c r="C128" s="87"/>
      <c r="D128" s="88"/>
      <c r="E128" s="124">
        <f>E126-E127</f>
        <v>960559.0680000009</v>
      </c>
      <c r="F128" s="82"/>
      <c r="G128" s="147"/>
      <c r="H128" s="147"/>
      <c r="I128" s="146"/>
      <c r="J128" s="53"/>
      <c r="K128" s="131"/>
      <c r="L128" s="53"/>
      <c r="M128" s="53"/>
      <c r="N128" s="53"/>
      <c r="O128" s="53"/>
      <c r="P128" s="53"/>
      <c r="Q128" s="54"/>
      <c r="R128" s="52"/>
      <c r="S128" s="55"/>
      <c r="T128" s="56"/>
      <c r="AE128" s="7"/>
      <c r="AF128" s="7"/>
    </row>
    <row r="129" spans="1:32" ht="15.75" x14ac:dyDescent="0.25">
      <c r="A129" s="91"/>
      <c r="B129" s="92"/>
      <c r="C129" s="93"/>
      <c r="D129" s="94"/>
      <c r="E129" s="128"/>
      <c r="F129" s="94" t="s">
        <v>143</v>
      </c>
      <c r="G129" s="147"/>
      <c r="H129" s="147"/>
      <c r="I129" s="146"/>
      <c r="J129" s="148"/>
      <c r="K129" s="149"/>
      <c r="AE129" s="7"/>
      <c r="AF129" s="7"/>
    </row>
    <row r="130" spans="1:32" ht="15.75" x14ac:dyDescent="0.2">
      <c r="G130" s="147"/>
      <c r="H130" s="147"/>
      <c r="I130" s="146"/>
      <c r="J130" s="148"/>
      <c r="K130" s="150"/>
      <c r="AE130" s="7"/>
      <c r="AF130" s="7"/>
    </row>
    <row r="131" spans="1:32" ht="15.75" x14ac:dyDescent="0.2">
      <c r="G131" s="147"/>
      <c r="H131" s="147"/>
      <c r="I131" s="146"/>
      <c r="J131" s="148"/>
      <c r="K131" s="7"/>
      <c r="AE131" s="7"/>
      <c r="AF131" s="7"/>
    </row>
    <row r="132" spans="1:32" ht="15.75" x14ac:dyDescent="0.2">
      <c r="G132" s="147"/>
      <c r="H132" s="147"/>
      <c r="I132" s="146"/>
      <c r="J132" s="148"/>
      <c r="K132" s="7"/>
      <c r="AE132" s="7"/>
      <c r="AF132" s="7"/>
    </row>
    <row r="133" spans="1:32" x14ac:dyDescent="0.2">
      <c r="G133" s="151"/>
      <c r="H133" s="151"/>
      <c r="I133" s="151"/>
      <c r="J133" s="148"/>
      <c r="K133" s="7"/>
      <c r="AE133" s="7"/>
      <c r="AF133" s="7"/>
    </row>
    <row r="134" spans="1:32" x14ac:dyDescent="0.2">
      <c r="G134" s="7"/>
      <c r="H134" s="151"/>
      <c r="I134" s="7"/>
      <c r="J134" s="148"/>
      <c r="K134" s="7"/>
      <c r="AE134" s="7"/>
      <c r="AF134" s="7"/>
    </row>
    <row r="135" spans="1:32" x14ac:dyDescent="0.2">
      <c r="AE135" s="7"/>
      <c r="AF135" s="7"/>
    </row>
    <row r="136" spans="1:32" x14ac:dyDescent="0.2">
      <c r="AE136" s="7"/>
      <c r="AF136" s="7"/>
    </row>
    <row r="137" spans="1:32" x14ac:dyDescent="0.2">
      <c r="AE137" s="7"/>
      <c r="AF137" s="7"/>
    </row>
    <row r="138" spans="1:32" x14ac:dyDescent="0.2">
      <c r="AE138" s="7"/>
      <c r="AF138" s="7"/>
    </row>
    <row r="139" spans="1:32" x14ac:dyDescent="0.2">
      <c r="AE139" s="7"/>
      <c r="AF139" s="7"/>
    </row>
    <row r="140" spans="1:32" x14ac:dyDescent="0.2">
      <c r="AE140" s="7"/>
      <c r="AF140" s="7"/>
    </row>
    <row r="141" spans="1:32" x14ac:dyDescent="0.2">
      <c r="AE141" s="7"/>
      <c r="AF141" s="7"/>
    </row>
    <row r="142" spans="1:32" x14ac:dyDescent="0.2">
      <c r="AE142" s="7"/>
      <c r="AF142" s="7"/>
    </row>
    <row r="143" spans="1:32" x14ac:dyDescent="0.2">
      <c r="AE143" s="7"/>
      <c r="AF143" s="7"/>
    </row>
    <row r="144" spans="1:32" x14ac:dyDescent="0.2">
      <c r="AE144" s="7"/>
      <c r="AF144" s="7"/>
    </row>
    <row r="145" spans="31:32" x14ac:dyDescent="0.2">
      <c r="AE145" s="7"/>
      <c r="AF145" s="7"/>
    </row>
  </sheetData>
  <mergeCells count="2">
    <mergeCell ref="A119:B119"/>
    <mergeCell ref="A118:E1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Myrria Neto</dc:creator>
  <cp:lastModifiedBy>Luís Myrria Neto</cp:lastModifiedBy>
  <cp:lastPrinted>2018-06-18T14:58:32Z</cp:lastPrinted>
  <dcterms:created xsi:type="dcterms:W3CDTF">2017-02-07T18:45:24Z</dcterms:created>
  <dcterms:modified xsi:type="dcterms:W3CDTF">2019-11-05T18:35:06Z</dcterms:modified>
</cp:coreProperties>
</file>