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-EVENTOS-GNTE\Desktop\EVENTOS GRAL\FORMATOS Y ENVÍO\PAQUETES Y AMENIDADES\AMENIDADES\"/>
    </mc:Choice>
  </mc:AlternateContent>
  <xr:revisionPtr revIDLastSave="0" documentId="13_ncr:1_{9C31164A-38B8-4656-A11E-232A6EBB5A0E}" xr6:coauthVersionLast="47" xr6:coauthVersionMax="47" xr10:uidLastSave="{00000000-0000-0000-0000-000000000000}"/>
  <bookViews>
    <workbookView xWindow="-120" yWindow="-120" windowWidth="20730" windowHeight="11160" xr2:uid="{4E4E5DA0-1898-1244-81CA-6294AF9DA133}"/>
  </bookViews>
  <sheets>
    <sheet name="LISTA AMENIDADES" sheetId="11" r:id="rId1"/>
    <sheet name=" PICNIC 2 PAX" sheetId="1" r:id="rId2"/>
    <sheet name="CANASTA PARA LLEVAR" sheetId="4" r:id="rId3"/>
    <sheet name="PIC NIC AMIGAS " sheetId="2" r:id="rId4"/>
    <sheet name="Cenas románticas" sheetId="6" r:id="rId5"/>
    <sheet name="fogatas premium " sheetId="7" r:id="rId6"/>
    <sheet name="Fogatas Puerta Norte " sheetId="8" r:id="rId7"/>
    <sheet name="Cena entre viñedos" sheetId="9" r:id="rId8"/>
    <sheet name="Utilidad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6" l="1"/>
  <c r="C23" i="6" s="1"/>
  <c r="D10" i="9"/>
  <c r="D9" i="9"/>
  <c r="M11" i="7"/>
  <c r="C9" i="9"/>
  <c r="C8" i="9"/>
  <c r="C7" i="9"/>
  <c r="C6" i="9"/>
  <c r="C5" i="9"/>
  <c r="C8" i="6"/>
  <c r="C10" i="6" s="1"/>
  <c r="C9" i="2"/>
  <c r="D22" i="10"/>
  <c r="C8" i="10" s="1"/>
  <c r="D23" i="10"/>
  <c r="D7" i="10"/>
  <c r="D8" i="10"/>
  <c r="D6" i="10"/>
  <c r="E8" i="10" l="1"/>
  <c r="F8" i="10" s="1"/>
  <c r="D5" i="10"/>
  <c r="D4" i="10"/>
  <c r="D8" i="9"/>
  <c r="D7" i="9"/>
  <c r="D6" i="9"/>
  <c r="D5" i="9"/>
  <c r="D11" i="9" s="1"/>
  <c r="D13" i="9" s="1"/>
  <c r="C12" i="8"/>
  <c r="D12" i="8" s="1"/>
  <c r="C12" i="7"/>
  <c r="D12" i="7" s="1"/>
  <c r="D13" i="7" s="1"/>
  <c r="D23" i="6"/>
  <c r="I47" i="1"/>
  <c r="C3" i="4"/>
  <c r="C6" i="10" l="1"/>
  <c r="E6" i="10" s="1"/>
  <c r="F6" i="10" s="1"/>
  <c r="C8" i="4"/>
  <c r="D10" i="10"/>
  <c r="D13" i="8"/>
  <c r="C10" i="10" s="1"/>
  <c r="E10" i="10" s="1"/>
  <c r="F10" i="10" s="1"/>
  <c r="C9" i="10"/>
  <c r="D9" i="10"/>
  <c r="E9" i="10" s="1"/>
  <c r="F9" i="10" s="1"/>
  <c r="D10" i="6"/>
  <c r="C7" i="10"/>
  <c r="E7" i="10" s="1"/>
  <c r="F7" i="10" s="1"/>
  <c r="C9" i="4"/>
  <c r="E9" i="4" s="1"/>
  <c r="G59" i="1"/>
  <c r="I59" i="1" s="1"/>
  <c r="G58" i="1"/>
  <c r="I58" i="1" s="1"/>
  <c r="G57" i="1"/>
  <c r="I57" i="1" s="1"/>
  <c r="G56" i="1"/>
  <c r="I56" i="1" s="1"/>
  <c r="D11" i="10" l="1"/>
  <c r="C11" i="10"/>
  <c r="D14" i="9"/>
  <c r="J60" i="1"/>
  <c r="C4" i="2"/>
  <c r="C6" i="2"/>
  <c r="G23" i="1"/>
  <c r="I23" i="1" s="1"/>
  <c r="G5" i="1"/>
  <c r="I5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25" i="1"/>
  <c r="C10" i="2" l="1"/>
  <c r="C11" i="2" s="1"/>
  <c r="E11" i="10"/>
  <c r="F11" i="10" s="1"/>
  <c r="K61" i="1"/>
  <c r="L61" i="1" s="1"/>
  <c r="E9" i="1"/>
  <c r="D10" i="2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C5" i="10" l="1"/>
  <c r="E5" i="10" s="1"/>
  <c r="F5" i="10" s="1"/>
  <c r="I25" i="1"/>
  <c r="G8" i="1"/>
  <c r="I8" i="1" s="1"/>
  <c r="G7" i="1"/>
  <c r="I7" i="1" s="1"/>
  <c r="G6" i="1"/>
  <c r="I6" i="1" s="1"/>
  <c r="G9" i="1" l="1"/>
  <c r="I9" i="1" s="1"/>
  <c r="J26" i="1" s="1"/>
  <c r="K27" i="1" l="1"/>
  <c r="C4" i="10"/>
  <c r="E4" i="10" s="1"/>
  <c r="F4" i="10" s="1"/>
  <c r="L27" i="1"/>
  <c r="C30" i="1" s="1"/>
  <c r="C36" i="1" s="1"/>
  <c r="C37" i="1" l="1"/>
  <c r="D36" i="1"/>
</calcChain>
</file>

<file path=xl/sharedStrings.xml><?xml version="1.0" encoding="utf-8"?>
<sst xmlns="http://schemas.openxmlformats.org/spreadsheetml/2006/main" count="242" uniqueCount="170">
  <si>
    <t>COSTO POR KILO</t>
  </si>
  <si>
    <t>COSTO  DE RECETA</t>
  </si>
  <si>
    <t>TOTAL COSTO DE PRDUCCION</t>
  </si>
  <si>
    <t xml:space="preserve"> (COSTO DE VENTA) 3.33</t>
  </si>
  <si>
    <t>(+ ) IVA   1.08</t>
  </si>
  <si>
    <t>INSUMO</t>
  </si>
  <si>
    <t>GR</t>
  </si>
  <si>
    <t>KG</t>
  </si>
  <si>
    <t>COSTO UNITARIO</t>
  </si>
  <si>
    <t>RENDIMIENTO</t>
  </si>
  <si>
    <t>COSTO REAL</t>
  </si>
  <si>
    <t>Gr/Ml</t>
  </si>
  <si>
    <t>COSTO</t>
  </si>
  <si>
    <t>Total de produccion</t>
  </si>
  <si>
    <t>Grandes totales</t>
  </si>
  <si>
    <t>FRESA</t>
  </si>
  <si>
    <t>ACEITUNA VERDE SIN HUESO</t>
  </si>
  <si>
    <t>UVA</t>
  </si>
  <si>
    <t xml:space="preserve">COMPOTA DE FRUTOS </t>
  </si>
  <si>
    <t>QUESO NATURAL</t>
  </si>
  <si>
    <t>QUESO CON CHILE MORITA</t>
  </si>
  <si>
    <t>QUESO CON CHILE SERRANO</t>
  </si>
  <si>
    <t xml:space="preserve">JAMON SERRANO </t>
  </si>
  <si>
    <t>TOMATE CHERRY</t>
  </si>
  <si>
    <t>ROMERO</t>
  </si>
  <si>
    <t xml:space="preserve">PAN MASA MADRE </t>
  </si>
  <si>
    <t>CAJA DE PICK NICK</t>
  </si>
  <si>
    <t xml:space="preserve">COMPOTA DE FRUTOS ROJOS  1 LT </t>
  </si>
  <si>
    <t xml:space="preserve">FRUTOS ROJOS CONGELADOS </t>
  </si>
  <si>
    <t>LIMÓN AMARILLO (RALLADURA)</t>
  </si>
  <si>
    <t>AZUCAR ESTANDAR</t>
  </si>
  <si>
    <t>MANTEQUILLA</t>
  </si>
  <si>
    <t xml:space="preserve">PAN BAGUETTE </t>
  </si>
  <si>
    <t xml:space="preserve">JAMON DE PAVO </t>
  </si>
  <si>
    <t xml:space="preserve">ESPINACA </t>
  </si>
  <si>
    <t xml:space="preserve">MAYONESA </t>
  </si>
  <si>
    <t>TOMATE EN SALMUERA</t>
  </si>
  <si>
    <t xml:space="preserve">PIMIENTO MORRÓN </t>
  </si>
  <si>
    <t>BOTELLA DE VINO NEVIOLO</t>
  </si>
  <si>
    <t xml:space="preserve">CAJA PIC NIC PARA 2 PERSONAS </t>
  </si>
  <si>
    <t xml:space="preserve">BOTELLA DE VINO </t>
  </si>
  <si>
    <t xml:space="preserve">COSTO POR DESGASTE DE EQUIPO </t>
  </si>
  <si>
    <t>PRECIO DE VENTA TOTAL</t>
  </si>
  <si>
    <t xml:space="preserve">SERCICIOS QUE INCLUYE NUESTRO PAQUETE </t>
  </si>
  <si>
    <t xml:space="preserve">TRASPORTACION DEL EQUIPO AL AREA DESEADA </t>
  </si>
  <si>
    <t xml:space="preserve">CAJA CON DIVERSOS INGREDIENTES PARA PICAR Y BAGUETTE DE CARNES FRIAS </t>
  </si>
  <si>
    <t>AGUA EMBOTELLADA</t>
  </si>
  <si>
    <t xml:space="preserve">AGUA EMBOTELLADA </t>
  </si>
  <si>
    <t xml:space="preserve">BOTELLA DE VINO A ELECCIÓN DEL CLIENTE </t>
  </si>
  <si>
    <t xml:space="preserve">SERVICIO DE HIELOS DE SER VINO BLANCO O ROSADO </t>
  </si>
  <si>
    <t xml:space="preserve">SERVICIO DESECHABLE CON SERVILLETAS </t>
  </si>
  <si>
    <t xml:space="preserve">DESCRIPCIÓN </t>
  </si>
  <si>
    <t xml:space="preserve">PRECIO </t>
  </si>
  <si>
    <t>NOTAS</t>
  </si>
  <si>
    <t xml:space="preserve">EMPAQUE </t>
  </si>
  <si>
    <t>DECORACIÓN APARTE</t>
  </si>
  <si>
    <t xml:space="preserve">DECOR </t>
  </si>
  <si>
    <t xml:space="preserve">MANTEL </t>
  </si>
  <si>
    <t xml:space="preserve">VELAS </t>
  </si>
  <si>
    <t xml:space="preserve">FLORES </t>
  </si>
  <si>
    <t xml:space="preserve">CUBIERTO </t>
  </si>
  <si>
    <t xml:space="preserve">COPA </t>
  </si>
  <si>
    <t>SERVICIO DE MONTAJE Y EMPAQUE + DECOR</t>
  </si>
  <si>
    <t xml:space="preserve">1 PIZZA/ 1 ENSALADA/ 1 ATÚN </t>
  </si>
  <si>
    <t xml:space="preserve">2 paninis de pollo al pesto </t>
  </si>
  <si>
    <t>1 Tabla de quesos</t>
  </si>
  <si>
    <t>1 Botella de vino bco o rosé</t>
  </si>
  <si>
    <t>Empaque</t>
  </si>
  <si>
    <t xml:space="preserve">Canasta para llevar </t>
  </si>
  <si>
    <t>Pago directo en caja de restaurante</t>
  </si>
  <si>
    <t xml:space="preserve">Se entrega en canasta y con cristalería si se deja una identificación oficial </t>
  </si>
  <si>
    <t>Para consumo en áreas con sillas y mesas sujetas a disponibilidad</t>
  </si>
  <si>
    <t xml:space="preserve">95 USD </t>
  </si>
  <si>
    <t>SERVILLETA</t>
  </si>
  <si>
    <t>BAJOPLATO</t>
  </si>
  <si>
    <t xml:space="preserve">Picnic amigas 4 pax </t>
  </si>
  <si>
    <t xml:space="preserve">120 USD </t>
  </si>
  <si>
    <t xml:space="preserve">ENSALADA </t>
  </si>
  <si>
    <t>ATÚN ENCURTIDO</t>
  </si>
  <si>
    <t>CARNE O PESCADO</t>
  </si>
  <si>
    <t xml:space="preserve">POSTRE </t>
  </si>
  <si>
    <t xml:space="preserve">VINO </t>
  </si>
  <si>
    <t xml:space="preserve">SERVICIO </t>
  </si>
  <si>
    <t xml:space="preserve">TOTAL </t>
  </si>
  <si>
    <t xml:space="preserve">CENA EN EXTERIOR CON MESERO PRIVADO </t>
  </si>
  <si>
    <t>MESERO</t>
  </si>
  <si>
    <t>SET UP FEE</t>
  </si>
  <si>
    <t xml:space="preserve">CENA ROMÁNTICA CAVA O RESTAURANTE </t>
  </si>
  <si>
    <t>145 USD</t>
  </si>
  <si>
    <t xml:space="preserve">ALCOHOL EN GEL </t>
  </si>
  <si>
    <t>FOGATA PREMIUM</t>
  </si>
  <si>
    <t xml:space="preserve">CERILLOS </t>
  </si>
  <si>
    <t xml:space="preserve">5 LITROS DE SANGRÍA </t>
  </si>
  <si>
    <t>LEÑA</t>
  </si>
  <si>
    <t>AGUA EN VITROLERO (NATURAL)</t>
  </si>
  <si>
    <t>HUMMUS, ATÚN, ENSALADA, PASTA Y PIZZA</t>
  </si>
  <si>
    <t>S´MORES</t>
  </si>
  <si>
    <t xml:space="preserve">PRENSA FRANCESA </t>
  </si>
  <si>
    <t>Servicio</t>
  </si>
  <si>
    <t>400 PESOS POR PAX</t>
  </si>
  <si>
    <t xml:space="preserve">37 USD </t>
  </si>
  <si>
    <t xml:space="preserve">20 USD </t>
  </si>
  <si>
    <t>FOGATA PREMIUM HASTA 5 PAX</t>
  </si>
  <si>
    <t xml:space="preserve">100 USD </t>
  </si>
  <si>
    <t xml:space="preserve">PAX EXTRA </t>
  </si>
  <si>
    <t>5 pax</t>
  </si>
  <si>
    <t xml:space="preserve">185 USD </t>
  </si>
  <si>
    <t xml:space="preserve">USD </t>
  </si>
  <si>
    <t>POSTRE</t>
  </si>
  <si>
    <t>ENSALADA  FRUTOS ROJOS</t>
  </si>
  <si>
    <t xml:space="preserve">CREMA DE TOMATE ASADO </t>
  </si>
  <si>
    <t>CORTE / SALMÓN</t>
  </si>
  <si>
    <t xml:space="preserve">Mesero </t>
  </si>
  <si>
    <t xml:space="preserve">75 USD </t>
  </si>
  <si>
    <t xml:space="preserve">Amenidad </t>
  </si>
  <si>
    <t xml:space="preserve">Costo </t>
  </si>
  <si>
    <t xml:space="preserve">Utilidad </t>
  </si>
  <si>
    <t>Teepee 2 pax</t>
  </si>
  <si>
    <t xml:space="preserve">Teepee 4 pax </t>
  </si>
  <si>
    <t>Cena romántica</t>
  </si>
  <si>
    <t>Cena romántica viñedos</t>
  </si>
  <si>
    <t>Fogata Premium</t>
  </si>
  <si>
    <t>Fogata Puerta Norte</t>
  </si>
  <si>
    <t xml:space="preserve">Cena maridaje </t>
  </si>
  <si>
    <t>Amenidades 2021</t>
  </si>
  <si>
    <t>propinas se sacan de los 490 de montaje</t>
  </si>
  <si>
    <t xml:space="preserve">Porcentaje </t>
  </si>
  <si>
    <t>Precio venta antes IVA</t>
  </si>
  <si>
    <t>VINO 100 ml</t>
  </si>
  <si>
    <t>ENSALADA MEDIA PORCI</t>
  </si>
  <si>
    <t>CARNE O PESCADO COMPLETO }</t>
  </si>
  <si>
    <t>CREMA</t>
  </si>
  <si>
    <t>POSTRE PARA COMPARTIR</t>
  </si>
  <si>
    <t>Cenas premium entre viñedos maridaje MEDIAS PORCIONES</t>
  </si>
  <si>
    <t xml:space="preserve">POR 2 PAX </t>
  </si>
  <si>
    <t>POR PAX</t>
  </si>
  <si>
    <t xml:space="preserve">FOGATA PAREJA </t>
  </si>
  <si>
    <t xml:space="preserve">PICNIC ROMÁNTICO </t>
  </si>
  <si>
    <t xml:space="preserve">PIC NIC AMIGAS </t>
  </si>
  <si>
    <t xml:space="preserve">CANASTA CAMPIRANA </t>
  </si>
  <si>
    <t>SIN LÍMITE</t>
  </si>
  <si>
    <t xml:space="preserve">CENA MARIDAJE ENTRE VIÑEDOS </t>
  </si>
  <si>
    <t xml:space="preserve">FOGATA PUERTA NORTE </t>
  </si>
  <si>
    <t xml:space="preserve">FOGATA DEL RANCHO </t>
  </si>
  <si>
    <t xml:space="preserve">CABALGATAS </t>
  </si>
  <si>
    <t>$20/$35</t>
  </si>
  <si>
    <t xml:space="preserve">HIKING </t>
  </si>
  <si>
    <t xml:space="preserve"> - </t>
  </si>
  <si>
    <t>CANCELADO</t>
  </si>
  <si>
    <t xml:space="preserve">DEGUSTACIÓN DE VINO </t>
  </si>
  <si>
    <t>$13/$18/$25</t>
  </si>
  <si>
    <t>PENDIENTE</t>
  </si>
  <si>
    <t>MESA DE BILLAR</t>
  </si>
  <si>
    <t>AMENIDAD</t>
  </si>
  <si>
    <t># POR DÍA</t>
  </si>
  <si>
    <t>CENA ROMÁNTICA EN CAVA</t>
  </si>
  <si>
    <t>CENA ROMÁNTICA EN EXTERIOR</t>
  </si>
  <si>
    <t>*</t>
  </si>
  <si>
    <t>*REQUIEREN VERIFICACIÓN DE ALIMENTOS Y BEBIDAS</t>
  </si>
  <si>
    <t xml:space="preserve">DÍAS DISPONIBLES </t>
  </si>
  <si>
    <t>HORARIOS</t>
  </si>
  <si>
    <t>TIEMPO DE ANTICIPACIÓN</t>
  </si>
  <si>
    <t xml:space="preserve">LUNES A DOMINGO </t>
  </si>
  <si>
    <t xml:space="preserve">10 AM A 2 PM 3 PM A 10 PM </t>
  </si>
  <si>
    <t xml:space="preserve">10 AM A 5 PM </t>
  </si>
  <si>
    <t>24 HR</t>
  </si>
  <si>
    <t>NA</t>
  </si>
  <si>
    <t>VIERNES A DOMINGO</t>
  </si>
  <si>
    <t xml:space="preserve">LUNES A SÁBADO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</si>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</sst>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P Simplified"/>
      <family val="2"/>
    </font>
    <font>
      <b/>
      <sz val="22"/>
      <color theme="1"/>
      <name val="HP Simplified"/>
      <family val="2"/>
    </font>
    <font>
      <b/>
      <sz val="16"/>
      <color theme="1"/>
      <name val="HP Simplified"/>
      <family val="2"/>
    </font>
    <font>
      <b/>
      <sz val="12"/>
      <color theme="1"/>
      <name val="HP Simplified"/>
      <family val="2"/>
    </font>
    <font>
      <b/>
      <sz val="20"/>
      <color theme="1"/>
      <name val="HP Simplified"/>
      <family val="2"/>
    </font>
    <font>
      <sz val="10"/>
      <color theme="1"/>
      <name val="HP Simplified"/>
      <family val="2"/>
    </font>
    <font>
      <b/>
      <sz val="11"/>
      <color theme="1"/>
      <name val="HP Simplified"/>
      <family val="2"/>
    </font>
    <font>
      <b/>
      <sz val="14"/>
      <color theme="1"/>
      <name val="HP Simplified"/>
      <family val="2"/>
    </font>
    <font>
      <b/>
      <u val="singleAccounting"/>
      <sz val="14"/>
      <color theme="1"/>
      <name val="HP Simplified"/>
      <family val="2"/>
    </font>
    <font>
      <sz val="12"/>
      <color theme="0"/>
      <name val="HP Simplified"/>
      <family val="2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8">
    <xf numFmtId="0" fontId="0" fillId="0" borderId="0" xfId="0"/>
    <xf numFmtId="0" fontId="3" fillId="0" borderId="0" xfId="0" applyFont="1"/>
    <xf numFmtId="0" fontId="5" fillId="0" borderId="32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6" fillId="0" borderId="9" xfId="0" applyFont="1" applyBorder="1"/>
    <xf numFmtId="164" fontId="3" fillId="0" borderId="34" xfId="0" applyNumberFormat="1" applyFont="1" applyBorder="1" applyAlignment="1">
      <alignment horizontal="left"/>
    </xf>
    <xf numFmtId="0" fontId="3" fillId="0" borderId="10" xfId="0" applyFont="1" applyBorder="1"/>
    <xf numFmtId="0" fontId="3" fillId="0" borderId="30" xfId="0" applyFont="1" applyBorder="1"/>
    <xf numFmtId="0" fontId="6" fillId="0" borderId="17" xfId="0" applyFont="1" applyBorder="1"/>
    <xf numFmtId="164" fontId="3" fillId="0" borderId="35" xfId="0" applyNumberFormat="1" applyFont="1" applyBorder="1" applyAlignment="1">
      <alignment horizontal="left"/>
    </xf>
    <xf numFmtId="0" fontId="3" fillId="0" borderId="31" xfId="0" applyFont="1" applyBorder="1"/>
    <xf numFmtId="0" fontId="6" fillId="7" borderId="17" xfId="0" applyFont="1" applyFill="1" applyBorder="1"/>
    <xf numFmtId="164" fontId="3" fillId="7" borderId="35" xfId="0" applyNumberFormat="1" applyFont="1" applyFill="1" applyBorder="1" applyAlignment="1">
      <alignment horizontal="left"/>
    </xf>
    <xf numFmtId="0" fontId="6" fillId="0" borderId="17" xfId="0" applyFont="1" applyBorder="1" applyAlignment="1">
      <alignment wrapText="1"/>
    </xf>
    <xf numFmtId="44" fontId="3" fillId="0" borderId="0" xfId="0" applyNumberFormat="1" applyFont="1"/>
    <xf numFmtId="0" fontId="6" fillId="0" borderId="32" xfId="0" applyFont="1" applyBorder="1"/>
    <xf numFmtId="8" fontId="7" fillId="7" borderId="5" xfId="0" applyNumberFormat="1" applyFont="1" applyFill="1" applyBorder="1" applyAlignment="1">
      <alignment horizontal="left"/>
    </xf>
    <xf numFmtId="0" fontId="7" fillId="5" borderId="4" xfId="0" applyFont="1" applyFill="1" applyBorder="1"/>
    <xf numFmtId="0" fontId="3" fillId="0" borderId="1" xfId="0" applyFont="1" applyBorder="1"/>
    <xf numFmtId="0" fontId="3" fillId="0" borderId="33" xfId="0" applyFont="1" applyBorder="1"/>
    <xf numFmtId="0" fontId="3" fillId="0" borderId="22" xfId="0" applyFont="1" applyBorder="1"/>
    <xf numFmtId="44" fontId="3" fillId="0" borderId="22" xfId="3" applyFont="1" applyBorder="1"/>
    <xf numFmtId="44" fontId="3" fillId="0" borderId="22" xfId="0" applyNumberFormat="1" applyFont="1" applyBorder="1"/>
    <xf numFmtId="0" fontId="3" fillId="0" borderId="2" xfId="0" applyFont="1" applyBorder="1"/>
    <xf numFmtId="0" fontId="8" fillId="0" borderId="5" xfId="0" applyFont="1" applyBorder="1"/>
    <xf numFmtId="0" fontId="3" fillId="0" borderId="5" xfId="0" applyFont="1" applyBorder="1"/>
    <xf numFmtId="44" fontId="3" fillId="0" borderId="5" xfId="2" applyFont="1" applyBorder="1"/>
    <xf numFmtId="0" fontId="9" fillId="0" borderId="36" xfId="0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44" fontId="9" fillId="0" borderId="7" xfId="2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center" vertical="center"/>
    </xf>
    <xf numFmtId="164" fontId="9" fillId="0" borderId="7" xfId="2" applyNumberFormat="1" applyFont="1" applyBorder="1" applyAlignment="1">
      <alignment horizontal="center" vertical="center"/>
    </xf>
    <xf numFmtId="44" fontId="9" fillId="0" borderId="8" xfId="2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 vertical="center"/>
    </xf>
    <xf numFmtId="44" fontId="3" fillId="0" borderId="13" xfId="2" applyFont="1" applyBorder="1" applyAlignment="1">
      <alignment horizontal="center" vertical="center"/>
    </xf>
    <xf numFmtId="0" fontId="3" fillId="0" borderId="14" xfId="1" applyNumberFormat="1" applyFont="1" applyBorder="1" applyAlignment="1">
      <alignment horizontal="center" vertical="center"/>
    </xf>
    <xf numFmtId="164" fontId="3" fillId="0" borderId="15" xfId="2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right"/>
    </xf>
    <xf numFmtId="44" fontId="3" fillId="0" borderId="15" xfId="2" applyFont="1" applyBorder="1"/>
    <xf numFmtId="0" fontId="3" fillId="0" borderId="37" xfId="0" applyFont="1" applyBorder="1"/>
    <xf numFmtId="44" fontId="3" fillId="3" borderId="20" xfId="0" applyNumberFormat="1" applyFont="1" applyFill="1" applyBorder="1"/>
    <xf numFmtId="0" fontId="3" fillId="0" borderId="28" xfId="0" applyFont="1" applyBorder="1"/>
    <xf numFmtId="44" fontId="3" fillId="4" borderId="28" xfId="0" applyNumberFormat="1" applyFont="1" applyFill="1" applyBorder="1"/>
    <xf numFmtId="44" fontId="3" fillId="5" borderId="29" xfId="2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/>
    <xf numFmtId="44" fontId="11" fillId="0" borderId="0" xfId="0" applyNumberFormat="1" applyFont="1"/>
    <xf numFmtId="0" fontId="6" fillId="0" borderId="11" xfId="0" applyFont="1" applyBorder="1"/>
    <xf numFmtId="44" fontId="3" fillId="0" borderId="42" xfId="3" applyFont="1" applyBorder="1" applyAlignment="1">
      <alignment horizontal="right"/>
    </xf>
    <xf numFmtId="0" fontId="3" fillId="0" borderId="9" xfId="0" applyFont="1" applyBorder="1"/>
    <xf numFmtId="0" fontId="6" fillId="0" borderId="16" xfId="0" applyFont="1" applyBorder="1"/>
    <xf numFmtId="44" fontId="3" fillId="0" borderId="43" xfId="3" applyFont="1" applyBorder="1" applyAlignment="1">
      <alignment horizontal="right"/>
    </xf>
    <xf numFmtId="0" fontId="3" fillId="0" borderId="17" xfId="0" applyFont="1" applyBorder="1"/>
    <xf numFmtId="0" fontId="6" fillId="7" borderId="16" xfId="0" applyFont="1" applyFill="1" applyBorder="1"/>
    <xf numFmtId="0" fontId="6" fillId="0" borderId="16" xfId="0" applyFont="1" applyBorder="1" applyAlignment="1">
      <alignment wrapText="1"/>
    </xf>
    <xf numFmtId="0" fontId="6" fillId="0" borderId="27" xfId="0" applyFont="1" applyBorder="1"/>
    <xf numFmtId="44" fontId="3" fillId="0" borderId="44" xfId="3" applyFont="1" applyBorder="1" applyAlignment="1">
      <alignment horizontal="right"/>
    </xf>
    <xf numFmtId="0" fontId="7" fillId="5" borderId="5" xfId="0" applyFont="1" applyFill="1" applyBorder="1" applyAlignment="1">
      <alignment horizontal="center"/>
    </xf>
    <xf numFmtId="44" fontId="3" fillId="0" borderId="30" xfId="3" applyFont="1" applyBorder="1"/>
    <xf numFmtId="44" fontId="3" fillId="0" borderId="31" xfId="3" applyFont="1" applyBorder="1"/>
    <xf numFmtId="0" fontId="3" fillId="0" borderId="32" xfId="0" applyFont="1" applyBorder="1"/>
    <xf numFmtId="0" fontId="9" fillId="0" borderId="9" xfId="0" applyFont="1" applyBorder="1"/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44" fontId="9" fillId="0" borderId="24" xfId="2" applyFont="1" applyBorder="1" applyAlignment="1">
      <alignment horizontal="center" vertical="center"/>
    </xf>
    <xf numFmtId="0" fontId="9" fillId="0" borderId="24" xfId="1" applyNumberFormat="1" applyFont="1" applyBorder="1" applyAlignment="1">
      <alignment horizontal="center" vertical="center"/>
    </xf>
    <xf numFmtId="164" fontId="9" fillId="0" borderId="24" xfId="2" applyNumberFormat="1" applyFont="1" applyBorder="1" applyAlignment="1">
      <alignment horizontal="center" vertical="center"/>
    </xf>
    <xf numFmtId="44" fontId="9" fillId="0" borderId="25" xfId="2" applyFont="1" applyBorder="1" applyAlignment="1">
      <alignment horizontal="center"/>
    </xf>
    <xf numFmtId="0" fontId="3" fillId="0" borderId="16" xfId="0" applyFont="1" applyBorder="1"/>
    <xf numFmtId="0" fontId="3" fillId="0" borderId="22" xfId="0" applyFont="1" applyBorder="1" applyAlignment="1">
      <alignment horizontal="center" vertical="center"/>
    </xf>
    <xf numFmtId="44" fontId="3" fillId="0" borderId="22" xfId="2" applyFont="1" applyBorder="1" applyAlignment="1">
      <alignment horizontal="center" vertical="center"/>
    </xf>
    <xf numFmtId="0" fontId="3" fillId="0" borderId="22" xfId="1" applyNumberFormat="1" applyFont="1" applyBorder="1" applyAlignment="1">
      <alignment horizontal="center" vertical="center"/>
    </xf>
    <xf numFmtId="164" fontId="3" fillId="0" borderId="22" xfId="2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right"/>
    </xf>
    <xf numFmtId="44" fontId="3" fillId="0" borderId="13" xfId="2" applyFont="1" applyBorder="1" applyAlignment="1"/>
    <xf numFmtId="44" fontId="3" fillId="3" borderId="26" xfId="0" applyNumberFormat="1" applyFont="1" applyFill="1" applyBorder="1"/>
    <xf numFmtId="0" fontId="3" fillId="0" borderId="19" xfId="0" applyFont="1" applyBorder="1"/>
    <xf numFmtId="44" fontId="3" fillId="4" borderId="22" xfId="0" applyNumberFormat="1" applyFont="1" applyFill="1" applyBorder="1"/>
    <xf numFmtId="44" fontId="3" fillId="5" borderId="22" xfId="2" applyFont="1" applyFill="1" applyBorder="1"/>
    <xf numFmtId="44" fontId="3" fillId="7" borderId="43" xfId="0" applyNumberFormat="1" applyFont="1" applyFill="1" applyBorder="1"/>
    <xf numFmtId="44" fontId="6" fillId="5" borderId="5" xfId="3" applyFont="1" applyFill="1" applyBorder="1"/>
    <xf numFmtId="44" fontId="3" fillId="0" borderId="17" xfId="0" applyNumberFormat="1" applyFont="1" applyBorder="1"/>
    <xf numFmtId="0" fontId="6" fillId="5" borderId="5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4" fontId="3" fillId="0" borderId="10" xfId="3" applyFont="1" applyBorder="1"/>
    <xf numFmtId="44" fontId="3" fillId="0" borderId="0" xfId="3" applyFont="1" applyBorder="1"/>
    <xf numFmtId="44" fontId="3" fillId="0" borderId="1" xfId="3" applyFont="1" applyBorder="1"/>
    <xf numFmtId="44" fontId="3" fillId="0" borderId="33" xfId="3" applyFont="1" applyBorder="1"/>
    <xf numFmtId="0" fontId="6" fillId="5" borderId="4" xfId="0" applyFont="1" applyFill="1" applyBorder="1" applyAlignment="1">
      <alignment horizontal="center"/>
    </xf>
    <xf numFmtId="44" fontId="3" fillId="0" borderId="1" xfId="0" applyNumberFormat="1" applyFont="1" applyBorder="1"/>
    <xf numFmtId="44" fontId="3" fillId="0" borderId="33" xfId="0" applyNumberFormat="1" applyFont="1" applyBorder="1"/>
    <xf numFmtId="0" fontId="3" fillId="7" borderId="0" xfId="0" applyFont="1" applyFill="1"/>
    <xf numFmtId="44" fontId="3" fillId="7" borderId="0" xfId="3" applyFont="1" applyFill="1"/>
    <xf numFmtId="0" fontId="3" fillId="0" borderId="17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7" borderId="4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vertical="center"/>
    </xf>
    <xf numFmtId="44" fontId="3" fillId="7" borderId="0" xfId="0" applyNumberFormat="1" applyFont="1" applyFill="1"/>
    <xf numFmtId="0" fontId="6" fillId="5" borderId="4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3" fillId="0" borderId="13" xfId="0" applyFont="1" applyBorder="1"/>
    <xf numFmtId="0" fontId="3" fillId="0" borderId="27" xfId="0" applyFont="1" applyBorder="1"/>
    <xf numFmtId="0" fontId="3" fillId="0" borderId="29" xfId="0" applyFont="1" applyBorder="1"/>
    <xf numFmtId="44" fontId="3" fillId="0" borderId="28" xfId="3" applyFont="1" applyBorder="1"/>
    <xf numFmtId="9" fontId="3" fillId="0" borderId="13" xfId="1" applyFont="1" applyBorder="1"/>
    <xf numFmtId="0" fontId="12" fillId="0" borderId="0" xfId="0" applyFont="1"/>
    <xf numFmtId="44" fontId="12" fillId="0" borderId="0" xfId="3" applyFont="1" applyBorder="1"/>
    <xf numFmtId="44" fontId="12" fillId="0" borderId="0" xfId="0" applyNumberFormat="1" applyFont="1"/>
    <xf numFmtId="0" fontId="3" fillId="4" borderId="0" xfId="0" applyFont="1" applyFill="1"/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44" fontId="3" fillId="0" borderId="10" xfId="2" applyFont="1" applyBorder="1" applyAlignment="1">
      <alignment horizontal="center"/>
    </xf>
    <xf numFmtId="44" fontId="3" fillId="0" borderId="0" xfId="2" applyFont="1" applyAlignment="1">
      <alignment horizontal="center"/>
    </xf>
    <xf numFmtId="44" fontId="3" fillId="0" borderId="21" xfId="2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31" xfId="0" applyFont="1" applyBorder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4" fontId="3" fillId="0" borderId="30" xfId="2" applyFont="1" applyBorder="1" applyAlignment="1">
      <alignment horizontal="center"/>
    </xf>
    <xf numFmtId="44" fontId="3" fillId="0" borderId="31" xfId="2" applyFont="1" applyBorder="1" applyAlignment="1">
      <alignment horizontal="center"/>
    </xf>
    <xf numFmtId="44" fontId="3" fillId="0" borderId="38" xfId="2" applyFont="1" applyBorder="1" applyAlignment="1">
      <alignment horizontal="center"/>
    </xf>
    <xf numFmtId="0" fontId="9" fillId="0" borderId="3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17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3" fillId="0" borderId="33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4" fontId="0" fillId="0" borderId="22" xfId="3" applyFont="1" applyBorder="1"/>
    <xf numFmtId="0" fontId="14" fillId="0" borderId="22" xfId="0" applyFont="1" applyBorder="1" applyAlignment="1">
      <alignment horizontal="center"/>
    </xf>
    <xf numFmtId="0" fontId="0" fillId="0" borderId="22" xfId="0" applyFill="1" applyBorder="1"/>
    <xf numFmtId="0" fontId="0" fillId="5" borderId="22" xfId="0" applyFill="1" applyBorder="1"/>
  </cellXfs>
  <cellStyles count="4">
    <cellStyle name="Moneda" xfId="3" builtinId="4"/>
    <cellStyle name="Moneda 2" xfId="2" xr:uid="{D92A901C-6539-0242-AB13-BE5EE0BA03B7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6024-2DE6-4288-8512-716DD002C454}">
  <dimension ref="A1:G15"/>
  <sheetViews>
    <sheetView tabSelected="1" workbookViewId="0">
      <selection activeCell="G17" sqref="G17"/>
    </sheetView>
  </sheetViews>
  <sheetFormatPr baseColWidth="10" defaultRowHeight="15.75" x14ac:dyDescent="0.25"/>
  <cols>
    <col min="1" max="1" width="27.75" bestFit="1" customWidth="1"/>
    <col min="2" max="2" width="11.375" bestFit="1" customWidth="1"/>
    <col min="3" max="3" width="19" style="169" customWidth="1"/>
    <col min="4" max="4" width="2.375" customWidth="1"/>
    <col min="5" max="5" width="18.625" bestFit="1" customWidth="1"/>
    <col min="6" max="6" width="25" bestFit="1" customWidth="1"/>
    <col min="7" max="7" width="22.75" bestFit="1" customWidth="1"/>
  </cols>
  <sheetData>
    <row r="1" spans="1:7" x14ac:dyDescent="0.25">
      <c r="A1" s="170" t="s">
        <v>153</v>
      </c>
      <c r="B1" s="170" t="s">
        <v>52</v>
      </c>
      <c r="C1" s="172" t="s">
        <v>154</v>
      </c>
      <c r="D1" s="170"/>
      <c r="E1" s="176" t="s">
        <v>159</v>
      </c>
      <c r="F1" s="176" t="s">
        <v>160</v>
      </c>
      <c r="G1" s="176" t="s">
        <v>161</v>
      </c>
    </row>
    <row r="2" spans="1:7" x14ac:dyDescent="0.25">
      <c r="A2" s="170" t="s">
        <v>137</v>
      </c>
      <c r="B2" s="174">
        <v>95</v>
      </c>
      <c r="C2" s="171">
        <v>2</v>
      </c>
      <c r="D2" s="170"/>
      <c r="E2" s="170" t="s">
        <v>162</v>
      </c>
      <c r="F2" s="170" t="s">
        <v>163</v>
      </c>
      <c r="G2" s="170" t="s">
        <v>165</v>
      </c>
    </row>
    <row r="3" spans="1:7" x14ac:dyDescent="0.25">
      <c r="A3" s="170" t="s">
        <v>138</v>
      </c>
      <c r="B3" s="174">
        <v>110</v>
      </c>
      <c r="C3" s="171"/>
      <c r="D3" s="170"/>
      <c r="E3" s="170" t="s">
        <v>162</v>
      </c>
      <c r="F3" s="170" t="s">
        <v>163</v>
      </c>
      <c r="G3" s="170" t="s">
        <v>165</v>
      </c>
    </row>
    <row r="4" spans="1:7" x14ac:dyDescent="0.25">
      <c r="A4" s="170" t="s">
        <v>139</v>
      </c>
      <c r="B4" s="174">
        <v>65</v>
      </c>
      <c r="C4" s="172" t="s">
        <v>140</v>
      </c>
      <c r="D4" s="170"/>
      <c r="E4" s="170" t="s">
        <v>162</v>
      </c>
      <c r="F4" s="170" t="s">
        <v>164</v>
      </c>
      <c r="G4" s="170" t="s">
        <v>166</v>
      </c>
    </row>
    <row r="5" spans="1:7" x14ac:dyDescent="0.25">
      <c r="A5" s="170" t="s">
        <v>155</v>
      </c>
      <c r="B5" s="174">
        <v>120</v>
      </c>
      <c r="C5" s="172">
        <v>1</v>
      </c>
      <c r="D5" s="170" t="s">
        <v>157</v>
      </c>
      <c r="E5" s="177" t="s">
        <v>167</v>
      </c>
      <c r="F5" s="177"/>
      <c r="G5" s="177"/>
    </row>
    <row r="6" spans="1:7" x14ac:dyDescent="0.25">
      <c r="A6" s="170" t="s">
        <v>156</v>
      </c>
      <c r="B6" s="174">
        <v>145</v>
      </c>
      <c r="C6" s="172">
        <v>3</v>
      </c>
      <c r="D6" s="170" t="s">
        <v>157</v>
      </c>
      <c r="E6" s="177" t="s">
        <v>167</v>
      </c>
      <c r="F6" s="177"/>
      <c r="G6" s="177"/>
    </row>
    <row r="7" spans="1:7" x14ac:dyDescent="0.25">
      <c r="A7" s="170" t="s">
        <v>141</v>
      </c>
      <c r="B7" s="174">
        <v>75</v>
      </c>
      <c r="C7" s="173">
        <v>2</v>
      </c>
      <c r="D7" s="170" t="s">
        <v>157</v>
      </c>
      <c r="E7" s="177" t="s">
        <v>167</v>
      </c>
      <c r="F7" s="177"/>
      <c r="G7" s="177"/>
    </row>
    <row r="8" spans="1:7" x14ac:dyDescent="0.25">
      <c r="A8" s="170" t="s">
        <v>142</v>
      </c>
      <c r="B8" s="174">
        <v>185</v>
      </c>
      <c r="C8" s="172">
        <v>1</v>
      </c>
      <c r="D8" s="170"/>
      <c r="E8" s="177" t="s">
        <v>167</v>
      </c>
      <c r="F8" s="177"/>
      <c r="G8" s="177"/>
    </row>
    <row r="9" spans="1:7" x14ac:dyDescent="0.25">
      <c r="A9" s="170" t="s">
        <v>143</v>
      </c>
      <c r="B9" s="174">
        <v>100</v>
      </c>
      <c r="C9" s="172">
        <v>1</v>
      </c>
      <c r="D9" s="170"/>
      <c r="E9" s="177" t="s">
        <v>167</v>
      </c>
      <c r="F9" s="177"/>
      <c r="G9" s="177"/>
    </row>
    <row r="10" spans="1:7" x14ac:dyDescent="0.25">
      <c r="A10" s="170" t="s">
        <v>144</v>
      </c>
      <c r="B10" s="170" t="s">
        <v>145</v>
      </c>
      <c r="C10" s="172" t="s">
        <v>151</v>
      </c>
      <c r="D10" s="170"/>
      <c r="E10" s="170" t="s">
        <v>168</v>
      </c>
      <c r="F10" s="170"/>
      <c r="G10" s="170"/>
    </row>
    <row r="11" spans="1:7" x14ac:dyDescent="0.25">
      <c r="A11" s="170" t="s">
        <v>146</v>
      </c>
      <c r="B11" s="170" t="s">
        <v>147</v>
      </c>
      <c r="C11" s="172" t="s">
        <v>148</v>
      </c>
      <c r="D11" s="170"/>
      <c r="E11" s="170"/>
      <c r="F11" s="170"/>
      <c r="G11" s="170"/>
    </row>
    <row r="12" spans="1:7" x14ac:dyDescent="0.25">
      <c r="A12" s="170" t="s">
        <v>149</v>
      </c>
      <c r="B12" s="170" t="s">
        <v>150</v>
      </c>
      <c r="C12" s="172" t="s">
        <v>151</v>
      </c>
      <c r="D12" s="170" t="s">
        <v>157</v>
      </c>
      <c r="E12" s="170" t="s">
        <v>166</v>
      </c>
      <c r="F12" s="170" t="s">
        <v>169</v>
      </c>
      <c r="G12" s="170" t="s">
        <v>166</v>
      </c>
    </row>
    <row r="13" spans="1:7" x14ac:dyDescent="0.25">
      <c r="A13" s="170" t="s">
        <v>152</v>
      </c>
      <c r="B13" s="174">
        <v>6</v>
      </c>
      <c r="C13" s="172" t="s">
        <v>151</v>
      </c>
      <c r="D13" s="170" t="s">
        <v>157</v>
      </c>
      <c r="E13" s="177"/>
      <c r="F13" s="177"/>
      <c r="G13" s="177"/>
    </row>
    <row r="15" spans="1:7" x14ac:dyDescent="0.25">
      <c r="A15" s="175" t="s">
        <v>158</v>
      </c>
      <c r="B15" s="175"/>
      <c r="C15" s="175"/>
      <c r="D15" s="175"/>
    </row>
  </sheetData>
  <mergeCells count="2">
    <mergeCell ref="C2:C3"/>
    <mergeCell ref="A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203-8E94-9F44-AF72-B7E41EE6C344}">
  <dimension ref="B1:L61"/>
  <sheetViews>
    <sheetView topLeftCell="A43" zoomScale="75" zoomScaleNormal="75" workbookViewId="0">
      <selection activeCell="K34" sqref="K34"/>
    </sheetView>
  </sheetViews>
  <sheetFormatPr baseColWidth="10" defaultRowHeight="15" x14ac:dyDescent="0.2"/>
  <cols>
    <col min="1" max="1" width="11" style="1"/>
    <col min="2" max="2" width="32" style="1" customWidth="1"/>
    <col min="3" max="3" width="15" style="1" bestFit="1" customWidth="1"/>
    <col min="4" max="4" width="14.125" style="1" customWidth="1"/>
    <col min="5" max="5" width="18.625" style="1" customWidth="1"/>
    <col min="6" max="7" width="11" style="1"/>
    <col min="8" max="8" width="13.375" style="1" customWidth="1"/>
    <col min="9" max="11" width="11" style="1"/>
    <col min="12" max="12" width="13.875" style="1" customWidth="1"/>
    <col min="13" max="16384" width="11" style="1"/>
  </cols>
  <sheetData>
    <row r="1" spans="2:12" ht="15.75" thickBot="1" x14ac:dyDescent="0.25"/>
    <row r="2" spans="2:12" ht="18" thickBot="1" x14ac:dyDescent="0.35">
      <c r="B2" s="116" t="s">
        <v>26</v>
      </c>
      <c r="C2" s="117"/>
      <c r="D2" s="117"/>
      <c r="E2" s="117"/>
      <c r="F2" s="117"/>
      <c r="G2" s="117"/>
      <c r="H2" s="117"/>
      <c r="I2" s="117"/>
      <c r="J2" s="117"/>
      <c r="K2" s="117"/>
      <c r="L2" s="118"/>
    </row>
    <row r="3" spans="2:12" ht="15.75" thickBot="1" x14ac:dyDescent="0.25">
      <c r="B3" s="23"/>
      <c r="C3" s="119" t="s">
        <v>0</v>
      </c>
      <c r="D3" s="120"/>
      <c r="E3" s="120"/>
      <c r="F3" s="120"/>
      <c r="G3" s="121"/>
      <c r="H3" s="119" t="s">
        <v>1</v>
      </c>
      <c r="I3" s="121"/>
      <c r="J3" s="24" t="s">
        <v>2</v>
      </c>
      <c r="K3" s="25" t="s">
        <v>3</v>
      </c>
      <c r="L3" s="26" t="s">
        <v>4</v>
      </c>
    </row>
    <row r="4" spans="2:12" ht="16.5" thickBot="1" x14ac:dyDescent="0.3">
      <c r="B4" s="27" t="s">
        <v>5</v>
      </c>
      <c r="C4" s="28" t="s">
        <v>6</v>
      </c>
      <c r="D4" s="29" t="s">
        <v>7</v>
      </c>
      <c r="E4" s="30" t="s">
        <v>8</v>
      </c>
      <c r="F4" s="31" t="s">
        <v>9</v>
      </c>
      <c r="G4" s="32" t="s">
        <v>10</v>
      </c>
      <c r="H4" s="29" t="s">
        <v>11</v>
      </c>
      <c r="I4" s="33" t="s">
        <v>12</v>
      </c>
      <c r="J4" s="142"/>
      <c r="K4" s="122"/>
      <c r="L4" s="144"/>
    </row>
    <row r="5" spans="2:12" ht="16.5" thickBot="1" x14ac:dyDescent="0.3">
      <c r="B5" s="27" t="s">
        <v>26</v>
      </c>
      <c r="C5" s="34">
        <v>1</v>
      </c>
      <c r="D5" s="35">
        <v>1</v>
      </c>
      <c r="E5" s="36">
        <v>20</v>
      </c>
      <c r="F5" s="37">
        <v>1</v>
      </c>
      <c r="G5" s="38">
        <f>D5/F5*E5</f>
        <v>20</v>
      </c>
      <c r="H5" s="39">
        <v>1</v>
      </c>
      <c r="I5" s="40">
        <f>H5*G5/C5</f>
        <v>20</v>
      </c>
      <c r="J5" s="143"/>
      <c r="K5" s="123"/>
      <c r="L5" s="145"/>
    </row>
    <row r="6" spans="2:12" ht="15.75" thickBot="1" x14ac:dyDescent="0.25">
      <c r="B6" s="41" t="s">
        <v>15</v>
      </c>
      <c r="C6" s="34">
        <v>1000</v>
      </c>
      <c r="D6" s="35">
        <v>1</v>
      </c>
      <c r="E6" s="36">
        <v>200</v>
      </c>
      <c r="F6" s="37">
        <v>1</v>
      </c>
      <c r="G6" s="38">
        <f>D6/F6*E6</f>
        <v>200</v>
      </c>
      <c r="H6" s="39">
        <v>50</v>
      </c>
      <c r="I6" s="40">
        <f>H6*G6/C6</f>
        <v>10</v>
      </c>
      <c r="J6" s="143"/>
      <c r="K6" s="123"/>
      <c r="L6" s="145"/>
    </row>
    <row r="7" spans="2:12" ht="15.75" thickBot="1" x14ac:dyDescent="0.25">
      <c r="B7" s="41" t="s">
        <v>16</v>
      </c>
      <c r="C7" s="34">
        <v>1000</v>
      </c>
      <c r="D7" s="35">
        <v>1</v>
      </c>
      <c r="E7" s="36">
        <v>110</v>
      </c>
      <c r="F7" s="37">
        <v>1</v>
      </c>
      <c r="G7" s="38">
        <f>D7/F7*E7</f>
        <v>110</v>
      </c>
      <c r="H7" s="39">
        <v>70</v>
      </c>
      <c r="I7" s="40">
        <f t="shared" ref="I7:I25" si="0">H7*G7/C7</f>
        <v>7.7</v>
      </c>
      <c r="J7" s="143"/>
      <c r="K7" s="123"/>
      <c r="L7" s="145"/>
    </row>
    <row r="8" spans="2:12" ht="15.75" thickBot="1" x14ac:dyDescent="0.25">
      <c r="B8" s="41" t="s">
        <v>17</v>
      </c>
      <c r="C8" s="34">
        <v>1000</v>
      </c>
      <c r="D8" s="35">
        <v>1</v>
      </c>
      <c r="E8" s="36">
        <v>70</v>
      </c>
      <c r="F8" s="37">
        <v>1</v>
      </c>
      <c r="G8" s="38">
        <f t="shared" ref="G8:G15" si="1">D8/F8*E8</f>
        <v>70</v>
      </c>
      <c r="H8" s="39">
        <v>50</v>
      </c>
      <c r="I8" s="40">
        <f t="shared" si="0"/>
        <v>3.5</v>
      </c>
      <c r="J8" s="143"/>
      <c r="K8" s="123"/>
      <c r="L8" s="145"/>
    </row>
    <row r="9" spans="2:12" ht="15.75" thickBot="1" x14ac:dyDescent="0.25">
      <c r="B9" s="41" t="s">
        <v>18</v>
      </c>
      <c r="C9" s="34">
        <v>1000</v>
      </c>
      <c r="D9" s="35">
        <v>1</v>
      </c>
      <c r="E9" s="36">
        <f>J60</f>
        <v>132.91666666666666</v>
      </c>
      <c r="F9" s="37">
        <v>1</v>
      </c>
      <c r="G9" s="38">
        <f t="shared" si="1"/>
        <v>132.91666666666666</v>
      </c>
      <c r="H9" s="39">
        <v>118</v>
      </c>
      <c r="I9" s="40">
        <f t="shared" si="0"/>
        <v>15.684166666666666</v>
      </c>
      <c r="J9" s="143"/>
      <c r="K9" s="123"/>
      <c r="L9" s="145"/>
    </row>
    <row r="10" spans="2:12" ht="15.75" thickBot="1" x14ac:dyDescent="0.25">
      <c r="B10" s="41" t="s">
        <v>19</v>
      </c>
      <c r="C10" s="34">
        <v>1000</v>
      </c>
      <c r="D10" s="35">
        <v>1</v>
      </c>
      <c r="E10" s="36">
        <v>90</v>
      </c>
      <c r="F10" s="37">
        <v>1</v>
      </c>
      <c r="G10" s="38">
        <f t="shared" si="1"/>
        <v>90</v>
      </c>
      <c r="H10" s="39">
        <v>80</v>
      </c>
      <c r="I10" s="40">
        <f t="shared" si="0"/>
        <v>7.2</v>
      </c>
      <c r="J10" s="143"/>
      <c r="K10" s="123"/>
      <c r="L10" s="145"/>
    </row>
    <row r="11" spans="2:12" ht="15.75" thickBot="1" x14ac:dyDescent="0.25">
      <c r="B11" s="41" t="s">
        <v>20</v>
      </c>
      <c r="C11" s="34">
        <v>1000</v>
      </c>
      <c r="D11" s="35">
        <v>1</v>
      </c>
      <c r="E11" s="36">
        <v>90</v>
      </c>
      <c r="F11" s="37">
        <v>1</v>
      </c>
      <c r="G11" s="38">
        <f t="shared" si="1"/>
        <v>90</v>
      </c>
      <c r="H11" s="39">
        <v>80</v>
      </c>
      <c r="I11" s="40">
        <f t="shared" si="0"/>
        <v>7.2</v>
      </c>
      <c r="J11" s="143"/>
      <c r="K11" s="123"/>
      <c r="L11" s="145"/>
    </row>
    <row r="12" spans="2:12" ht="15.75" thickBot="1" x14ac:dyDescent="0.25">
      <c r="B12" s="41" t="s">
        <v>21</v>
      </c>
      <c r="C12" s="34">
        <v>1000</v>
      </c>
      <c r="D12" s="35">
        <v>1</v>
      </c>
      <c r="E12" s="36">
        <v>90</v>
      </c>
      <c r="F12" s="37">
        <v>1</v>
      </c>
      <c r="G12" s="38">
        <f t="shared" si="1"/>
        <v>90</v>
      </c>
      <c r="H12" s="39">
        <v>80</v>
      </c>
      <c r="I12" s="40">
        <f t="shared" si="0"/>
        <v>7.2</v>
      </c>
      <c r="J12" s="143"/>
      <c r="K12" s="123"/>
      <c r="L12" s="145"/>
    </row>
    <row r="13" spans="2:12" ht="15.75" thickBot="1" x14ac:dyDescent="0.25">
      <c r="B13" s="41" t="s">
        <v>22</v>
      </c>
      <c r="C13" s="34">
        <v>1000</v>
      </c>
      <c r="D13" s="35">
        <v>1</v>
      </c>
      <c r="E13" s="36">
        <v>468.52</v>
      </c>
      <c r="F13" s="37">
        <v>1</v>
      </c>
      <c r="G13" s="38">
        <f t="shared" si="1"/>
        <v>468.52</v>
      </c>
      <c r="H13" s="39">
        <v>40</v>
      </c>
      <c r="I13" s="40">
        <f t="shared" si="0"/>
        <v>18.7408</v>
      </c>
      <c r="J13" s="143"/>
      <c r="K13" s="123"/>
      <c r="L13" s="145"/>
    </row>
    <row r="14" spans="2:12" ht="15.75" thickBot="1" x14ac:dyDescent="0.25">
      <c r="B14" s="41" t="s">
        <v>23</v>
      </c>
      <c r="C14" s="34">
        <v>1000</v>
      </c>
      <c r="D14" s="35">
        <v>1</v>
      </c>
      <c r="E14" s="36">
        <v>140</v>
      </c>
      <c r="F14" s="37">
        <v>1</v>
      </c>
      <c r="G14" s="38">
        <f t="shared" si="1"/>
        <v>140</v>
      </c>
      <c r="H14" s="39">
        <v>15</v>
      </c>
      <c r="I14" s="40">
        <f t="shared" si="0"/>
        <v>2.1</v>
      </c>
      <c r="J14" s="143"/>
      <c r="K14" s="123"/>
      <c r="L14" s="145"/>
    </row>
    <row r="15" spans="2:12" ht="15.75" thickBot="1" x14ac:dyDescent="0.25">
      <c r="B15" s="41" t="s">
        <v>24</v>
      </c>
      <c r="C15" s="34">
        <v>1000</v>
      </c>
      <c r="D15" s="35">
        <v>1</v>
      </c>
      <c r="E15" s="36">
        <v>190</v>
      </c>
      <c r="F15" s="37">
        <v>1</v>
      </c>
      <c r="G15" s="38">
        <f t="shared" si="1"/>
        <v>190</v>
      </c>
      <c r="H15" s="39">
        <v>5</v>
      </c>
      <c r="I15" s="40">
        <f t="shared" si="0"/>
        <v>0.95</v>
      </c>
      <c r="J15" s="143"/>
      <c r="K15" s="123"/>
      <c r="L15" s="145"/>
    </row>
    <row r="16" spans="2:12" ht="15.75" thickBot="1" x14ac:dyDescent="0.25">
      <c r="B16" s="41" t="s">
        <v>32</v>
      </c>
      <c r="C16" s="34">
        <v>1</v>
      </c>
      <c r="D16" s="35">
        <v>1</v>
      </c>
      <c r="E16" s="36">
        <v>13</v>
      </c>
      <c r="F16" s="37">
        <v>1</v>
      </c>
      <c r="G16" s="38">
        <f t="shared" ref="G16:G21" si="2">D16/F16*E16</f>
        <v>13</v>
      </c>
      <c r="H16" s="39">
        <v>1</v>
      </c>
      <c r="I16" s="40">
        <f t="shared" ref="I16:I21" si="3">H16*G16/C16</f>
        <v>13</v>
      </c>
      <c r="J16" s="143"/>
      <c r="K16" s="123"/>
      <c r="L16" s="145"/>
    </row>
    <row r="17" spans="2:12" ht="15.75" thickBot="1" x14ac:dyDescent="0.25">
      <c r="B17" s="41" t="s">
        <v>33</v>
      </c>
      <c r="C17" s="34">
        <v>1000</v>
      </c>
      <c r="D17" s="35">
        <v>1</v>
      </c>
      <c r="E17" s="36">
        <v>80</v>
      </c>
      <c r="F17" s="37">
        <v>1</v>
      </c>
      <c r="G17" s="38">
        <f t="shared" si="2"/>
        <v>80</v>
      </c>
      <c r="H17" s="39">
        <v>80</v>
      </c>
      <c r="I17" s="40">
        <f t="shared" si="3"/>
        <v>6.4</v>
      </c>
      <c r="J17" s="143"/>
      <c r="K17" s="123"/>
      <c r="L17" s="145"/>
    </row>
    <row r="18" spans="2:12" ht="15.75" thickBot="1" x14ac:dyDescent="0.25">
      <c r="B18" s="41" t="s">
        <v>34</v>
      </c>
      <c r="C18" s="34">
        <v>1000</v>
      </c>
      <c r="D18" s="35">
        <v>1</v>
      </c>
      <c r="E18" s="36">
        <v>170</v>
      </c>
      <c r="F18" s="37">
        <v>1</v>
      </c>
      <c r="G18" s="38">
        <f t="shared" si="2"/>
        <v>170</v>
      </c>
      <c r="H18" s="39">
        <v>10</v>
      </c>
      <c r="I18" s="40">
        <f t="shared" si="3"/>
        <v>1.7</v>
      </c>
      <c r="J18" s="143"/>
      <c r="K18" s="123"/>
      <c r="L18" s="145"/>
    </row>
    <row r="19" spans="2:12" ht="15.75" thickBot="1" x14ac:dyDescent="0.25">
      <c r="B19" s="41" t="s">
        <v>35</v>
      </c>
      <c r="C19" s="34">
        <v>1000</v>
      </c>
      <c r="D19" s="35">
        <v>1</v>
      </c>
      <c r="E19" s="36">
        <v>35</v>
      </c>
      <c r="F19" s="37">
        <v>1</v>
      </c>
      <c r="G19" s="38">
        <f t="shared" si="2"/>
        <v>35</v>
      </c>
      <c r="H19" s="39">
        <v>60</v>
      </c>
      <c r="I19" s="40">
        <f t="shared" si="3"/>
        <v>2.1</v>
      </c>
      <c r="J19" s="143"/>
      <c r="K19" s="123"/>
      <c r="L19" s="145"/>
    </row>
    <row r="20" spans="2:12" ht="15.75" thickBot="1" x14ac:dyDescent="0.25">
      <c r="B20" s="41" t="s">
        <v>36</v>
      </c>
      <c r="C20" s="34">
        <v>1000</v>
      </c>
      <c r="D20" s="35">
        <v>1</v>
      </c>
      <c r="E20" s="36">
        <v>140</v>
      </c>
      <c r="F20" s="37">
        <v>1</v>
      </c>
      <c r="G20" s="38">
        <f t="shared" si="2"/>
        <v>140</v>
      </c>
      <c r="H20" s="39">
        <v>40</v>
      </c>
      <c r="I20" s="40">
        <f t="shared" si="3"/>
        <v>5.6</v>
      </c>
      <c r="J20" s="143"/>
      <c r="K20" s="123"/>
      <c r="L20" s="145"/>
    </row>
    <row r="21" spans="2:12" ht="15.75" thickBot="1" x14ac:dyDescent="0.25">
      <c r="B21" s="41" t="s">
        <v>37</v>
      </c>
      <c r="C21" s="34">
        <v>1000</v>
      </c>
      <c r="D21" s="35">
        <v>1</v>
      </c>
      <c r="E21" s="36">
        <v>55</v>
      </c>
      <c r="F21" s="37">
        <v>1</v>
      </c>
      <c r="G21" s="38">
        <f t="shared" si="2"/>
        <v>55</v>
      </c>
      <c r="H21" s="39">
        <v>40</v>
      </c>
      <c r="I21" s="40">
        <f t="shared" si="3"/>
        <v>2.2000000000000002</v>
      </c>
      <c r="J21" s="143"/>
      <c r="K21" s="123"/>
      <c r="L21" s="145"/>
    </row>
    <row r="22" spans="2:12" ht="15.75" thickBot="1" x14ac:dyDescent="0.25">
      <c r="B22" s="41"/>
      <c r="C22" s="34"/>
      <c r="D22" s="35"/>
      <c r="E22" s="36"/>
      <c r="F22" s="37"/>
      <c r="G22" s="38"/>
      <c r="H22" s="39"/>
      <c r="I22" s="40"/>
      <c r="J22" s="143"/>
      <c r="K22" s="123"/>
      <c r="L22" s="145"/>
    </row>
    <row r="23" spans="2:12" ht="15.75" thickBot="1" x14ac:dyDescent="0.25">
      <c r="B23" s="41" t="s">
        <v>38</v>
      </c>
      <c r="C23" s="34">
        <v>1</v>
      </c>
      <c r="D23" s="35">
        <v>1</v>
      </c>
      <c r="E23" s="36"/>
      <c r="F23" s="37">
        <v>1</v>
      </c>
      <c r="G23" s="38">
        <f>D23/F23*E23</f>
        <v>0</v>
      </c>
      <c r="H23" s="39">
        <v>1</v>
      </c>
      <c r="I23" s="40">
        <f>H23*G23/C23</f>
        <v>0</v>
      </c>
      <c r="J23" s="143"/>
      <c r="K23" s="123"/>
      <c r="L23" s="145"/>
    </row>
    <row r="24" spans="2:12" ht="15.75" thickBot="1" x14ac:dyDescent="0.25">
      <c r="B24" s="41" t="s">
        <v>54</v>
      </c>
      <c r="C24" s="34">
        <v>1</v>
      </c>
      <c r="D24" s="35">
        <v>1</v>
      </c>
      <c r="E24" s="36">
        <v>20</v>
      </c>
      <c r="F24" s="37">
        <v>1</v>
      </c>
      <c r="G24" s="38">
        <v>20</v>
      </c>
      <c r="H24" s="39"/>
      <c r="I24" s="40"/>
      <c r="J24" s="143"/>
      <c r="K24" s="123"/>
      <c r="L24" s="145"/>
    </row>
    <row r="25" spans="2:12" x14ac:dyDescent="0.2">
      <c r="B25" s="41" t="s">
        <v>25</v>
      </c>
      <c r="C25" s="34">
        <v>1000</v>
      </c>
      <c r="D25" s="35">
        <v>1</v>
      </c>
      <c r="E25" s="36">
        <v>12.5</v>
      </c>
      <c r="F25" s="37">
        <v>1</v>
      </c>
      <c r="G25" s="38">
        <f>D25/F25*E25</f>
        <v>12.5</v>
      </c>
      <c r="H25" s="39">
        <v>100</v>
      </c>
      <c r="I25" s="40">
        <f t="shared" si="0"/>
        <v>1.25</v>
      </c>
      <c r="J25" s="143"/>
      <c r="K25" s="123"/>
      <c r="L25" s="145"/>
    </row>
    <row r="26" spans="2:12" x14ac:dyDescent="0.2">
      <c r="B26" s="147" t="s">
        <v>13</v>
      </c>
      <c r="C26" s="148"/>
      <c r="D26" s="148"/>
      <c r="E26" s="148"/>
      <c r="F26" s="148"/>
      <c r="G26" s="148"/>
      <c r="H26" s="148"/>
      <c r="I26" s="149"/>
      <c r="J26" s="42">
        <f>SUM(I5:I25)</f>
        <v>132.52496666666667</v>
      </c>
      <c r="K26" s="124"/>
      <c r="L26" s="146"/>
    </row>
    <row r="27" spans="2:12" ht="16.5" thickBot="1" x14ac:dyDescent="0.3">
      <c r="B27" s="139" t="s">
        <v>14</v>
      </c>
      <c r="C27" s="140"/>
      <c r="D27" s="140"/>
      <c r="E27" s="140"/>
      <c r="F27" s="140"/>
      <c r="G27" s="140"/>
      <c r="H27" s="140"/>
      <c r="I27" s="141"/>
      <c r="J27" s="43"/>
      <c r="K27" s="44">
        <f>J26*3</f>
        <v>397.57490000000001</v>
      </c>
      <c r="L27" s="45">
        <f>K27*1.08</f>
        <v>429.38089200000002</v>
      </c>
    </row>
    <row r="28" spans="2:12" ht="15.75" thickBot="1" x14ac:dyDescent="0.25"/>
    <row r="29" spans="2:12" ht="24.75" thickBot="1" x14ac:dyDescent="0.6">
      <c r="B29" s="46" t="s">
        <v>51</v>
      </c>
      <c r="C29" s="47" t="s">
        <v>52</v>
      </c>
      <c r="D29" s="134" t="s">
        <v>53</v>
      </c>
      <c r="E29" s="134"/>
      <c r="F29" s="134"/>
      <c r="G29" s="134"/>
      <c r="H29" s="135"/>
      <c r="J29" s="48"/>
      <c r="L29" s="49"/>
    </row>
    <row r="30" spans="2:12" ht="17.25" x14ac:dyDescent="0.3">
      <c r="B30" s="50" t="s">
        <v>39</v>
      </c>
      <c r="C30" s="51">
        <f>L27</f>
        <v>429.38089200000002</v>
      </c>
      <c r="D30" s="52"/>
      <c r="E30" s="6"/>
      <c r="F30" s="6"/>
      <c r="G30" s="6"/>
      <c r="H30" s="7"/>
    </row>
    <row r="31" spans="2:12" ht="17.25" x14ac:dyDescent="0.3">
      <c r="B31" s="53" t="s">
        <v>40</v>
      </c>
      <c r="C31" s="54">
        <v>450</v>
      </c>
      <c r="D31" s="55"/>
      <c r="H31" s="10"/>
    </row>
    <row r="32" spans="2:12" ht="17.25" x14ac:dyDescent="0.3">
      <c r="B32" s="53" t="s">
        <v>46</v>
      </c>
      <c r="C32" s="54">
        <v>40</v>
      </c>
      <c r="D32" s="55"/>
      <c r="H32" s="10"/>
    </row>
    <row r="33" spans="2:9" ht="17.25" x14ac:dyDescent="0.3">
      <c r="B33" s="53" t="s">
        <v>41</v>
      </c>
      <c r="C33" s="54">
        <v>250</v>
      </c>
      <c r="D33" s="55"/>
      <c r="H33" s="10"/>
    </row>
    <row r="34" spans="2:9" ht="17.25" x14ac:dyDescent="0.3">
      <c r="B34" s="56" t="s">
        <v>59</v>
      </c>
      <c r="C34" s="54">
        <v>200</v>
      </c>
      <c r="D34" s="55" t="s">
        <v>125</v>
      </c>
      <c r="H34" s="10"/>
    </row>
    <row r="35" spans="2:9" ht="34.5" x14ac:dyDescent="0.3">
      <c r="B35" s="57" t="s">
        <v>62</v>
      </c>
      <c r="C35" s="54">
        <v>490</v>
      </c>
      <c r="D35" s="84">
        <v>300</v>
      </c>
      <c r="H35" s="10"/>
    </row>
    <row r="36" spans="2:9" ht="18" thickBot="1" x14ac:dyDescent="0.35">
      <c r="B36" s="53" t="s">
        <v>42</v>
      </c>
      <c r="C36" s="54">
        <f>C30+C31+C32+C33+C34+C35</f>
        <v>1859.3808920000001</v>
      </c>
      <c r="D36" s="84">
        <f>C36/19.5</f>
        <v>95.352866256410266</v>
      </c>
      <c r="H36" s="10"/>
    </row>
    <row r="37" spans="2:9" ht="26.25" thickBot="1" x14ac:dyDescent="0.4">
      <c r="B37" s="58"/>
      <c r="C37" s="59">
        <f>C36/20</f>
        <v>92.969044600000004</v>
      </c>
      <c r="D37" s="60" t="s">
        <v>72</v>
      </c>
      <c r="E37" s="18"/>
      <c r="F37" s="18"/>
      <c r="G37" s="18"/>
      <c r="H37" s="19"/>
    </row>
    <row r="39" spans="2:9" ht="15.75" thickBot="1" x14ac:dyDescent="0.25"/>
    <row r="40" spans="2:9" ht="21" thickBot="1" x14ac:dyDescent="0.35">
      <c r="B40" s="136" t="s">
        <v>43</v>
      </c>
      <c r="C40" s="137"/>
      <c r="D40" s="137"/>
      <c r="E40" s="138"/>
      <c r="G40" s="4" t="s">
        <v>56</v>
      </c>
      <c r="H40" s="6" t="s">
        <v>57</v>
      </c>
      <c r="I40" s="61">
        <v>85</v>
      </c>
    </row>
    <row r="41" spans="2:9" x14ac:dyDescent="0.2">
      <c r="B41" s="55"/>
      <c r="E41" s="10"/>
      <c r="G41" s="55"/>
      <c r="H41" s="1" t="s">
        <v>73</v>
      </c>
      <c r="I41" s="62">
        <v>20</v>
      </c>
    </row>
    <row r="42" spans="2:9" ht="18" x14ac:dyDescent="0.25">
      <c r="B42" s="131" t="s">
        <v>44</v>
      </c>
      <c r="C42" s="132"/>
      <c r="D42" s="132"/>
      <c r="E42" s="133"/>
      <c r="G42" s="55"/>
      <c r="H42" s="1" t="s">
        <v>74</v>
      </c>
      <c r="I42" s="62">
        <v>80</v>
      </c>
    </row>
    <row r="43" spans="2:9" ht="18" x14ac:dyDescent="0.25">
      <c r="B43" s="131" t="s">
        <v>45</v>
      </c>
      <c r="C43" s="132"/>
      <c r="D43" s="132"/>
      <c r="E43" s="133"/>
      <c r="G43" s="55"/>
      <c r="H43" s="1" t="s">
        <v>58</v>
      </c>
      <c r="I43" s="62">
        <v>40</v>
      </c>
    </row>
    <row r="44" spans="2:9" ht="18" x14ac:dyDescent="0.25">
      <c r="B44" s="131" t="s">
        <v>47</v>
      </c>
      <c r="C44" s="132"/>
      <c r="D44" s="132"/>
      <c r="E44" s="133"/>
      <c r="G44" s="55"/>
      <c r="H44" s="1" t="s">
        <v>59</v>
      </c>
      <c r="I44" s="62">
        <v>300</v>
      </c>
    </row>
    <row r="45" spans="2:9" ht="18" x14ac:dyDescent="0.25">
      <c r="B45" s="131" t="s">
        <v>48</v>
      </c>
      <c r="C45" s="132"/>
      <c r="D45" s="132"/>
      <c r="E45" s="133"/>
      <c r="G45" s="55"/>
      <c r="H45" s="1" t="s">
        <v>60</v>
      </c>
      <c r="I45" s="62">
        <v>40</v>
      </c>
    </row>
    <row r="46" spans="2:9" ht="18" x14ac:dyDescent="0.25">
      <c r="B46" s="131" t="s">
        <v>49</v>
      </c>
      <c r="C46" s="132"/>
      <c r="D46" s="132"/>
      <c r="E46" s="133"/>
      <c r="G46" s="55"/>
      <c r="H46" s="1" t="s">
        <v>61</v>
      </c>
      <c r="I46" s="62">
        <v>20</v>
      </c>
    </row>
    <row r="47" spans="2:9" ht="18" x14ac:dyDescent="0.25">
      <c r="B47" s="131"/>
      <c r="C47" s="132"/>
      <c r="D47" s="132"/>
      <c r="E47" s="133"/>
      <c r="G47" s="55"/>
      <c r="I47" s="62">
        <f>SUM(I40:I46)</f>
        <v>585</v>
      </c>
    </row>
    <row r="48" spans="2:9" ht="18" x14ac:dyDescent="0.25">
      <c r="B48" s="131" t="s">
        <v>50</v>
      </c>
      <c r="C48" s="132"/>
      <c r="D48" s="132"/>
      <c r="E48" s="133"/>
      <c r="G48" s="55"/>
      <c r="I48" s="10"/>
    </row>
    <row r="49" spans="2:12" ht="15.75" thickBot="1" x14ac:dyDescent="0.25">
      <c r="B49" s="63" t="s">
        <v>55</v>
      </c>
      <c r="C49" s="18"/>
      <c r="D49" s="18"/>
      <c r="E49" s="19"/>
      <c r="G49" s="63"/>
      <c r="H49" s="18"/>
      <c r="I49" s="19"/>
    </row>
    <row r="52" spans="2:12" ht="15.75" thickBot="1" x14ac:dyDescent="0.25"/>
    <row r="53" spans="2:12" ht="18" thickBot="1" x14ac:dyDescent="0.35">
      <c r="B53" s="116" t="s">
        <v>27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8"/>
    </row>
    <row r="54" spans="2:12" ht="15.75" thickBot="1" x14ac:dyDescent="0.25">
      <c r="B54" s="23"/>
      <c r="C54" s="119" t="s">
        <v>0</v>
      </c>
      <c r="D54" s="120"/>
      <c r="E54" s="120"/>
      <c r="F54" s="120"/>
      <c r="G54" s="121"/>
      <c r="H54" s="119" t="s">
        <v>1</v>
      </c>
      <c r="I54" s="121"/>
      <c r="J54" s="24" t="s">
        <v>2</v>
      </c>
      <c r="K54" s="25" t="s">
        <v>3</v>
      </c>
      <c r="L54" s="26" t="s">
        <v>4</v>
      </c>
    </row>
    <row r="55" spans="2:12" ht="15.75" x14ac:dyDescent="0.25">
      <c r="B55" s="64" t="s">
        <v>5</v>
      </c>
      <c r="C55" s="65" t="s">
        <v>6</v>
      </c>
      <c r="D55" s="66" t="s">
        <v>7</v>
      </c>
      <c r="E55" s="67" t="s">
        <v>8</v>
      </c>
      <c r="F55" s="68" t="s">
        <v>9</v>
      </c>
      <c r="G55" s="69" t="s">
        <v>10</v>
      </c>
      <c r="H55" s="66" t="s">
        <v>11</v>
      </c>
      <c r="I55" s="70" t="s">
        <v>12</v>
      </c>
      <c r="J55" s="122"/>
      <c r="K55" s="122"/>
      <c r="L55" s="125"/>
    </row>
    <row r="56" spans="2:12" x14ac:dyDescent="0.2">
      <c r="B56" s="71" t="s">
        <v>28</v>
      </c>
      <c r="C56" s="20">
        <v>1000</v>
      </c>
      <c r="D56" s="72">
        <v>1</v>
      </c>
      <c r="E56" s="73">
        <v>150</v>
      </c>
      <c r="F56" s="74">
        <v>1</v>
      </c>
      <c r="G56" s="75">
        <f>D56/F56*E56</f>
        <v>150</v>
      </c>
      <c r="H56" s="76">
        <v>700</v>
      </c>
      <c r="I56" s="77">
        <f>H56*G56/C56</f>
        <v>105</v>
      </c>
      <c r="J56" s="123"/>
      <c r="K56" s="123"/>
      <c r="L56" s="126"/>
    </row>
    <row r="57" spans="2:12" x14ac:dyDescent="0.2">
      <c r="B57" s="71" t="s">
        <v>29</v>
      </c>
      <c r="C57" s="20">
        <v>1000</v>
      </c>
      <c r="D57" s="72">
        <v>1</v>
      </c>
      <c r="E57" s="73">
        <v>50</v>
      </c>
      <c r="F57" s="74">
        <v>1</v>
      </c>
      <c r="G57" s="75">
        <f>D57/F57*E57</f>
        <v>50</v>
      </c>
      <c r="H57" s="76">
        <v>120</v>
      </c>
      <c r="I57" s="77">
        <f>H57*G57/C57</f>
        <v>6</v>
      </c>
      <c r="J57" s="123"/>
      <c r="K57" s="123"/>
      <c r="L57" s="126"/>
    </row>
    <row r="58" spans="2:12" x14ac:dyDescent="0.2">
      <c r="B58" s="71" t="s">
        <v>30</v>
      </c>
      <c r="C58" s="20">
        <v>1000</v>
      </c>
      <c r="D58" s="72">
        <v>1</v>
      </c>
      <c r="E58" s="73">
        <v>35</v>
      </c>
      <c r="F58" s="74">
        <v>1</v>
      </c>
      <c r="G58" s="75">
        <f>D58/F58*E58</f>
        <v>35</v>
      </c>
      <c r="H58" s="76">
        <v>350</v>
      </c>
      <c r="I58" s="77">
        <f>H58*G58/C58</f>
        <v>12.25</v>
      </c>
      <c r="J58" s="123"/>
      <c r="K58" s="123"/>
      <c r="L58" s="126"/>
    </row>
    <row r="59" spans="2:12" x14ac:dyDescent="0.2">
      <c r="B59" s="71" t="s">
        <v>31</v>
      </c>
      <c r="C59" s="20">
        <v>1000</v>
      </c>
      <c r="D59" s="72">
        <v>1</v>
      </c>
      <c r="E59" s="73">
        <v>145</v>
      </c>
      <c r="F59" s="74">
        <v>0.9</v>
      </c>
      <c r="G59" s="75">
        <f>D59/F59*E59</f>
        <v>161.11111111111111</v>
      </c>
      <c r="H59" s="76">
        <v>60</v>
      </c>
      <c r="I59" s="77">
        <f>H59*G59/C59</f>
        <v>9.6666666666666661</v>
      </c>
      <c r="J59" s="123"/>
      <c r="K59" s="123"/>
      <c r="L59" s="126"/>
    </row>
    <row r="60" spans="2:12" x14ac:dyDescent="0.2">
      <c r="B60" s="128" t="s">
        <v>13</v>
      </c>
      <c r="C60" s="129"/>
      <c r="D60" s="129"/>
      <c r="E60" s="129"/>
      <c r="F60" s="129"/>
      <c r="G60" s="129"/>
      <c r="H60" s="129"/>
      <c r="I60" s="130"/>
      <c r="J60" s="78">
        <f>I56+I57+I58+I59</f>
        <v>132.91666666666666</v>
      </c>
      <c r="K60" s="124"/>
      <c r="L60" s="127"/>
    </row>
    <row r="61" spans="2:12" ht="16.5" thickBot="1" x14ac:dyDescent="0.3">
      <c r="B61" s="113" t="s">
        <v>14</v>
      </c>
      <c r="C61" s="114"/>
      <c r="D61" s="114"/>
      <c r="E61" s="114"/>
      <c r="F61" s="114"/>
      <c r="G61" s="114"/>
      <c r="H61" s="114"/>
      <c r="I61" s="115"/>
      <c r="J61" s="79"/>
      <c r="K61" s="80">
        <f>J60*3.33</f>
        <v>442.61249999999995</v>
      </c>
      <c r="L61" s="81">
        <f>K61*1.08</f>
        <v>478.0215</v>
      </c>
    </row>
  </sheetData>
  <mergeCells count="25">
    <mergeCell ref="B27:I27"/>
    <mergeCell ref="B2:L2"/>
    <mergeCell ref="C3:G3"/>
    <mergeCell ref="H3:I3"/>
    <mergeCell ref="J4:J25"/>
    <mergeCell ref="K4:K26"/>
    <mergeCell ref="L4:L26"/>
    <mergeCell ref="B26:I26"/>
    <mergeCell ref="B46:E46"/>
    <mergeCell ref="B47:E47"/>
    <mergeCell ref="B48:E48"/>
    <mergeCell ref="D29:H29"/>
    <mergeCell ref="B40:E40"/>
    <mergeCell ref="B42:E42"/>
    <mergeCell ref="B43:E43"/>
    <mergeCell ref="B44:E44"/>
    <mergeCell ref="B45:E45"/>
    <mergeCell ref="B61:I61"/>
    <mergeCell ref="B53:L53"/>
    <mergeCell ref="C54:G54"/>
    <mergeCell ref="H54:I54"/>
    <mergeCell ref="J55:J59"/>
    <mergeCell ref="K55:K60"/>
    <mergeCell ref="L55:L60"/>
    <mergeCell ref="B60:I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2309-06FD-4AD0-9F27-0ECA0AC4D4AF}">
  <dimension ref="B1:E16"/>
  <sheetViews>
    <sheetView workbookViewId="0">
      <selection activeCell="B4" sqref="B4"/>
    </sheetView>
  </sheetViews>
  <sheetFormatPr baseColWidth="10" defaultColWidth="14.625" defaultRowHeight="15" x14ac:dyDescent="0.2"/>
  <cols>
    <col min="1" max="1" width="14.625" style="1"/>
    <col min="2" max="2" width="23.5" style="1" bestFit="1" customWidth="1"/>
    <col min="3" max="16384" width="14.625" style="1"/>
  </cols>
  <sheetData>
    <row r="1" spans="2:5" ht="15.75" thickBot="1" x14ac:dyDescent="0.25"/>
    <row r="2" spans="2:5" ht="17.25" x14ac:dyDescent="0.3">
      <c r="B2" s="150" t="s">
        <v>68</v>
      </c>
      <c r="C2" s="151"/>
    </row>
    <row r="3" spans="2:5" x14ac:dyDescent="0.2">
      <c r="B3" s="20" t="s">
        <v>64</v>
      </c>
      <c r="C3" s="21">
        <f>180*2</f>
        <v>360</v>
      </c>
    </row>
    <row r="4" spans="2:5" x14ac:dyDescent="0.2">
      <c r="B4" s="20"/>
      <c r="C4" s="21"/>
    </row>
    <row r="5" spans="2:5" x14ac:dyDescent="0.2">
      <c r="B5" s="20" t="s">
        <v>65</v>
      </c>
      <c r="C5" s="21">
        <v>270</v>
      </c>
    </row>
    <row r="6" spans="2:5" x14ac:dyDescent="0.2">
      <c r="B6" s="20" t="s">
        <v>66</v>
      </c>
      <c r="C6" s="21">
        <v>450</v>
      </c>
    </row>
    <row r="7" spans="2:5" ht="15.75" thickBot="1" x14ac:dyDescent="0.25">
      <c r="B7" s="20" t="s">
        <v>67</v>
      </c>
      <c r="C7" s="21">
        <v>15</v>
      </c>
    </row>
    <row r="8" spans="2:5" ht="18" thickBot="1" x14ac:dyDescent="0.35">
      <c r="B8" s="20"/>
      <c r="C8" s="22">
        <f>SUM(C3:C7)</f>
        <v>1095</v>
      </c>
      <c r="E8" s="85" t="s">
        <v>107</v>
      </c>
    </row>
    <row r="9" spans="2:5" ht="18" thickBot="1" x14ac:dyDescent="0.35">
      <c r="B9" s="20"/>
      <c r="C9" s="82">
        <f>C8*1.15</f>
        <v>1259.25</v>
      </c>
      <c r="D9" s="83">
        <v>1300</v>
      </c>
      <c r="E9" s="83">
        <f>C9/19.5</f>
        <v>64.57692307692308</v>
      </c>
    </row>
    <row r="10" spans="2:5" ht="15.75" thickBot="1" x14ac:dyDescent="0.25"/>
    <row r="11" spans="2:5" x14ac:dyDescent="0.2">
      <c r="B11" s="152" t="s">
        <v>69</v>
      </c>
      <c r="C11" s="153"/>
    </row>
    <row r="12" spans="2:5" x14ac:dyDescent="0.2">
      <c r="B12" s="154"/>
      <c r="C12" s="155"/>
    </row>
    <row r="13" spans="2:5" x14ac:dyDescent="0.2">
      <c r="B13" s="156" t="s">
        <v>70</v>
      </c>
      <c r="C13" s="157"/>
    </row>
    <row r="14" spans="2:5" ht="25.5" customHeight="1" x14ac:dyDescent="0.2">
      <c r="B14" s="156"/>
      <c r="C14" s="157"/>
    </row>
    <row r="15" spans="2:5" x14ac:dyDescent="0.2">
      <c r="B15" s="156" t="s">
        <v>71</v>
      </c>
      <c r="C15" s="157"/>
    </row>
    <row r="16" spans="2:5" ht="15.75" thickBot="1" x14ac:dyDescent="0.25">
      <c r="B16" s="158"/>
      <c r="C16" s="159"/>
    </row>
  </sheetData>
  <mergeCells count="4">
    <mergeCell ref="B2:C2"/>
    <mergeCell ref="B11:C12"/>
    <mergeCell ref="B13:C14"/>
    <mergeCell ref="B15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F22B-C5EB-4C43-8217-10F448D55FEC}">
  <dimension ref="B1:H11"/>
  <sheetViews>
    <sheetView workbookViewId="0">
      <selection activeCell="E7" sqref="E7"/>
    </sheetView>
  </sheetViews>
  <sheetFormatPr baseColWidth="10" defaultRowHeight="15" x14ac:dyDescent="0.2"/>
  <cols>
    <col min="1" max="1" width="11" style="1"/>
    <col min="2" max="2" width="30.75" style="1" bestFit="1" customWidth="1"/>
    <col min="3" max="3" width="15.375" style="1" bestFit="1" customWidth="1"/>
    <col min="4" max="4" width="14.125" style="1" bestFit="1" customWidth="1"/>
    <col min="5" max="16384" width="11" style="1"/>
  </cols>
  <sheetData>
    <row r="1" spans="2:8" ht="15.75" thickBot="1" x14ac:dyDescent="0.25"/>
    <row r="2" spans="2:8" ht="27.75" thickBot="1" x14ac:dyDescent="0.4">
      <c r="B2" s="162" t="s">
        <v>75</v>
      </c>
      <c r="C2" s="163"/>
      <c r="D2" s="163"/>
      <c r="E2" s="163"/>
      <c r="F2" s="163"/>
      <c r="G2" s="163"/>
      <c r="H2" s="164"/>
    </row>
    <row r="3" spans="2:8" ht="21" thickBot="1" x14ac:dyDescent="0.35">
      <c r="B3" s="2" t="s">
        <v>51</v>
      </c>
      <c r="C3" s="3" t="s">
        <v>52</v>
      </c>
      <c r="D3" s="160" t="s">
        <v>53</v>
      </c>
      <c r="E3" s="160"/>
      <c r="F3" s="160"/>
      <c r="G3" s="160"/>
      <c r="H3" s="161"/>
    </row>
    <row r="4" spans="2:8" ht="17.25" x14ac:dyDescent="0.3">
      <c r="B4" s="4" t="s">
        <v>63</v>
      </c>
      <c r="C4" s="5">
        <f>(280+165+135)*1.2</f>
        <v>696</v>
      </c>
      <c r="D4" s="6"/>
      <c r="E4" s="6"/>
      <c r="F4" s="6"/>
      <c r="G4" s="6"/>
      <c r="H4" s="7"/>
    </row>
    <row r="5" spans="2:8" ht="17.25" x14ac:dyDescent="0.3">
      <c r="B5" s="8" t="s">
        <v>40</v>
      </c>
      <c r="C5" s="9">
        <v>450</v>
      </c>
      <c r="H5" s="10"/>
    </row>
    <row r="6" spans="2:8" ht="17.25" x14ac:dyDescent="0.3">
      <c r="B6" s="8" t="s">
        <v>46</v>
      </c>
      <c r="C6" s="9">
        <f>20*4</f>
        <v>80</v>
      </c>
      <c r="H6" s="10"/>
    </row>
    <row r="7" spans="2:8" ht="17.25" x14ac:dyDescent="0.3">
      <c r="B7" s="8" t="s">
        <v>41</v>
      </c>
      <c r="C7" s="9">
        <v>250</v>
      </c>
      <c r="H7" s="10"/>
    </row>
    <row r="8" spans="2:8" ht="17.25" x14ac:dyDescent="0.3">
      <c r="B8" s="11" t="s">
        <v>59</v>
      </c>
      <c r="C8" s="12">
        <v>200</v>
      </c>
      <c r="H8" s="10"/>
    </row>
    <row r="9" spans="2:8" ht="34.5" x14ac:dyDescent="0.3">
      <c r="B9" s="13" t="s">
        <v>62</v>
      </c>
      <c r="C9" s="9">
        <f>400+40+70</f>
        <v>510</v>
      </c>
      <c r="H9" s="10"/>
    </row>
    <row r="10" spans="2:8" ht="18" thickBot="1" x14ac:dyDescent="0.35">
      <c r="B10" s="8" t="s">
        <v>42</v>
      </c>
      <c r="C10" s="9">
        <f>C4+C5+C6+C7+C8+C9</f>
        <v>2186</v>
      </c>
      <c r="D10" s="14">
        <f>C10/19.35</f>
        <v>112.97157622739017</v>
      </c>
      <c r="H10" s="10"/>
    </row>
    <row r="11" spans="2:8" ht="26.25" thickBot="1" x14ac:dyDescent="0.4">
      <c r="B11" s="15"/>
      <c r="C11" s="16">
        <f>C10/20</f>
        <v>109.3</v>
      </c>
      <c r="D11" s="17" t="s">
        <v>76</v>
      </c>
      <c r="E11" s="18"/>
      <c r="F11" s="18"/>
      <c r="G11" s="18"/>
      <c r="H11" s="19"/>
    </row>
  </sheetData>
  <mergeCells count="2">
    <mergeCell ref="D3:H3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CD5F-5D58-4BA1-8142-7B76D9D193C6}">
  <dimension ref="B1:E23"/>
  <sheetViews>
    <sheetView topLeftCell="A19" workbookViewId="0">
      <selection activeCell="C17" sqref="C17"/>
    </sheetView>
  </sheetViews>
  <sheetFormatPr baseColWidth="10" defaultRowHeight="15" x14ac:dyDescent="0.2"/>
  <cols>
    <col min="1" max="1" width="11" style="1"/>
    <col min="2" max="2" width="36.125" style="1" bestFit="1" customWidth="1"/>
    <col min="3" max="3" width="11.5" style="1" bestFit="1" customWidth="1"/>
    <col min="4" max="4" width="11.125" style="1" bestFit="1" customWidth="1"/>
    <col min="5" max="16384" width="11" style="1"/>
  </cols>
  <sheetData>
    <row r="1" spans="2:5" ht="15.75" thickBot="1" x14ac:dyDescent="0.25"/>
    <row r="2" spans="2:5" ht="15.75" thickBot="1" x14ac:dyDescent="0.25">
      <c r="B2" s="23" t="s">
        <v>87</v>
      </c>
      <c r="C2" s="86"/>
      <c r="D2" s="87"/>
    </row>
    <row r="3" spans="2:5" x14ac:dyDescent="0.2">
      <c r="B3" s="52" t="s">
        <v>129</v>
      </c>
      <c r="C3" s="88">
        <v>135</v>
      </c>
      <c r="D3" s="7"/>
    </row>
    <row r="4" spans="2:5" x14ac:dyDescent="0.2">
      <c r="B4" s="55" t="s">
        <v>131</v>
      </c>
      <c r="C4" s="89">
        <v>100</v>
      </c>
      <c r="D4" s="10"/>
    </row>
    <row r="5" spans="2:5" x14ac:dyDescent="0.2">
      <c r="B5" s="55" t="s">
        <v>130</v>
      </c>
      <c r="C5" s="89">
        <v>800</v>
      </c>
      <c r="D5" s="10"/>
    </row>
    <row r="6" spans="2:5" x14ac:dyDescent="0.2">
      <c r="B6" s="55" t="s">
        <v>132</v>
      </c>
      <c r="C6" s="89">
        <v>120</v>
      </c>
      <c r="D6" s="10"/>
    </row>
    <row r="7" spans="2:5" x14ac:dyDescent="0.2">
      <c r="B7" s="55" t="s">
        <v>81</v>
      </c>
      <c r="C7" s="89">
        <v>590</v>
      </c>
      <c r="D7" s="10"/>
    </row>
    <row r="8" spans="2:5" x14ac:dyDescent="0.2">
      <c r="B8" s="55" t="s">
        <v>82</v>
      </c>
      <c r="C8" s="89">
        <f>(C3+C4+C5+C6+C7)*0.1</f>
        <v>174.5</v>
      </c>
      <c r="D8" s="10"/>
    </row>
    <row r="9" spans="2:5" ht="15.75" thickBot="1" x14ac:dyDescent="0.25">
      <c r="B9" s="55" t="s">
        <v>59</v>
      </c>
      <c r="C9" s="89">
        <v>350</v>
      </c>
      <c r="D9" s="10"/>
    </row>
    <row r="10" spans="2:5" ht="18" thickBot="1" x14ac:dyDescent="0.35">
      <c r="B10" s="63" t="s">
        <v>83</v>
      </c>
      <c r="C10" s="90">
        <f>SUM(C3:C9)</f>
        <v>2269.5</v>
      </c>
      <c r="D10" s="91">
        <f>C10/19</f>
        <v>119.44736842105263</v>
      </c>
      <c r="E10" s="92" t="s">
        <v>76</v>
      </c>
    </row>
    <row r="12" spans="2:5" ht="15.75" thickBot="1" x14ac:dyDescent="0.25"/>
    <row r="13" spans="2:5" ht="15.75" thickBot="1" x14ac:dyDescent="0.25">
      <c r="B13" s="23" t="s">
        <v>84</v>
      </c>
      <c r="C13" s="86"/>
      <c r="D13" s="87"/>
    </row>
    <row r="14" spans="2:5" x14ac:dyDescent="0.2">
      <c r="B14" s="52" t="s">
        <v>77</v>
      </c>
      <c r="C14" s="88">
        <v>200</v>
      </c>
      <c r="D14" s="7"/>
    </row>
    <row r="15" spans="2:5" x14ac:dyDescent="0.2">
      <c r="B15" s="55" t="s">
        <v>131</v>
      </c>
      <c r="C15" s="89">
        <v>140</v>
      </c>
      <c r="D15" s="10"/>
    </row>
    <row r="16" spans="2:5" x14ac:dyDescent="0.2">
      <c r="B16" s="55" t="s">
        <v>79</v>
      </c>
      <c r="C16" s="89">
        <v>600</v>
      </c>
      <c r="D16" s="10"/>
    </row>
    <row r="17" spans="2:5" x14ac:dyDescent="0.2">
      <c r="B17" s="55" t="s">
        <v>80</v>
      </c>
      <c r="C17" s="89">
        <v>120</v>
      </c>
      <c r="D17" s="10"/>
    </row>
    <row r="18" spans="2:5" x14ac:dyDescent="0.2">
      <c r="B18" s="55" t="s">
        <v>81</v>
      </c>
      <c r="C18" s="89">
        <v>450</v>
      </c>
      <c r="D18" s="10"/>
    </row>
    <row r="19" spans="2:5" x14ac:dyDescent="0.2">
      <c r="B19" s="55" t="s">
        <v>85</v>
      </c>
      <c r="C19" s="89">
        <v>700</v>
      </c>
      <c r="D19" s="10"/>
    </row>
    <row r="20" spans="2:5" x14ac:dyDescent="0.2">
      <c r="B20" s="55" t="s">
        <v>59</v>
      </c>
      <c r="C20" s="89">
        <v>500</v>
      </c>
      <c r="D20" s="10"/>
    </row>
    <row r="21" spans="2:5" x14ac:dyDescent="0.2">
      <c r="B21" s="55" t="s">
        <v>86</v>
      </c>
      <c r="C21" s="89"/>
      <c r="D21" s="10"/>
    </row>
    <row r="22" spans="2:5" ht="15.75" thickBot="1" x14ac:dyDescent="0.25">
      <c r="B22" s="55" t="s">
        <v>82</v>
      </c>
      <c r="C22" s="14">
        <f>(C14+C15+C16+C17+C18+C19+C21)*0.1</f>
        <v>221</v>
      </c>
      <c r="D22" s="10"/>
    </row>
    <row r="23" spans="2:5" ht="18" thickBot="1" x14ac:dyDescent="0.35">
      <c r="B23" s="63" t="s">
        <v>83</v>
      </c>
      <c r="C23" s="93">
        <f>SUM(C14:C22)</f>
        <v>2931</v>
      </c>
      <c r="D23" s="94">
        <f>C23/20</f>
        <v>146.55000000000001</v>
      </c>
      <c r="E23" s="9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A91E-7B90-466C-9CF6-5FFE6D5D5E24}">
  <dimension ref="B1:M16"/>
  <sheetViews>
    <sheetView workbookViewId="0">
      <selection activeCell="M12" sqref="M12"/>
    </sheetView>
  </sheetViews>
  <sheetFormatPr baseColWidth="10" defaultRowHeight="15" x14ac:dyDescent="0.2"/>
  <cols>
    <col min="1" max="1" width="11" style="1"/>
    <col min="2" max="2" width="28.25" style="1" bestFit="1" customWidth="1"/>
    <col min="3" max="4" width="11.5" style="1" bestFit="1" customWidth="1"/>
    <col min="5" max="6" width="11" style="1"/>
    <col min="7" max="9" width="11" style="95"/>
    <col min="10" max="16384" width="11" style="1"/>
  </cols>
  <sheetData>
    <row r="1" spans="2:13" ht="15.75" thickBot="1" x14ac:dyDescent="0.25"/>
    <row r="2" spans="2:13" ht="15.75" thickBot="1" x14ac:dyDescent="0.25">
      <c r="B2" s="23" t="s">
        <v>90</v>
      </c>
      <c r="C2" s="86"/>
      <c r="D2" s="87"/>
      <c r="H2" s="96"/>
    </row>
    <row r="3" spans="2:13" x14ac:dyDescent="0.2">
      <c r="B3" s="52" t="s">
        <v>89</v>
      </c>
      <c r="C3" s="88">
        <v>25</v>
      </c>
      <c r="D3" s="7"/>
      <c r="H3" s="96"/>
    </row>
    <row r="4" spans="2:13" x14ac:dyDescent="0.2">
      <c r="B4" s="55" t="s">
        <v>91</v>
      </c>
      <c r="C4" s="89">
        <v>5</v>
      </c>
      <c r="D4" s="10"/>
      <c r="H4" s="96"/>
    </row>
    <row r="5" spans="2:13" x14ac:dyDescent="0.2">
      <c r="B5" s="55" t="s">
        <v>93</v>
      </c>
      <c r="C5" s="89">
        <v>200</v>
      </c>
      <c r="D5" s="10"/>
      <c r="H5" s="96"/>
    </row>
    <row r="6" spans="2:13" x14ac:dyDescent="0.2">
      <c r="B6" s="55" t="s">
        <v>92</v>
      </c>
      <c r="C6" s="89">
        <v>1065</v>
      </c>
      <c r="D6" s="10"/>
      <c r="H6" s="96"/>
    </row>
    <row r="7" spans="2:13" x14ac:dyDescent="0.2">
      <c r="B7" s="55" t="s">
        <v>94</v>
      </c>
      <c r="C7" s="89">
        <v>25</v>
      </c>
      <c r="D7" s="10"/>
      <c r="H7" s="96"/>
    </row>
    <row r="8" spans="2:13" x14ac:dyDescent="0.2">
      <c r="B8" s="55" t="s">
        <v>85</v>
      </c>
      <c r="C8" s="89">
        <v>600</v>
      </c>
      <c r="D8" s="10"/>
      <c r="H8" s="96"/>
    </row>
    <row r="9" spans="2:13" ht="30" x14ac:dyDescent="0.2">
      <c r="B9" s="97" t="s">
        <v>95</v>
      </c>
      <c r="C9" s="89">
        <v>900</v>
      </c>
      <c r="D9" s="10"/>
      <c r="H9" s="96"/>
    </row>
    <row r="10" spans="2:13" ht="15.75" thickBot="1" x14ac:dyDescent="0.25">
      <c r="B10" s="55" t="s">
        <v>96</v>
      </c>
      <c r="C10" s="89">
        <v>300</v>
      </c>
      <c r="D10" s="10"/>
      <c r="E10" s="98"/>
      <c r="H10" s="96"/>
    </row>
    <row r="11" spans="2:13" ht="18" thickBot="1" x14ac:dyDescent="0.35">
      <c r="B11" s="55" t="s">
        <v>97</v>
      </c>
      <c r="C11" s="14">
        <v>60</v>
      </c>
      <c r="D11" s="10" t="s">
        <v>98</v>
      </c>
      <c r="E11" s="99" t="s">
        <v>105</v>
      </c>
      <c r="F11" s="100" t="s">
        <v>106</v>
      </c>
      <c r="H11" s="96"/>
      <c r="M11" s="1">
        <f>95*19.5</f>
        <v>1852.5</v>
      </c>
    </row>
    <row r="12" spans="2:13" ht="18" thickBot="1" x14ac:dyDescent="0.35">
      <c r="B12" s="63" t="s">
        <v>83</v>
      </c>
      <c r="C12" s="93">
        <f>SUM(C3:C11)</f>
        <v>3180</v>
      </c>
      <c r="D12" s="94">
        <f>C12*1.15</f>
        <v>3656.9999999999995</v>
      </c>
      <c r="E12" s="99" t="s">
        <v>104</v>
      </c>
      <c r="F12" s="100" t="s">
        <v>100</v>
      </c>
      <c r="H12" s="96"/>
    </row>
    <row r="13" spans="2:13" x14ac:dyDescent="0.2">
      <c r="D13" s="14">
        <f>D12*0.15</f>
        <v>548.54999999999995</v>
      </c>
      <c r="E13" s="14"/>
      <c r="H13" s="101"/>
    </row>
    <row r="14" spans="2:13" x14ac:dyDescent="0.2">
      <c r="E14" s="14"/>
      <c r="H14" s="101"/>
    </row>
    <row r="16" spans="2:13" x14ac:dyDescent="0.2">
      <c r="B16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2DAC-27E0-45E1-BD9A-6E456CEF394F}">
  <dimension ref="B1:F13"/>
  <sheetViews>
    <sheetView workbookViewId="0">
      <selection activeCell="D17" sqref="D17"/>
    </sheetView>
  </sheetViews>
  <sheetFormatPr baseColWidth="10" defaultRowHeight="15" x14ac:dyDescent="0.2"/>
  <cols>
    <col min="1" max="1" width="11" style="1"/>
    <col min="2" max="2" width="28.25" style="1" bestFit="1" customWidth="1"/>
    <col min="3" max="4" width="11.5" style="1" bestFit="1" customWidth="1"/>
    <col min="5" max="16384" width="11" style="1"/>
  </cols>
  <sheetData>
    <row r="1" spans="2:6" ht="15.75" thickBot="1" x14ac:dyDescent="0.25"/>
    <row r="2" spans="2:6" ht="15.75" thickBot="1" x14ac:dyDescent="0.25">
      <c r="B2" s="23" t="s">
        <v>102</v>
      </c>
      <c r="C2" s="86"/>
      <c r="D2" s="87"/>
    </row>
    <row r="3" spans="2:6" x14ac:dyDescent="0.2">
      <c r="B3" s="52" t="s">
        <v>89</v>
      </c>
      <c r="C3" s="88">
        <v>20</v>
      </c>
      <c r="D3" s="7"/>
    </row>
    <row r="4" spans="2:6" x14ac:dyDescent="0.2">
      <c r="B4" s="55" t="s">
        <v>91</v>
      </c>
      <c r="C4" s="89">
        <v>3</v>
      </c>
      <c r="D4" s="10"/>
    </row>
    <row r="5" spans="2:6" x14ac:dyDescent="0.2">
      <c r="B5" s="55" t="s">
        <v>93</v>
      </c>
      <c r="C5" s="89">
        <v>200</v>
      </c>
      <c r="D5" s="10"/>
    </row>
    <row r="6" spans="2:6" x14ac:dyDescent="0.2">
      <c r="B6" s="55" t="s">
        <v>92</v>
      </c>
      <c r="C6" s="89">
        <v>1065</v>
      </c>
      <c r="D6" s="10"/>
    </row>
    <row r="7" spans="2:6" x14ac:dyDescent="0.2">
      <c r="B7" s="55" t="s">
        <v>94</v>
      </c>
      <c r="C7" s="89">
        <v>25</v>
      </c>
      <c r="D7" s="10"/>
    </row>
    <row r="8" spans="2:6" hidden="1" x14ac:dyDescent="0.2">
      <c r="B8" s="55"/>
      <c r="C8" s="89"/>
      <c r="D8" s="10"/>
    </row>
    <row r="9" spans="2:6" hidden="1" x14ac:dyDescent="0.2">
      <c r="B9" s="97"/>
      <c r="C9" s="89"/>
      <c r="D9" s="10"/>
    </row>
    <row r="10" spans="2:6" x14ac:dyDescent="0.2">
      <c r="B10" s="55" t="s">
        <v>96</v>
      </c>
      <c r="C10" s="89">
        <v>300</v>
      </c>
      <c r="D10" s="10"/>
      <c r="E10" s="98"/>
    </row>
    <row r="11" spans="2:6" ht="15.75" thickBot="1" x14ac:dyDescent="0.25">
      <c r="B11" s="55" t="s">
        <v>97</v>
      </c>
      <c r="C11" s="14">
        <v>60</v>
      </c>
      <c r="D11" s="10"/>
      <c r="E11" s="98"/>
    </row>
    <row r="12" spans="2:6" ht="35.25" thickBot="1" x14ac:dyDescent="0.35">
      <c r="B12" s="63" t="s">
        <v>83</v>
      </c>
      <c r="C12" s="93">
        <f>SUM(C3:C11)</f>
        <v>1673</v>
      </c>
      <c r="D12" s="94">
        <f>C12*1.15</f>
        <v>1923.9499999999998</v>
      </c>
      <c r="E12" s="99" t="s">
        <v>99</v>
      </c>
      <c r="F12" s="102" t="s">
        <v>103</v>
      </c>
    </row>
    <row r="13" spans="2:6" ht="18" thickBot="1" x14ac:dyDescent="0.35">
      <c r="C13" s="1" t="s">
        <v>98</v>
      </c>
      <c r="D13" s="14">
        <f>D12*0.15</f>
        <v>288.59249999999997</v>
      </c>
      <c r="E13" s="103" t="s">
        <v>104</v>
      </c>
      <c r="F13" s="10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D481-5B15-4BEB-BA97-481BCC55EC78}">
  <dimension ref="B3:E15"/>
  <sheetViews>
    <sheetView workbookViewId="0">
      <selection activeCell="F7" sqref="F7"/>
    </sheetView>
  </sheetViews>
  <sheetFormatPr baseColWidth="10" defaultRowHeight="15" x14ac:dyDescent="0.2"/>
  <cols>
    <col min="1" max="1" width="11" style="1"/>
    <col min="2" max="2" width="25.5" style="1" bestFit="1" customWidth="1"/>
    <col min="3" max="3" width="11" style="1"/>
    <col min="4" max="4" width="11.5" style="1" bestFit="1" customWidth="1"/>
    <col min="5" max="16384" width="11" style="1"/>
  </cols>
  <sheetData>
    <row r="3" spans="2:5" x14ac:dyDescent="0.2">
      <c r="B3" s="165" t="s">
        <v>133</v>
      </c>
      <c r="C3" s="165"/>
      <c r="D3" s="165"/>
    </row>
    <row r="4" spans="2:5" x14ac:dyDescent="0.2">
      <c r="D4" s="112" t="s">
        <v>128</v>
      </c>
    </row>
    <row r="5" spans="2:5" x14ac:dyDescent="0.2">
      <c r="B5" s="20" t="s">
        <v>109</v>
      </c>
      <c r="C5" s="21">
        <f>(115)</f>
        <v>115</v>
      </c>
      <c r="D5" s="21">
        <f>450/6</f>
        <v>75</v>
      </c>
    </row>
    <row r="6" spans="2:5" x14ac:dyDescent="0.2">
      <c r="B6" s="20" t="s">
        <v>110</v>
      </c>
      <c r="C6" s="21">
        <f>110</f>
        <v>110</v>
      </c>
      <c r="D6" s="21">
        <f>450/6</f>
        <v>75</v>
      </c>
    </row>
    <row r="7" spans="2:5" x14ac:dyDescent="0.2">
      <c r="B7" s="20" t="s">
        <v>111</v>
      </c>
      <c r="C7" s="21">
        <f>460</f>
        <v>460</v>
      </c>
      <c r="D7" s="21">
        <f>550/6</f>
        <v>91.666666666666671</v>
      </c>
    </row>
    <row r="8" spans="2:5" x14ac:dyDescent="0.2">
      <c r="B8" s="20" t="s">
        <v>108</v>
      </c>
      <c r="C8" s="21">
        <f>150</f>
        <v>150</v>
      </c>
      <c r="D8" s="21">
        <f>550/6</f>
        <v>91.666666666666671</v>
      </c>
    </row>
    <row r="9" spans="2:5" x14ac:dyDescent="0.2">
      <c r="B9" s="20"/>
      <c r="C9" s="22">
        <f>SUM(C5:C8)</f>
        <v>835</v>
      </c>
      <c r="D9" s="22">
        <f>SUM(D5:D8)</f>
        <v>333.33333333333337</v>
      </c>
    </row>
    <row r="10" spans="2:5" x14ac:dyDescent="0.2">
      <c r="B10" s="20" t="s">
        <v>134</v>
      </c>
      <c r="C10" s="22"/>
      <c r="D10" s="22">
        <f>C9+D9</f>
        <v>1168.3333333333335</v>
      </c>
    </row>
    <row r="11" spans="2:5" x14ac:dyDescent="0.2">
      <c r="B11" s="20"/>
      <c r="C11" s="20"/>
      <c r="D11" s="22">
        <f>D10*1.15</f>
        <v>1343.5833333333335</v>
      </c>
    </row>
    <row r="12" spans="2:5" x14ac:dyDescent="0.2">
      <c r="B12" s="20"/>
      <c r="C12" s="20" t="s">
        <v>112</v>
      </c>
      <c r="D12" s="20">
        <v>120</v>
      </c>
      <c r="E12" s="1" t="s">
        <v>135</v>
      </c>
    </row>
    <row r="13" spans="2:5" x14ac:dyDescent="0.2">
      <c r="B13" s="20"/>
      <c r="C13" s="20"/>
      <c r="D13" s="22">
        <f>SUM(D11:D12)</f>
        <v>1463.5833333333335</v>
      </c>
    </row>
    <row r="14" spans="2:5" ht="15.75" thickBot="1" x14ac:dyDescent="0.25">
      <c r="D14" s="14">
        <f>D13/19.5</f>
        <v>75.055555555555557</v>
      </c>
    </row>
    <row r="15" spans="2:5" ht="18" thickBot="1" x14ac:dyDescent="0.35">
      <c r="D15" s="85" t="s">
        <v>113</v>
      </c>
    </row>
  </sheetData>
  <mergeCells count="1"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A5A-BF4E-4A3F-B8D0-11B2B3E476B9}">
  <dimension ref="B1:F30"/>
  <sheetViews>
    <sheetView workbookViewId="0">
      <selection activeCell="D16" sqref="D16"/>
    </sheetView>
  </sheetViews>
  <sheetFormatPr baseColWidth="10" defaultRowHeight="15" x14ac:dyDescent="0.2"/>
  <cols>
    <col min="1" max="1" width="11" style="1"/>
    <col min="2" max="2" width="20.5" style="1" bestFit="1" customWidth="1"/>
    <col min="3" max="3" width="11.5" style="1" bestFit="1" customWidth="1"/>
    <col min="4" max="4" width="23.25" style="1" customWidth="1"/>
    <col min="5" max="5" width="11.5" style="1" bestFit="1" customWidth="1"/>
    <col min="6" max="16384" width="11" style="1"/>
  </cols>
  <sheetData>
    <row r="1" spans="2:6" ht="15.75" thickBot="1" x14ac:dyDescent="0.25"/>
    <row r="2" spans="2:6" ht="16.5" customHeight="1" x14ac:dyDescent="0.2">
      <c r="B2" s="166" t="s">
        <v>124</v>
      </c>
      <c r="C2" s="167"/>
      <c r="D2" s="167"/>
      <c r="E2" s="167"/>
      <c r="F2" s="168"/>
    </row>
    <row r="3" spans="2:6" x14ac:dyDescent="0.2">
      <c r="B3" s="71" t="s">
        <v>114</v>
      </c>
      <c r="C3" s="20" t="s">
        <v>115</v>
      </c>
      <c r="D3" s="20" t="s">
        <v>127</v>
      </c>
      <c r="E3" s="20" t="s">
        <v>116</v>
      </c>
      <c r="F3" s="104" t="s">
        <v>126</v>
      </c>
    </row>
    <row r="4" spans="2:6" x14ac:dyDescent="0.2">
      <c r="B4" s="71" t="s">
        <v>117</v>
      </c>
      <c r="C4" s="22">
        <f>' PICNIC 2 PAX'!J26+20+' PICNIC 2 PAX'!C34+' PICNIC 2 PAX'!D35+(' PICNIC 2 PAX'!C31/3.33)</f>
        <v>787.66010180180172</v>
      </c>
      <c r="D4" s="21">
        <f>(95*19.5)/1.08</f>
        <v>1715.2777777777776</v>
      </c>
      <c r="E4" s="22">
        <f>D4-C4</f>
        <v>927.61767597597589</v>
      </c>
      <c r="F4" s="108">
        <f>E4/D4</f>
        <v>0.54079734955684433</v>
      </c>
    </row>
    <row r="5" spans="2:6" x14ac:dyDescent="0.2">
      <c r="B5" s="71" t="s">
        <v>118</v>
      </c>
      <c r="C5" s="21">
        <f>(('PIC NIC AMIGAS '!C4+'PIC NIC AMIGAS '!C5)/3.33)+40+'PIC NIC AMIGAS '!C8+('PIC NIC AMIGAS '!C10*0.15)</f>
        <v>912.04414414414407</v>
      </c>
      <c r="D5" s="21">
        <f>(120*19.5)/1.08</f>
        <v>2166.6666666666665</v>
      </c>
      <c r="E5" s="22">
        <f t="shared" ref="E5:E11" si="0">D5-C5</f>
        <v>1254.6225225225226</v>
      </c>
      <c r="F5" s="108">
        <f t="shared" ref="F5:F11" si="1">E5/D5</f>
        <v>0.57905654885654889</v>
      </c>
    </row>
    <row r="6" spans="2:6" x14ac:dyDescent="0.2">
      <c r="B6" s="71" t="s">
        <v>68</v>
      </c>
      <c r="C6" s="21">
        <f>(('CANASTA PARA LLEVAR'!C3+'CANASTA PARA LLEVAR'!C5+'CANASTA PARA LLEVAR'!C6)/3.33)+20</f>
        <v>344.32432432432432</v>
      </c>
      <c r="D6" s="21">
        <f>1300/1.08</f>
        <v>1203.7037037037037</v>
      </c>
      <c r="E6" s="22">
        <f t="shared" si="0"/>
        <v>859.37937937937932</v>
      </c>
      <c r="F6" s="108">
        <f t="shared" si="1"/>
        <v>0.71394594594594585</v>
      </c>
    </row>
    <row r="7" spans="2:6" x14ac:dyDescent="0.2">
      <c r="B7" s="71" t="s">
        <v>119</v>
      </c>
      <c r="C7" s="21">
        <f>('Cenas románticas'!C10/3.33)+250</f>
        <v>931.53153153153153</v>
      </c>
      <c r="D7" s="21">
        <f>(120*19.5)/1.08</f>
        <v>2166.6666666666665</v>
      </c>
      <c r="E7" s="22">
        <f t="shared" si="0"/>
        <v>1235.135135135135</v>
      </c>
      <c r="F7" s="108">
        <f t="shared" si="1"/>
        <v>0.57006237006237004</v>
      </c>
    </row>
    <row r="8" spans="2:6" x14ac:dyDescent="0.2">
      <c r="B8" s="71" t="s">
        <v>120</v>
      </c>
      <c r="C8" s="21">
        <f>((D14+D15+D16+D17+D18)/3.33)+D19+D20+D21+D22</f>
        <v>1578.4924924924926</v>
      </c>
      <c r="D8" s="21">
        <f>(145*19.5)/1.08</f>
        <v>2618.0555555555552</v>
      </c>
      <c r="E8" s="22">
        <f t="shared" si="0"/>
        <v>1039.5630630630626</v>
      </c>
      <c r="F8" s="108">
        <f t="shared" si="1"/>
        <v>0.39707448562620962</v>
      </c>
    </row>
    <row r="9" spans="2:6" x14ac:dyDescent="0.2">
      <c r="B9" s="71" t="s">
        <v>121</v>
      </c>
      <c r="C9" s="21">
        <f>(('fogatas premium '!C6+'fogatas premium '!C9+'fogatas premium '!C10)/3.33)+'fogatas premium '!C3+'fogatas premium '!C4+'fogatas premium '!C7+'fogatas premium '!D13</f>
        <v>1283.73018018018</v>
      </c>
      <c r="D9" s="21">
        <f>'fogatas premium '!D12/1.08</f>
        <v>3386.1111111111104</v>
      </c>
      <c r="E9" s="22">
        <f t="shared" si="0"/>
        <v>2102.3809309309304</v>
      </c>
      <c r="F9" s="108">
        <f t="shared" si="1"/>
        <v>0.62088362193202218</v>
      </c>
    </row>
    <row r="10" spans="2:6" x14ac:dyDescent="0.2">
      <c r="B10" s="71" t="s">
        <v>122</v>
      </c>
      <c r="C10" s="21">
        <f>(('Fogatas Puerta Norte '!C6+'Fogatas Puerta Norte '!C10+'Fogatas Puerta Norte '!C11)/3.33)+'Fogatas Puerta Norte '!D13+'Fogatas Puerta Norte '!C3+'Fogatas Puerta Norte '!C4+'Fogatas Puerta Norte '!C5+'Fogatas Puerta Norte '!C7</f>
        <v>964.52042792792781</v>
      </c>
      <c r="D10" s="21">
        <f>'Fogatas Puerta Norte '!D12/1.08</f>
        <v>1781.435185185185</v>
      </c>
      <c r="E10" s="22">
        <f t="shared" si="0"/>
        <v>816.91475725725718</v>
      </c>
      <c r="F10" s="108">
        <f t="shared" si="1"/>
        <v>0.45857113637975927</v>
      </c>
    </row>
    <row r="11" spans="2:6" x14ac:dyDescent="0.2">
      <c r="B11" s="71" t="s">
        <v>123</v>
      </c>
      <c r="C11" s="21">
        <f>('Cena entre viñedos'!D13/3.33)+100</f>
        <v>539.51451451451453</v>
      </c>
      <c r="D11" s="21">
        <f>'Cena entre viñedos'!D13/1.08</f>
        <v>1355.1697530864199</v>
      </c>
      <c r="E11" s="22">
        <f t="shared" si="0"/>
        <v>815.65523857190533</v>
      </c>
      <c r="F11" s="108">
        <f t="shared" si="1"/>
        <v>0.60188418219506301</v>
      </c>
    </row>
    <row r="12" spans="2:6" ht="15.75" thickBot="1" x14ac:dyDescent="0.25">
      <c r="B12" s="105"/>
      <c r="C12" s="107"/>
      <c r="D12" s="107"/>
      <c r="E12" s="107"/>
      <c r="F12" s="106"/>
    </row>
    <row r="14" spans="2:6" s="109" customFormat="1" x14ac:dyDescent="0.2">
      <c r="C14" s="109" t="s">
        <v>77</v>
      </c>
      <c r="D14" s="110">
        <v>135</v>
      </c>
    </row>
    <row r="15" spans="2:6" s="109" customFormat="1" x14ac:dyDescent="0.2">
      <c r="C15" s="109" t="s">
        <v>78</v>
      </c>
      <c r="D15" s="110">
        <v>185</v>
      </c>
    </row>
    <row r="16" spans="2:6" s="109" customFormat="1" x14ac:dyDescent="0.2">
      <c r="C16" s="109" t="s">
        <v>79</v>
      </c>
      <c r="D16" s="110">
        <v>650</v>
      </c>
    </row>
    <row r="17" spans="3:4" s="109" customFormat="1" x14ac:dyDescent="0.2">
      <c r="C17" s="109" t="s">
        <v>80</v>
      </c>
      <c r="D17" s="110">
        <v>120</v>
      </c>
    </row>
    <row r="18" spans="3:4" s="109" customFormat="1" x14ac:dyDescent="0.2">
      <c r="C18" s="109" t="s">
        <v>81</v>
      </c>
      <c r="D18" s="110">
        <v>550</v>
      </c>
    </row>
    <row r="19" spans="3:4" s="109" customFormat="1" x14ac:dyDescent="0.2">
      <c r="C19" s="109" t="s">
        <v>85</v>
      </c>
      <c r="D19" s="110">
        <v>500</v>
      </c>
    </row>
    <row r="20" spans="3:4" s="109" customFormat="1" x14ac:dyDescent="0.2">
      <c r="C20" s="109" t="s">
        <v>59</v>
      </c>
      <c r="D20" s="110">
        <v>150</v>
      </c>
    </row>
    <row r="21" spans="3:4" s="109" customFormat="1" x14ac:dyDescent="0.2">
      <c r="C21" s="109" t="s">
        <v>86</v>
      </c>
      <c r="D21" s="110">
        <v>100</v>
      </c>
    </row>
    <row r="22" spans="3:4" s="109" customFormat="1" x14ac:dyDescent="0.2">
      <c r="C22" s="109" t="s">
        <v>82</v>
      </c>
      <c r="D22" s="111">
        <f>(D14+D15+D16+D17+D18+D19+D21)*0.15</f>
        <v>336</v>
      </c>
    </row>
    <row r="23" spans="3:4" s="109" customFormat="1" x14ac:dyDescent="0.2">
      <c r="C23" s="109" t="s">
        <v>83</v>
      </c>
      <c r="D23" s="111">
        <f>SUM(D14:D22)</f>
        <v>2726</v>
      </c>
    </row>
    <row r="24" spans="3:4" s="109" customFormat="1" x14ac:dyDescent="0.2"/>
    <row r="25" spans="3:4" s="109" customFormat="1" x14ac:dyDescent="0.2"/>
    <row r="26" spans="3:4" s="109" customFormat="1" x14ac:dyDescent="0.2"/>
    <row r="27" spans="3:4" s="109" customFormat="1" x14ac:dyDescent="0.2"/>
    <row r="28" spans="3:4" s="109" customFormat="1" x14ac:dyDescent="0.2"/>
    <row r="29" spans="3:4" s="109" customFormat="1" x14ac:dyDescent="0.2"/>
    <row r="30" spans="3:4" s="109" customFormat="1" x14ac:dyDescent="0.2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 AMENIDADES</vt:lpstr>
      <vt:lpstr> PICNIC 2 PAX</vt:lpstr>
      <vt:lpstr>CANASTA PARA LLEVAR</vt:lpstr>
      <vt:lpstr>PIC NIC AMIGAS </vt:lpstr>
      <vt:lpstr>Cenas románticas</vt:lpstr>
      <vt:lpstr>fogatas premium </vt:lpstr>
      <vt:lpstr>Fogatas Puerta Norte </vt:lpstr>
      <vt:lpstr>Cena entre viñedos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RT-EVENTOS-GNTE</cp:lastModifiedBy>
  <dcterms:created xsi:type="dcterms:W3CDTF">2020-09-23T17:31:46Z</dcterms:created>
  <dcterms:modified xsi:type="dcterms:W3CDTF">2022-09-08T00:22:14Z</dcterms:modified>
</cp:coreProperties>
</file>