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_Vault\YC Models\391-10004-007\"/>
    </mc:Choice>
  </mc:AlternateContent>
  <xr:revisionPtr revIDLastSave="0" documentId="13_ncr:1_{D02A6AD7-2FFC-40EA-8A8F-29E1020DF6B4}" xr6:coauthVersionLast="47" xr6:coauthVersionMax="47" xr10:uidLastSave="{00000000-0000-0000-0000-000000000000}"/>
  <bookViews>
    <workbookView xWindow="-120" yWindow="-120" windowWidth="29040" windowHeight="15720" tabRatio="899" activeTab="1" xr2:uid="{00000000-000D-0000-FFFF-FFFF00000000}"/>
  </bookViews>
  <sheets>
    <sheet name="Sheet1" sheetId="1" r:id="rId1"/>
    <sheet name="Data" sheetId="2" r:id="rId2"/>
    <sheet name="Excel Calcs" sheetId="3" r:id="rId3"/>
    <sheet name="Fan Data" sheetId="4" r:id="rId4"/>
    <sheet name="Load Calculations" sheetId="5" r:id="rId5"/>
    <sheet name="Center Distance" sheetId="6" r:id="rId6"/>
    <sheet name="Channel Loc" sheetId="7" r:id="rId7"/>
    <sheet name="Motor Base" sheetId="9" r:id="rId8"/>
    <sheet name="Hardware" sheetId="8" r:id="rId9"/>
    <sheet name="Motor" sheetId="10" r:id="rId10"/>
    <sheet name="Isolator Plate" sheetId="11" r:id="rId11"/>
    <sheet name="Isolators" sheetId="12" r:id="rId12"/>
    <sheet name="Iso Sup Angle" sheetId="13" r:id="rId13"/>
    <sheet name="Hole Sizes" sheetId="14" r:id="rId14"/>
    <sheet name="Material List" sheetId="15" r:id="rId15"/>
    <sheet name="Steel List" sheetId="16" r:id="rId16"/>
    <sheet name="Revision List" sheetId="17" r:id="rId17"/>
  </sheets>
  <definedNames>
    <definedName name="_xlnm._FilterDatabase" localSheetId="3" hidden="1">'Fan Data'!#REF!</definedName>
    <definedName name="_xlnm._FilterDatabase" localSheetId="14" hidden="1">'Material List'!$A$8:$A$121</definedName>
    <definedName name="CENTER_DISTANCE_MAX">'Center Distance'!$D$21</definedName>
    <definedName name="CENTER_DISTANCE_MIN">'Center Distance'!$D$20</definedName>
    <definedName name="Center_DistanceO">Data!$B$22</definedName>
    <definedName name="Construction">Data!$B$18</definedName>
    <definedName name="FAN_A">'Fan Data'!$G$3</definedName>
    <definedName name="FAN_AH">'Fan Data'!$AG$3</definedName>
    <definedName name="FAN_B">'Fan Data'!$H$3</definedName>
    <definedName name="FAN_BAH">'Fan Data'!$I$3</definedName>
    <definedName name="FAN_BAT">'Fan Data'!$K$3</definedName>
    <definedName name="FAN_BAW">'Fan Data'!$J$3</definedName>
    <definedName name="FAN_BH">'Fan Data'!$L$3</definedName>
    <definedName name="FAN_BH_NOM">'Fan Data'!$M$3</definedName>
    <definedName name="FAN_BRG_DIA">'Fan Data'!$AR$3</definedName>
    <definedName name="FAN_BRG_H">'Fan Data'!$AT$3</definedName>
    <definedName name="FAN_BRG_SUP_T">'Fan Data'!$AQ$3</definedName>
    <definedName name="FAN_BRG_SUP_W">'Fan Data'!$AP$3</definedName>
    <definedName name="FAN_BRG_W">'Fan Data'!$AS$3</definedName>
    <definedName name="FAN_CF">'Fan Data'!#REF!</definedName>
    <definedName name="FAN_D">'Fan Data'!#REF!</definedName>
    <definedName name="Fan_Data_Column_Names">'Fan Data'!$C$3:$DM$3</definedName>
    <definedName name="Fan_Data_Table">'Fan Data'!$C$3:$DM$66</definedName>
    <definedName name="FAN_DC">'Fan Data'!$N$3</definedName>
    <definedName name="FAN_DD">'Fan Data'!$O$3</definedName>
    <definedName name="FAN_DE">'Fan Data'!$P$3</definedName>
    <definedName name="FAN_DX">'Fan Data'!$Q$3</definedName>
    <definedName name="FAN_E">'Fan Data'!#REF!</definedName>
    <definedName name="FAN_G">'Fan Data'!$R$3</definedName>
    <definedName name="FAN_GA">'Fan Data'!$S$3</definedName>
    <definedName name="FAN_GB">'Fan Data'!$T$3</definedName>
    <definedName name="FAN_GC">'Fan Data'!$U$3</definedName>
    <definedName name="FAN_H">'Fan Data'!$V$3</definedName>
    <definedName name="FAN_HE">'Fan Data'!$W$3</definedName>
    <definedName name="FAN_HJ">'Fan Data'!$X$3</definedName>
    <definedName name="FAN_HN">'Fan Data'!$Y$3</definedName>
    <definedName name="FAN_HY">'Fan Data'!#REF!</definedName>
    <definedName name="FAN_INLET_FLG_W">'Fan Data'!$AO$3</definedName>
    <definedName name="FAN_J">'Fan Data'!$Z$3</definedName>
    <definedName name="FAN_K">'Fan Data'!$AH$3</definedName>
    <definedName name="FAN_KSD">'Fan Data'!$AF$3</definedName>
    <definedName name="FAN_KSL">'Fan Data'!$AD$3</definedName>
    <definedName name="FAN_KSW">'Fan Data'!$AE$3</definedName>
    <definedName name="FAN_M">'Fan Data'!$AI$3</definedName>
    <definedName name="FAN_N">'Fan Data'!$AJ$3</definedName>
    <definedName name="FAN_ND">'Fan Data'!$AK$3</definedName>
    <definedName name="FAN_P">'Fan Data'!$AA$3</definedName>
    <definedName name="FAN_Q">'Fan Data'!$AB$3</definedName>
    <definedName name="FAN_SD">'Fan Data'!$AC$3</definedName>
    <definedName name="FAN_SHAFT_DIAMETER">'Center Distance'!$D$33</definedName>
    <definedName name="Fan_Start">Data!$B$19</definedName>
    <definedName name="FAN_U">'Fan Data'!#REF!</definedName>
    <definedName name="FAN_WID">'Fan Data'!$AM$3</definedName>
    <definedName name="FAN_WOD">'Fan Data'!$AL$3</definedName>
    <definedName name="FAN_WW">'Fan Data'!$AN$3</definedName>
    <definedName name="FAN_X_LOCATION">Data!$B$14</definedName>
    <definedName name="FanBase_Type_ForcedO">Data!$B$21</definedName>
    <definedName name="FANCLASS">Data!$B$7</definedName>
    <definedName name="FANDISCHARGELOC">Data!$B$9</definedName>
    <definedName name="FANSIZE">Data!$B$6</definedName>
    <definedName name="FanStndStrBasePadThk">Data!$G$4</definedName>
    <definedName name="FANWEIGHT">Data!$B$8</definedName>
    <definedName name="FLOOR_CHAN_1_X_ARRAY_OFFSET">'Channel Loc'!$D$6</definedName>
    <definedName name="FLOOR_CHAN_1_X_ARRAY_QTY">'Channel Loc'!$E$6</definedName>
    <definedName name="FLOOR_CHAN_1_X_ARRAY_SPACING">'Channel Loc'!$F$6</definedName>
    <definedName name="FLOOR_CHAN_1_Z_LOC">'Channel Loc'!$C$6</definedName>
    <definedName name="FLOOR_CHAN_10_X_ARRAY_OFFSET">'Channel Loc'!$D$15</definedName>
    <definedName name="FLOOR_CHAN_10_X_ARRAY_QTY">'Channel Loc'!$E$15</definedName>
    <definedName name="FLOOR_CHAN_10_X_ARRAY_SPACING">'Channel Loc'!$F$15</definedName>
    <definedName name="FLOOR_CHAN_10_Z_LOC">'Channel Loc'!$C$15</definedName>
    <definedName name="FLOOR_CHAN_11_X_ARRAY_OFFSET">'Channel Loc'!$D$16</definedName>
    <definedName name="FLOOR_CHAN_11_X_ARRAY_QTY">'Channel Loc'!$E$16</definedName>
    <definedName name="FLOOR_CHAN_11_X_ARRAY_SPACING">'Channel Loc'!$F$16</definedName>
    <definedName name="FLOOR_CHAN_11_Z_LOC">'Channel Loc'!$C$16</definedName>
    <definedName name="FLOOR_CHAN_12_X_ARRAY_OFFSET">'Channel Loc'!$D$17</definedName>
    <definedName name="FLOOR_CHAN_12_X_ARRAY_QTY">'Channel Loc'!$E$17</definedName>
    <definedName name="FLOOR_CHAN_12_X_ARRAY_SPACING">'Channel Loc'!$F$17</definedName>
    <definedName name="FLOOR_CHAN_12_Z_LOC">'Channel Loc'!$C$17</definedName>
    <definedName name="FLOOR_CHAN_13_X_ARRAY_OFFSET">'Channel Loc'!$D$18</definedName>
    <definedName name="FLOOR_CHAN_13_X_ARRAY_QTY">'Channel Loc'!$E$18</definedName>
    <definedName name="FLOOR_CHAN_13_X_ARRAY_SPACING">'Channel Loc'!$F$18</definedName>
    <definedName name="FLOOR_CHAN_13_Z_LOC">'Channel Loc'!$C$18</definedName>
    <definedName name="FLOOR_CHAN_14_X_ARRAY_OFFSET">'Channel Loc'!$D$19</definedName>
    <definedName name="FLOOR_CHAN_14_X_ARRAY_QTY">'Channel Loc'!$E$19</definedName>
    <definedName name="FLOOR_CHAN_14_X_ARRAY_SPACING">'Channel Loc'!$F$19</definedName>
    <definedName name="FLOOR_CHAN_14_Z_LOC">'Channel Loc'!$C$19</definedName>
    <definedName name="FLOOR_CHAN_15_X_ARRAY_OFFSET">'Channel Loc'!$D$20</definedName>
    <definedName name="FLOOR_CHAN_15_X_ARRAY_QTY">'Channel Loc'!$E$20</definedName>
    <definedName name="FLOOR_CHAN_15_X_ARRAY_SPACING">'Channel Loc'!$F$20</definedName>
    <definedName name="FLOOR_CHAN_15_Z_LOC">'Channel Loc'!$C$20</definedName>
    <definedName name="FLOOR_CHAN_16_X_ARRAY_OFFSET">'Channel Loc'!$D$21</definedName>
    <definedName name="FLOOR_CHAN_16_X_ARRAY_QTY">'Channel Loc'!$E$21</definedName>
    <definedName name="FLOOR_CHAN_16_X_ARRAY_SPACING">'Channel Loc'!$F$21</definedName>
    <definedName name="FLOOR_CHAN_16_Z_LOC">'Channel Loc'!$C$21</definedName>
    <definedName name="FLOOR_CHAN_17_X_ARRAY_OFFSET">'Channel Loc'!$D$22</definedName>
    <definedName name="FLOOR_CHAN_17_X_ARRAY_QTY">'Channel Loc'!$E$22</definedName>
    <definedName name="FLOOR_CHAN_17_X_ARRAY_SPACING">'Channel Loc'!$F$22</definedName>
    <definedName name="FLOOR_CHAN_17_Z_LOC">'Channel Loc'!$C$22</definedName>
    <definedName name="FLOOR_CHAN_18_X_ARRAY_OFFSET">'Channel Loc'!$D$23</definedName>
    <definedName name="FLOOR_CHAN_18_X_ARRAY_QTY">'Channel Loc'!$E$23</definedName>
    <definedName name="FLOOR_CHAN_18_X_ARRAY_SPACING">'Channel Loc'!$F$23</definedName>
    <definedName name="FLOOR_CHAN_18_Z_LOC">'Channel Loc'!$C$23</definedName>
    <definedName name="FLOOR_CHAN_19_X_ARRAY_OFFSET">'Channel Loc'!$D$24</definedName>
    <definedName name="FLOOR_CHAN_19_X_ARRAY_QTY">'Channel Loc'!$E$24</definedName>
    <definedName name="FLOOR_CHAN_19_X_ARRAY_SPACING">'Channel Loc'!$F$24</definedName>
    <definedName name="FLOOR_CHAN_19_Z_LOC">'Channel Loc'!$C$24</definedName>
    <definedName name="FLOOR_CHAN_2_X_ARRAY_OFFSET">'Channel Loc'!$D$7</definedName>
    <definedName name="FLOOR_CHAN_2_X_ARRAY_QTY">'Channel Loc'!$E$7</definedName>
    <definedName name="FLOOR_CHAN_2_X_ARRAY_SPACING">'Channel Loc'!$F$7</definedName>
    <definedName name="FLOOR_CHAN_2_Z_LOC">'Channel Loc'!$C$7</definedName>
    <definedName name="FLOOR_CHAN_20_X_ARRAY_OFFSET">'Channel Loc'!$D$25</definedName>
    <definedName name="FLOOR_CHAN_20_X_ARRAY_QTY">'Channel Loc'!$E$25</definedName>
    <definedName name="FLOOR_CHAN_20_X_ARRAY_SPACING">'Channel Loc'!$F$25</definedName>
    <definedName name="FLOOR_CHAN_20_Z_LOC">'Channel Loc'!$C$25</definedName>
    <definedName name="FLOOR_CHAN_3_X_ARRAY_OFFSET">'Channel Loc'!$D$8</definedName>
    <definedName name="FLOOR_CHAN_3_X_ARRAY_QTY">'Channel Loc'!$E$8</definedName>
    <definedName name="FLOOR_CHAN_3_X_ARRAY_SPACING">'Channel Loc'!$F$8</definedName>
    <definedName name="FLOOR_CHAN_3_Z_LOC">'Channel Loc'!$C$8</definedName>
    <definedName name="FLOOR_CHAN_4_X_ARRAY_OFFSET">'Channel Loc'!$D$9</definedName>
    <definedName name="FLOOR_CHAN_4_X_ARRAY_QTY">'Channel Loc'!$E$9</definedName>
    <definedName name="FLOOR_CHAN_4_X_ARRAY_SPACING">'Channel Loc'!$F$9</definedName>
    <definedName name="FLOOR_CHAN_4_Z_LOC">'Channel Loc'!$C$9</definedName>
    <definedName name="FLOOR_CHAN_5_X_ARRAY_OFFSET">'Channel Loc'!$D$10</definedName>
    <definedName name="FLOOR_CHAN_5_X_ARRAY_QTY">'Channel Loc'!$E$10</definedName>
    <definedName name="FLOOR_CHAN_5_X_ARRAY_SPACING">'Channel Loc'!$F$10</definedName>
    <definedName name="FLOOR_CHAN_5_Z_LOC">'Channel Loc'!$C$10</definedName>
    <definedName name="FLOOR_CHAN_6_X_ARRAY_OFFSET">'Channel Loc'!$D$11</definedName>
    <definedName name="FLOOR_CHAN_6_X_ARRAY_QTY">'Channel Loc'!$E$11</definedName>
    <definedName name="FLOOR_CHAN_6_X_ARRAY_SPACING">'Channel Loc'!$F$11</definedName>
    <definedName name="FLOOR_CHAN_6_Z_LOC">'Channel Loc'!$C$11</definedName>
    <definedName name="FLOOR_CHAN_7_X_ARRAY_OFFSET">'Channel Loc'!$D$12</definedName>
    <definedName name="FLOOR_CHAN_7_X_ARRAY_QTY">'Channel Loc'!$E$12</definedName>
    <definedName name="FLOOR_CHAN_7_X_ARRAY_SPACING">'Channel Loc'!$F$12</definedName>
    <definedName name="FLOOR_CHAN_7_Z_LOC">'Channel Loc'!$C$12</definedName>
    <definedName name="FLOOR_CHAN_8_X_ARRAY_OFFSET">'Channel Loc'!$D$13</definedName>
    <definedName name="FLOOR_CHAN_8_X_ARRAY_QTY">'Channel Loc'!$E$13</definedName>
    <definedName name="FLOOR_CHAN_8_X_ARRAY_SPACING">'Channel Loc'!$F$13</definedName>
    <definedName name="FLOOR_CHAN_8_Z_LOC">'Channel Loc'!$C$13</definedName>
    <definedName name="FLOOR_CHAN_9_X_ARRAY_OFFSET">'Channel Loc'!$D$14</definedName>
    <definedName name="FLOOR_CHAN_9_X_ARRAY_QTY">'Channel Loc'!$E$14</definedName>
    <definedName name="FLOOR_CHAN_9_X_ARRAY_SPACING">'Channel Loc'!$F$14</definedName>
    <definedName name="FLOOR_CHAN_9_Z_LOC">'Channel Loc'!$C$14</definedName>
    <definedName name="Hardware_Column_Names">Hardware!$B$3:$I$3</definedName>
    <definedName name="Hardware_Table">Hardware!$B$2:$I$8</definedName>
    <definedName name="HDWR_BH">Hardware!$E$3</definedName>
    <definedName name="HDWR_BOD">Hardware!$D$3</definedName>
    <definedName name="HDWR_DESG">Hardware!#REF!</definedName>
    <definedName name="HDWR_FWOD">Hardware!$H$3</definedName>
    <definedName name="HDWR_LWOD">Hardware!$I$3</definedName>
    <definedName name="HDWR_NH">Hardware!$G$3</definedName>
    <definedName name="HDWR_NHD">Hardware!$B$3</definedName>
    <definedName name="HDWR_NOD">Hardware!$F$3</definedName>
    <definedName name="HOLE">#REF!</definedName>
    <definedName name="IH">Data!$B$3</definedName>
    <definedName name="INERTIA">Data!$B$16</definedName>
    <definedName name="InertiaPlateThkO">Data!$B$23</definedName>
    <definedName name="ISO_ADJBD">Isolators!$W$3</definedName>
    <definedName name="ISO_BHD">Isolators!$Q$3</definedName>
    <definedName name="ISO_BHL">Isolators!$S$3</definedName>
    <definedName name="ISO_BHW">Isolators!$R$3</definedName>
    <definedName name="ISO_BL">Isolators!$O$3</definedName>
    <definedName name="ISO_BLT">Isolators!$M$3</definedName>
    <definedName name="ISO_BT">Isolators!$P$3</definedName>
    <definedName name="ISO_BW">Isolators!$N$3</definedName>
    <definedName name="ISO_D">Isolators!$B$3</definedName>
    <definedName name="ISO_HL">Isolators!$T$3</definedName>
    <definedName name="ISO_OPHGT">Isolators!$L$3</definedName>
    <definedName name="ISO_PN">Isolators!$H$3</definedName>
    <definedName name="ISO_TDBD">Isolators!$V$3</definedName>
    <definedName name="ISO_TDBL">Isolators!$U$3</definedName>
    <definedName name="Isolator_Data_Column_Names">Isolators!$B$3:$W$3</definedName>
    <definedName name="Isolator_Plate_Column_Names">'Isolator Plate'!$D$3:$U$3</definedName>
    <definedName name="Isolator_Plate_Table">'Isolator Plate'!$D$2:$U$35</definedName>
    <definedName name="Isolator_SupAng_Column_Names">'Iso Sup Angle'!$B$3:$P$3</definedName>
    <definedName name="Isolator_SupAng_Table">'Iso Sup Angle'!$B$2:$P$8</definedName>
    <definedName name="Isolator_Table">Isolators!$B$2:$W$22</definedName>
    <definedName name="ISOLATORDEFLECTION">Data!$B$15</definedName>
    <definedName name="IW">Data!$B$4</definedName>
    <definedName name="LD_S1">'Load Calculations'!#REF!</definedName>
    <definedName name="LD_S2">'Load Calculations'!#REF!</definedName>
    <definedName name="LD_S3">'Load Calculations'!#REF!</definedName>
    <definedName name="LD_S4">'Load Calculations'!#REF!</definedName>
    <definedName name="LD_S7">'Load Calculations'!#REF!</definedName>
    <definedName name="LD_S8">'Load Calculations'!#REF!</definedName>
    <definedName name="LEFT_HAND_CHAN_1_Y_ARRAY_OFFSET">'Channel Loc'!$D$57</definedName>
    <definedName name="LEFT_HAND_CHAN_1_Y_ARRAY_QTY">'Channel Loc'!$E$57</definedName>
    <definedName name="LEFT_HAND_CHAN_1_Y_ARRAY_SPACING">'Channel Loc'!$F$57</definedName>
    <definedName name="LEFT_HAND_CHAN_1_Z_LOC">'Channel Loc'!$C$57</definedName>
    <definedName name="LEFT_HAND_CHAN_10_Y_ARRAY_OFFSET">'Channel Loc'!$D$66</definedName>
    <definedName name="LEFT_HAND_CHAN_10_Y_ARRAY_QTY">'Channel Loc'!$E$66</definedName>
    <definedName name="LEFT_HAND_CHAN_10_Y_ARRAY_SPACING">'Channel Loc'!$F$66</definedName>
    <definedName name="LEFT_HAND_CHAN_10_Z_LOC">'Channel Loc'!$C$66</definedName>
    <definedName name="LEFT_HAND_CHAN_2_Y_ARRAY_OFFSET">'Channel Loc'!$D$58</definedName>
    <definedName name="LEFT_HAND_CHAN_2_Y_ARRAY_QTY">'Channel Loc'!$E$58</definedName>
    <definedName name="LEFT_HAND_CHAN_2_Y_ARRAY_SPACING">'Channel Loc'!$F$58</definedName>
    <definedName name="LEFT_HAND_CHAN_2_Z_LOC">'Channel Loc'!$C$58</definedName>
    <definedName name="LEFT_HAND_CHAN_3_Y_ARRAY_OFFSET">'Channel Loc'!$D$59</definedName>
    <definedName name="LEFT_HAND_CHAN_3_Y_ARRAY_QTY">'Channel Loc'!$E$59</definedName>
    <definedName name="LEFT_HAND_CHAN_3_Y_ARRAY_SPACING">'Channel Loc'!$F$59</definedName>
    <definedName name="LEFT_HAND_CHAN_3_Z_LOC">'Channel Loc'!$C$59</definedName>
    <definedName name="LEFT_HAND_CHAN_4_Y_ARRAY_OFFSET">'Channel Loc'!$D$60</definedName>
    <definedName name="LEFT_HAND_CHAN_4_Y_ARRAY_QTY">'Channel Loc'!$E$60</definedName>
    <definedName name="LEFT_HAND_CHAN_4_Y_ARRAY_SPACING">'Channel Loc'!$F$60</definedName>
    <definedName name="LEFT_HAND_CHAN_4_Z_LOC">'Channel Loc'!$C$60</definedName>
    <definedName name="LEFT_HAND_CHAN_5_Y_ARRAY_OFFSET">'Channel Loc'!$D$61</definedName>
    <definedName name="LEFT_HAND_CHAN_5_Y_ARRAY_QTY">'Channel Loc'!$E$61</definedName>
    <definedName name="LEFT_HAND_CHAN_5_Y_ARRAY_SPACING">'Channel Loc'!$F$61</definedName>
    <definedName name="LEFT_HAND_CHAN_5_Z_LOC">'Channel Loc'!$C$61</definedName>
    <definedName name="LEFT_HAND_CHAN_6_Y_ARRAY_OFFSET">'Channel Loc'!$D$62</definedName>
    <definedName name="LEFT_HAND_CHAN_6_Y_ARRAY_QTY">'Channel Loc'!$E$62</definedName>
    <definedName name="LEFT_HAND_CHAN_6_Y_ARRAY_SPACING">'Channel Loc'!$F$62</definedName>
    <definedName name="LEFT_HAND_CHAN_6_Z_LOC">'Channel Loc'!$C$62</definedName>
    <definedName name="LEFT_HAND_CHAN_7_Y_ARRAY_OFFSET">'Channel Loc'!$D$63</definedName>
    <definedName name="LEFT_HAND_CHAN_7_Y_ARRAY_QTY">'Channel Loc'!$E$63</definedName>
    <definedName name="LEFT_HAND_CHAN_7_Y_ARRAY_SPACING">'Channel Loc'!$F$63</definedName>
    <definedName name="LEFT_HAND_CHAN_7_Z_LOC">'Channel Loc'!$C$63</definedName>
    <definedName name="LEFT_HAND_CHAN_8_Y_ARRAY_OFFSET">'Channel Loc'!$D$64</definedName>
    <definedName name="LEFT_HAND_CHAN_8_Y_ARRAY_QTY">'Channel Loc'!$E$64</definedName>
    <definedName name="LEFT_HAND_CHAN_8_Y_ARRAY_SPACING">'Channel Loc'!$F$64</definedName>
    <definedName name="LEFT_HAND_CHAN_8_Z_LOC">'Channel Loc'!$C$64</definedName>
    <definedName name="LEFT_HAND_CHAN_9_Y_ARRAY_OFFSET">'Channel Loc'!$D$65</definedName>
    <definedName name="LEFT_HAND_CHAN_9_Y_ARRAY_QTY">'Channel Loc'!$E$65</definedName>
    <definedName name="LEFT_HAND_CHAN_9_Y_ARRAY_SPACING">'Channel Loc'!$F$65</definedName>
    <definedName name="LEFT_HAND_CHAN_9_Z_LOC">'Channel Loc'!$C$65</definedName>
    <definedName name="MAT_CUT">'Material List'!$O$7</definedName>
    <definedName name="MAT_DESC">'Material List'!$L$7</definedName>
    <definedName name="MAT_DESG">'Material List'!$Q$7</definedName>
    <definedName name="MAT_DEST">'Material List'!$G$7</definedName>
    <definedName name="MAT_DXF">'Material List'!$R$7</definedName>
    <definedName name="MAT_GA">'Material List'!$E$7</definedName>
    <definedName name="MAT_GRP">'Material List'!$D$7</definedName>
    <definedName name="MAT_HLSZ">'Material List'!$S$7</definedName>
    <definedName name="MAT_KEYT">'Material List'!$H$7</definedName>
    <definedName name="MAT_LOOKUP">'Material List'!$A$7</definedName>
    <definedName name="MAT_MINT">'Material List'!$F$7</definedName>
    <definedName name="MAT_PNUM">'Material List'!$K$7</definedName>
    <definedName name="MAT_RSTD">'Material List'!$N$7</definedName>
    <definedName name="MAT_STG">'Material List'!$T$7</definedName>
    <definedName name="MAT_TYPE">'Material List'!$M$7</definedName>
    <definedName name="MAT_UMSR">'Material List'!$P$7</definedName>
    <definedName name="MAT_XT">'Material List'!$I$7</definedName>
    <definedName name="MAT_YC">'Material List'!$J$7</definedName>
    <definedName name="Material_List_Column_Names">'Material List'!$A$7:$V$7</definedName>
    <definedName name="Material_List_Table">'Material List'!$A$6:$V$130</definedName>
    <definedName name="MaterialStyle">Data!$B$17</definedName>
    <definedName name="MAX_T_FRAME">'Fan Data'!$F$3</definedName>
    <definedName name="Motor_ChannelO">Data!$B$20</definedName>
    <definedName name="Motor_Data_Column_Names">Motor!$B$2:$T$2</definedName>
    <definedName name="MOTOR_SHAFT_DIAMETER">'Center Distance'!$D$32</definedName>
    <definedName name="Motor_Table">Motor!$B$2:$T$21</definedName>
    <definedName name="Motor_WeightO">Data!#REF!</definedName>
    <definedName name="Motor_Y_LocO">Data!#REF!</definedName>
    <definedName name="MotorBase_Data_Column_Names">'Motor Base'!$B$2:$S$2</definedName>
    <definedName name="MotorBase_Table">'Motor Base'!$B$2:$S$23</definedName>
    <definedName name="MOTORFRAME">Data!$B$10</definedName>
    <definedName name="MOTORHAND">Data!$B$12</definedName>
    <definedName name="MOTORLOCATION">Data!$B$11</definedName>
    <definedName name="MOTORWEIGHT">Data!$B$13</definedName>
    <definedName name="MTR_2F">Motor!$F$2</definedName>
    <definedName name="MTR_AB">Motor!$N$2</definedName>
    <definedName name="MTR_BA">Motor!$O$2</definedName>
    <definedName name="MTR_BL">Motor!$P$2</definedName>
    <definedName name="MTR_BS_BT">'Center Distance'!$M$3</definedName>
    <definedName name="MTR_BS_H">'Center Distance'!$M$4</definedName>
    <definedName name="MTR_BW">Motor!$Q$2</definedName>
    <definedName name="MTR_C">Motor!$C$2</definedName>
    <definedName name="MTR_D">Motor!$D$2</definedName>
    <definedName name="MTR_D1">Motor!$R$2</definedName>
    <definedName name="MTR_D2">Motor!$S$2</definedName>
    <definedName name="MTR_E">Motor!$E$2</definedName>
    <definedName name="MTR_F">Motor!#REF!</definedName>
    <definedName name="MTR_FRAME">Motor!$B$2</definedName>
    <definedName name="MTR_H">Motor!$G$2</definedName>
    <definedName name="MTR_HP">Motor!$T$2</definedName>
    <definedName name="MTR_KWL">Motor!$I$2</definedName>
    <definedName name="MTR_P">Motor!$H$2</definedName>
    <definedName name="MTR_R">Motor!$J$2</definedName>
    <definedName name="MTR_S">Motor!$K$2</definedName>
    <definedName name="MTR_U">Motor!$L$2</definedName>
    <definedName name="MTR_V">Motor!$M$2</definedName>
    <definedName name="MTRBS_AL">'Motor Base'!$C$2</definedName>
    <definedName name="MTRBS_AM">'Motor Base'!$D$2</definedName>
    <definedName name="MTRBS_AO">'Motor Base'!$J$2</definedName>
    <definedName name="MTRBS_AR">'Motor Base'!$K$2</definedName>
    <definedName name="MTRBS_AT">'Motor Base'!$M$2</definedName>
    <definedName name="MTRBS_AU">'Motor Base'!$L$2</definedName>
    <definedName name="MTRBS_AX">'Motor Base'!$E$2</definedName>
    <definedName name="MTRBS_AYBOLT_D">'Motor Base'!$Q$2</definedName>
    <definedName name="MTRBS_AYBOLT_L">'Motor Base'!$R$2</definedName>
    <definedName name="MTRBS_BB">'Motor Base'!$F$2</definedName>
    <definedName name="MTRBS_BT">'Motor Base'!$G$2</definedName>
    <definedName name="MTRBS_DBOLT_D">'Motor Base'!$O$2</definedName>
    <definedName name="MTRBS_DBOLT_L">'Motor Base'!$P$2</definedName>
    <definedName name="MTRBS_E">'Motor Base'!$H$2</definedName>
    <definedName name="MTRBS_F">'Motor Base'!$I$2</definedName>
    <definedName name="MTRBS_FRAME">'Motor Base'!$B$2</definedName>
    <definedName name="MTRBS_LB">'Motor Base'!$S$2</definedName>
    <definedName name="MTRBS_XC">'Motor Base'!$N$2</definedName>
    <definedName name="Plate_Data_Column_Names">'Isolator Plate'!$I$3:$U$3</definedName>
    <definedName name="PLT_D">'Isolator Plate'!$D$3</definedName>
    <definedName name="PLT_L">'Isolator Plate'!$J$3</definedName>
    <definedName name="PLT_OS">'Isolator Plate'!$N$3</definedName>
    <definedName name="PLT_PH">'Isolator Plate'!$L$3</definedName>
    <definedName name="PLT_PN">'Isolator Plate'!$H$3</definedName>
    <definedName name="PLT_SH">'Isolator Plate'!$M$3</definedName>
    <definedName name="PLT_SL1">'Isolator Plate'!$T$3</definedName>
    <definedName name="PLT_SL2">'Isolator Plate'!$U$3</definedName>
    <definedName name="PLT_SLI">'Isolator Plate'!$S$3</definedName>
    <definedName name="PLT_SS">'Isolator Plate'!$O$3</definedName>
    <definedName name="PLT_SW1">'Isolator Plate'!$Q$3</definedName>
    <definedName name="PLT_SW2">'Isolator Plate'!$R$3</definedName>
    <definedName name="PLT_SWI">'Isolator Plate'!$P$3</definedName>
    <definedName name="PLT_T">'Isolator Plate'!$K$3</definedName>
    <definedName name="PLT_W">'Isolator Plate'!$I$3</definedName>
    <definedName name="RIGHT_HAND_CHAN_1_Y_ARRAY_OFFSET">'Channel Loc'!$D$45</definedName>
    <definedName name="RIGHT_HAND_CHAN_1_Y_ARRAY_QTY">'Channel Loc'!$E$45</definedName>
    <definedName name="RIGHT_HAND_CHAN_1_Y_ARRAY_SPACING">'Channel Loc'!$F$45</definedName>
    <definedName name="RIGHT_HAND_CHAN_1_Z_LOC">'Channel Loc'!$C$45</definedName>
    <definedName name="RIGHT_HAND_CHAN_10_Y_ARRAY_OFFSET">'Channel Loc'!$D$54</definedName>
    <definedName name="RIGHT_HAND_CHAN_10_Y_ARRAY_QTY">'Channel Loc'!$E$54</definedName>
    <definedName name="RIGHT_HAND_CHAN_10_Y_ARRAY_SPACING">'Channel Loc'!$F$54</definedName>
    <definedName name="RIGHT_HAND_CHAN_10_Z_LOC">'Channel Loc'!$C$54</definedName>
    <definedName name="RIGHT_HAND_CHAN_2_Y_ARRAY_OFFSET">'Channel Loc'!$D$46</definedName>
    <definedName name="RIGHT_HAND_CHAN_2_Y_ARRAY_QTY">'Channel Loc'!$E$46</definedName>
    <definedName name="RIGHT_HAND_CHAN_2_Y_ARRAY_SPACING">'Channel Loc'!$F$46</definedName>
    <definedName name="RIGHT_HAND_CHAN_2_Z_LOC">'Channel Loc'!$C$46</definedName>
    <definedName name="RIGHT_HAND_CHAN_3_Y_ARRAY_OFFSET">'Channel Loc'!$D$47</definedName>
    <definedName name="RIGHT_HAND_CHAN_3_Y_ARRAY_QTY">'Channel Loc'!$E$47</definedName>
    <definedName name="RIGHT_HAND_CHAN_3_Y_ARRAY_SPACING">'Channel Loc'!$F$47</definedName>
    <definedName name="RIGHT_HAND_CHAN_3_Z_LOC">'Channel Loc'!$C$47</definedName>
    <definedName name="RIGHT_HAND_CHAN_4_Y_ARRAY_OFFSET">'Channel Loc'!$D$48</definedName>
    <definedName name="RIGHT_HAND_CHAN_4_Y_ARRAY_QTY">'Channel Loc'!$E$48</definedName>
    <definedName name="RIGHT_HAND_CHAN_4_Y_ARRAY_SPACING">'Channel Loc'!$F$48</definedName>
    <definedName name="RIGHT_HAND_CHAN_4_Z_LOC">'Channel Loc'!$C$48</definedName>
    <definedName name="RIGHT_HAND_CHAN_5_Y_ARRAY_OFFSET">'Channel Loc'!$D$49</definedName>
    <definedName name="RIGHT_HAND_CHAN_5_Y_ARRAY_QTY">'Channel Loc'!$E$49</definedName>
    <definedName name="RIGHT_HAND_CHAN_5_Y_ARRAY_SPACING">'Channel Loc'!$F$49</definedName>
    <definedName name="RIGHT_HAND_CHAN_5_Z_LOC">'Channel Loc'!$C$49</definedName>
    <definedName name="RIGHT_HAND_CHAN_6_Y_ARRAY_OFFSET">'Channel Loc'!$D$50</definedName>
    <definedName name="RIGHT_HAND_CHAN_6_Y_ARRAY_QTY">'Channel Loc'!$E$50</definedName>
    <definedName name="RIGHT_HAND_CHAN_6_Y_ARRAY_SPACING">'Channel Loc'!$F$50</definedName>
    <definedName name="RIGHT_HAND_CHAN_6_Z_LOC">'Channel Loc'!$C$50</definedName>
    <definedName name="RIGHT_HAND_CHAN_7_Y_ARRAY_OFFSET">'Channel Loc'!$D$51</definedName>
    <definedName name="RIGHT_HAND_CHAN_7_Y_ARRAY_QTY">'Channel Loc'!$E$51</definedName>
    <definedName name="RIGHT_HAND_CHAN_7_Y_ARRAY_SPACING">'Channel Loc'!$F$51</definedName>
    <definedName name="RIGHT_HAND_CHAN_7_Z_LOC">'Channel Loc'!$C$51</definedName>
    <definedName name="RIGHT_HAND_CHAN_8_Y_ARRAY_OFFSET">'Channel Loc'!$D$52</definedName>
    <definedName name="RIGHT_HAND_CHAN_8_Y_ARRAY_QTY">'Channel Loc'!$E$52</definedName>
    <definedName name="RIGHT_HAND_CHAN_8_Y_ARRAY_SPACING">'Channel Loc'!$F$52</definedName>
    <definedName name="RIGHT_HAND_CHAN_8_Z_LOC">'Channel Loc'!$C$52</definedName>
    <definedName name="RIGHT_HAND_CHAN_9_Y_ARRAY_OFFSET">'Channel Loc'!$D$53</definedName>
    <definedName name="RIGHT_HAND_CHAN_9_Y_ARRAY_QTY">'Channel Loc'!$E$53</definedName>
    <definedName name="RIGHT_HAND_CHAN_9_Y_ARRAY_SPACING">'Channel Loc'!$F$53</definedName>
    <definedName name="RIGHT_HAND_CHAN_9_Z_LOC">'Channel Loc'!$C$53</definedName>
    <definedName name="ROOF_CHAN_1_X_ARRAY_OFFSET">'Channel Loc'!$D$28</definedName>
    <definedName name="ROOF_CHAN_1_X_ARRAY_QTY">'Channel Loc'!$E$28</definedName>
    <definedName name="ROOF_CHAN_1_X_ARRAY_SPACING">'Channel Loc'!$F$28</definedName>
    <definedName name="ROOF_CHAN_1_Z_LOC">'Channel Loc'!$C$28</definedName>
    <definedName name="ROOF_CHAN_10_X_ARRAY_OFFSET">'Channel Loc'!$D$37</definedName>
    <definedName name="ROOF_CHAN_10_X_ARRAY_QTY">'Channel Loc'!$E$37</definedName>
    <definedName name="ROOF_CHAN_10_X_ARRAY_SPACING">'Channel Loc'!$F$37</definedName>
    <definedName name="ROOF_CHAN_10_Z_LOC">'Channel Loc'!$C$37</definedName>
    <definedName name="ROOF_CHAN_11_X_ARRAY_OFFSET">'Channel Loc'!$D$38</definedName>
    <definedName name="ROOF_CHAN_11_X_ARRAY_QTY">'Channel Loc'!$E$38</definedName>
    <definedName name="ROOF_CHAN_11_X_ARRAY_SPACING">'Channel Loc'!$F$38</definedName>
    <definedName name="ROOF_CHAN_11_Z_LOC">'Channel Loc'!$C$38</definedName>
    <definedName name="ROOF_CHAN_12_X_ARRAY_OFFSET">'Channel Loc'!$D$39</definedName>
    <definedName name="ROOF_CHAN_12_X_ARRAY_QTY">'Channel Loc'!$E$39</definedName>
    <definedName name="ROOF_CHAN_12_X_ARRAY_SPACING">'Channel Loc'!$F$39</definedName>
    <definedName name="ROOF_CHAN_12_Z_LOC">'Channel Loc'!$C$39</definedName>
    <definedName name="ROOF_CHAN_13_X_ARRAY_OFFSET">'Channel Loc'!$D$40</definedName>
    <definedName name="ROOF_CHAN_13_X_ARRAY_QTY">'Channel Loc'!$E$40</definedName>
    <definedName name="ROOF_CHAN_13_X_ARRAY_SPACING">'Channel Loc'!$F$40</definedName>
    <definedName name="ROOF_CHAN_13_Z_LOC">'Channel Loc'!$C$40</definedName>
    <definedName name="ROOF_CHAN_14_X_ARRAY_OFFSET">'Channel Loc'!$D$41</definedName>
    <definedName name="ROOF_CHAN_14_X_ARRAY_QTY">'Channel Loc'!$E$41</definedName>
    <definedName name="ROOF_CHAN_14_X_ARRAY_SPACING">'Channel Loc'!$F$41</definedName>
    <definedName name="ROOF_CHAN_14_Z_LOC">'Channel Loc'!$C$41</definedName>
    <definedName name="ROOF_CHAN_15_X_ARRAY_OFFSET">'Channel Loc'!$D$42</definedName>
    <definedName name="ROOF_CHAN_15_X_ARRAY_QTY">'Channel Loc'!$E$42</definedName>
    <definedName name="ROOF_CHAN_15_X_ARRAY_SPACING">'Channel Loc'!$F$42</definedName>
    <definedName name="ROOF_CHAN_15_Z_LOC">'Channel Loc'!$C$42</definedName>
    <definedName name="ROOF_CHAN_2_X_ARRAY_OFFSET">'Channel Loc'!$D$29</definedName>
    <definedName name="ROOF_CHAN_2_X_ARRAY_QTY">'Channel Loc'!$E$29</definedName>
    <definedName name="ROOF_CHAN_2_X_ARRAY_SPACING">'Channel Loc'!$F$29</definedName>
    <definedName name="ROOF_CHAN_2_Z_LOC">'Channel Loc'!$C$29</definedName>
    <definedName name="ROOF_CHAN_3_X_ARRAY_OFFSET">'Channel Loc'!$D$30</definedName>
    <definedName name="ROOF_CHAN_3_X_ARRAY_QTY">'Channel Loc'!$E$30</definedName>
    <definedName name="ROOF_CHAN_3_X_ARRAY_SPACING">'Channel Loc'!$F$30</definedName>
    <definedName name="ROOF_CHAN_3_Z_LOC">'Channel Loc'!$C$30</definedName>
    <definedName name="ROOF_CHAN_4_X_ARRAY_OFFSET">'Channel Loc'!$D$31</definedName>
    <definedName name="ROOF_CHAN_4_X_ARRAY_QTY">'Channel Loc'!$E$31</definedName>
    <definedName name="ROOF_CHAN_4_X_ARRAY_SPACING">'Channel Loc'!$F$31</definedName>
    <definedName name="ROOF_CHAN_4_Z_LOC">'Channel Loc'!$C$31</definedName>
    <definedName name="ROOF_CHAN_5_X_ARRAY_OFFSET">'Channel Loc'!$D$32</definedName>
    <definedName name="ROOF_CHAN_5_X_ARRAY_QTY">'Channel Loc'!$E$32</definedName>
    <definedName name="ROOF_CHAN_5_X_ARRAY_SPACING">'Channel Loc'!$F$32</definedName>
    <definedName name="ROOF_CHAN_5_Z_LOC">'Channel Loc'!$C$32</definedName>
    <definedName name="ROOF_CHAN_6_X_ARRAY_OFFSET">'Channel Loc'!$D$33</definedName>
    <definedName name="ROOF_CHAN_6_X_ARRAY_QTY">'Channel Loc'!$E$33</definedName>
    <definedName name="ROOF_CHAN_6_X_ARRAY_SPACING">'Channel Loc'!$F$33</definedName>
    <definedName name="ROOF_CHAN_6_Z_LOC">'Channel Loc'!$C$33</definedName>
    <definedName name="ROOF_CHAN_7_X_ARRAY_OFFSET">'Channel Loc'!$D$34</definedName>
    <definedName name="ROOF_CHAN_7_X_ARRAY_QTY">'Channel Loc'!$E$34</definedName>
    <definedName name="ROOF_CHAN_7_X_ARRAY_SPACING">'Channel Loc'!$F$34</definedName>
    <definedName name="ROOF_CHAN_7_Z_LOC">'Channel Loc'!$C$34</definedName>
    <definedName name="ROOF_CHAN_8_X_ARRAY_OFFSET">'Channel Loc'!$D$35</definedName>
    <definedName name="ROOF_CHAN_8_X_ARRAY_QTY">'Channel Loc'!$E$35</definedName>
    <definedName name="ROOF_CHAN_8_X_ARRAY_SPACING">'Channel Loc'!$F$35</definedName>
    <definedName name="ROOF_CHAN_8_Z_LOC">'Channel Loc'!$C$35</definedName>
    <definedName name="ROOF_CHAN_9_X_ARRAY_OFFSET">'Channel Loc'!$D$36</definedName>
    <definedName name="ROOF_CHAN_9_X_ARRAY_QTY">'Channel Loc'!$E$36</definedName>
    <definedName name="ROOF_CHAN_9_X_ARRAY_SPACING">'Channel Loc'!$F$36</definedName>
    <definedName name="ROOF_CHAN_9_Z_LOC">'Channel Loc'!$C$36</definedName>
    <definedName name="S1_PLATE_ASY">'Load Calculations'!$B$10</definedName>
    <definedName name="S1_PLATE_QTY">'Load Calculations'!$B$11</definedName>
    <definedName name="S1_S3_SpringPad_Dir">Data!#REF!</definedName>
    <definedName name="S1_SPRING_ASY">'Load Calculations'!$B$7</definedName>
    <definedName name="S1_WEIGHT">'Load Calculations'!$B$4</definedName>
    <definedName name="S2_PLATE_ASY">'Load Calculations'!$C$10</definedName>
    <definedName name="S2_PLATE_QTY">'Load Calculations'!$C$11</definedName>
    <definedName name="S2_SPRING_ASY">'Load Calculations'!$C$7</definedName>
    <definedName name="S2_WEIGHT">'Load Calculations'!$C$4</definedName>
    <definedName name="S3_PLATE_ASY">'Load Calculations'!$D$10</definedName>
    <definedName name="S3_PLATE_QTY">'Load Calculations'!$D$11</definedName>
    <definedName name="S3_SPRING_ASY">'Load Calculations'!$D$7</definedName>
    <definedName name="S3_WEIGHT">'Load Calculations'!$D$4</definedName>
    <definedName name="S4_PLATE_ASY">'Load Calculations'!$E$10</definedName>
    <definedName name="S4_PLATE_QTY">'Load Calculations'!$E$11</definedName>
    <definedName name="S4_SPRING_ASY">'Load Calculations'!$E$7</definedName>
    <definedName name="S4_WEIGHT">'Load Calculations'!$E$4</definedName>
    <definedName name="SEGL">Data!$B$5</definedName>
    <definedName name="SEISMIC">Data!$C$18</definedName>
    <definedName name="Steel_List_Column_Names">'Steel List'!$A$4:$V$4</definedName>
    <definedName name="Steel_List_Table">'Steel List'!$A$3:$V$88</definedName>
    <definedName name="STL_CUT">'Steel List'!$Q$4</definedName>
    <definedName name="STL_D">'Steel List'!$I$4</definedName>
    <definedName name="STL_DESC">'Steel List'!$N$4</definedName>
    <definedName name="STL_DESG">'Steel List'!$S$4</definedName>
    <definedName name="STL_DXF">'Steel List'!$T$4</definedName>
    <definedName name="STL_FTR">'Steel List'!$J$4</definedName>
    <definedName name="STL_GRP">'Steel List'!$D$4</definedName>
    <definedName name="STL_H">'Steel List'!$G$4</definedName>
    <definedName name="STL_LBFT">'Steel List'!$E$4</definedName>
    <definedName name="STL_LOOKUP">'Steel List'!$A$4</definedName>
    <definedName name="STL_PNUM">'Steel List'!$M$4</definedName>
    <definedName name="STL_RSTD">'Steel List'!$P$4</definedName>
    <definedName name="STL_TYPE">'Steel List'!$O$4</definedName>
    <definedName name="STL_UMSR">'Steel List'!$R$4</definedName>
    <definedName name="STL_WT">'Steel List'!$F$4</definedName>
    <definedName name="STL_XT">'Steel List'!$K$4</definedName>
    <definedName name="STL_YC">'Steel List'!$L$4</definedName>
    <definedName name="SUPANG_D">'Iso Sup Angle'!$H$3</definedName>
    <definedName name="SUPANG_DESG">'Iso Sup Angle'!$B$3</definedName>
    <definedName name="SUPANG_FTR">'Iso Sup Angle'!$K$3</definedName>
    <definedName name="SUPANG_H">'Iso Sup Angle'!$G$3</definedName>
    <definedName name="SUPANG_HD1">'Iso Sup Angle'!$N$3</definedName>
    <definedName name="SUPANG_HD2">'Iso Sup Angle'!$O$3</definedName>
    <definedName name="SUPANG_HL">'Iso Sup Angle'!$M$3</definedName>
    <definedName name="SUPANG_HS">'Iso Sup Angle'!$L$3</definedName>
    <definedName name="SUPANG_L">'Iso Sup Angle'!$I$3</definedName>
    <definedName name="SUPANG_LB">'Iso Sup Angle'!$P$3</definedName>
    <definedName name="SUPANG_PN">'Iso Sup Angle'!$E$3</definedName>
    <definedName name="SUPANG_WT">'Iso Sup Angle'!$J$3</definedName>
    <definedName name="THBRKT_D">#REF!</definedName>
    <definedName name="THBRKT_FD">#REF!</definedName>
    <definedName name="THBRKT_FWB">#REF!</definedName>
    <definedName name="THBRKT_FWT">#REF!</definedName>
    <definedName name="THBRKT_H">#REF!</definedName>
    <definedName name="THBRKT_HLFLG">#REF!</definedName>
    <definedName name="THBRKT_HLISO">#REF!</definedName>
    <definedName name="THBRKT_MAX">#REF!</definedName>
    <definedName name="THBRKT_MIN">#REF!</definedName>
    <definedName name="THBRKT_W">#REF!</definedName>
    <definedName name="Thrust_Restraint_Brkt_Column_Names">#REF!</definedName>
    <definedName name="Thrust_Restraint_Brkt_Table">#REF!</definedName>
    <definedName name="TopDischTransThkO">Data!$B$24</definedName>
    <definedName name="WH_DIA_Nominal">'Fan Data'!$D$3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2" i="15" l="1"/>
  <c r="A121" i="15"/>
  <c r="A120" i="15"/>
  <c r="A119" i="15"/>
  <c r="A118" i="15"/>
  <c r="A117" i="15"/>
  <c r="A116" i="15"/>
  <c r="K11" i="11"/>
  <c r="K10" i="11"/>
  <c r="S35" i="11"/>
  <c r="P35" i="11"/>
  <c r="S34" i="11"/>
  <c r="P34" i="11"/>
  <c r="S33" i="11"/>
  <c r="P33" i="11"/>
  <c r="S32" i="11"/>
  <c r="P32" i="11"/>
  <c r="M32" i="11"/>
  <c r="S31" i="11"/>
  <c r="P31" i="11"/>
  <c r="M31" i="11"/>
  <c r="S30" i="11"/>
  <c r="P30" i="11"/>
  <c r="S29" i="11"/>
  <c r="P29" i="11"/>
  <c r="S28" i="11"/>
  <c r="P28" i="11"/>
  <c r="S27" i="11"/>
  <c r="P27" i="11"/>
  <c r="S26" i="11"/>
  <c r="P26" i="11"/>
  <c r="S25" i="11"/>
  <c r="P25" i="11"/>
  <c r="S24" i="11"/>
  <c r="P24" i="11"/>
  <c r="M24" i="11"/>
  <c r="S23" i="11"/>
  <c r="P23" i="11"/>
  <c r="M23" i="11"/>
  <c r="S22" i="11"/>
  <c r="P22" i="11"/>
  <c r="S21" i="11"/>
  <c r="P21" i="11"/>
  <c r="S20" i="11"/>
  <c r="P20" i="11"/>
  <c r="J33" i="11"/>
  <c r="I33" i="11"/>
  <c r="J32" i="11"/>
  <c r="I32" i="11"/>
  <c r="I35" i="11" s="1"/>
  <c r="J31" i="11"/>
  <c r="I31" i="11"/>
  <c r="I34" i="11" s="1"/>
  <c r="J25" i="11"/>
  <c r="I25" i="11"/>
  <c r="J24" i="11"/>
  <c r="I24" i="11"/>
  <c r="I27" i="11" s="1"/>
  <c r="J23" i="11"/>
  <c r="I23" i="11"/>
  <c r="I26" i="11" s="1"/>
  <c r="D32" i="6"/>
  <c r="A78" i="16"/>
  <c r="A77" i="16"/>
  <c r="A75" i="16"/>
  <c r="A74" i="16"/>
  <c r="A73" i="16"/>
  <c r="A72" i="16"/>
  <c r="A71" i="16"/>
  <c r="A70" i="16"/>
  <c r="A69" i="16"/>
  <c r="A68" i="16"/>
  <c r="A67" i="16"/>
  <c r="A66" i="16"/>
  <c r="A65" i="16"/>
  <c r="A64" i="16"/>
  <c r="A63" i="16"/>
  <c r="A62" i="16"/>
  <c r="A61" i="16"/>
  <c r="A58" i="16"/>
  <c r="A57"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7" i="16"/>
  <c r="A6" i="16"/>
  <c r="A115" i="15"/>
  <c r="A114" i="15"/>
  <c r="A113" i="15"/>
  <c r="A112" i="15"/>
  <c r="A111" i="15"/>
  <c r="K34" i="11" s="1"/>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K31" i="11" s="1"/>
  <c r="A22" i="15"/>
  <c r="A21" i="15"/>
  <c r="K17" i="11" s="1"/>
  <c r="A20" i="15"/>
  <c r="A19" i="15"/>
  <c r="A18" i="15"/>
  <c r="A17" i="15"/>
  <c r="A16" i="15"/>
  <c r="A15" i="15"/>
  <c r="A14" i="15"/>
  <c r="A13" i="15"/>
  <c r="A12" i="15"/>
  <c r="K21" i="11" s="1"/>
  <c r="A11" i="15"/>
  <c r="K23" i="11" s="1"/>
  <c r="A10" i="15"/>
  <c r="C37" i="14"/>
  <c r="C36" i="14"/>
  <c r="C35" i="14"/>
  <c r="P8" i="13"/>
  <c r="P7" i="13"/>
  <c r="P6" i="13"/>
  <c r="P5" i="13"/>
  <c r="P4" i="13"/>
  <c r="S9" i="11"/>
  <c r="P9" i="11"/>
  <c r="M9" i="11"/>
  <c r="L9" i="11"/>
  <c r="K9" i="11"/>
  <c r="J9" i="11"/>
  <c r="I9" i="11"/>
  <c r="S8" i="11"/>
  <c r="P8" i="11"/>
  <c r="M8" i="11"/>
  <c r="L8" i="11"/>
  <c r="K8" i="11"/>
  <c r="J8" i="11"/>
  <c r="I8" i="11"/>
  <c r="I11" i="11" s="1"/>
  <c r="S7" i="11"/>
  <c r="P7" i="11"/>
  <c r="M7" i="11"/>
  <c r="L7" i="11"/>
  <c r="K7" i="11"/>
  <c r="J7" i="11"/>
  <c r="I7" i="11"/>
  <c r="I10" i="11" s="1"/>
  <c r="S6" i="11"/>
  <c r="P6" i="11"/>
  <c r="K6" i="11"/>
  <c r="S5" i="11"/>
  <c r="P5" i="11"/>
  <c r="K5" i="11"/>
  <c r="S4" i="11"/>
  <c r="P4" i="11"/>
  <c r="K4" i="11"/>
  <c r="H6" i="3" s="1"/>
  <c r="B157" i="1" s="1"/>
  <c r="I76" i="5"/>
  <c r="I75" i="5"/>
  <c r="I74" i="5"/>
  <c r="I73" i="5"/>
  <c r="I71" i="5"/>
  <c r="DK64" i="4"/>
  <c r="CX64" i="4"/>
  <c r="CU64" i="4"/>
  <c r="CJ64" i="4"/>
  <c r="CF64" i="4"/>
  <c r="CE64" i="4"/>
  <c r="BM64" i="4"/>
  <c r="X64" i="4" s="1"/>
  <c r="BJ64" i="4"/>
  <c r="AY64" i="4"/>
  <c r="H64" i="4" s="1"/>
  <c r="AN64" i="4" s="1"/>
  <c r="AP64" i="4"/>
  <c r="AS64" i="4" s="1"/>
  <c r="AM64" i="4"/>
  <c r="AJ64" i="4"/>
  <c r="AI64" i="4"/>
  <c r="AH64" i="4"/>
  <c r="AF64" i="4"/>
  <c r="AE64" i="4"/>
  <c r="AD64" i="4"/>
  <c r="AC64" i="4"/>
  <c r="AR64" i="4" s="1"/>
  <c r="AT64" i="4" s="1"/>
  <c r="AB64" i="4"/>
  <c r="AA64" i="4"/>
  <c r="Z64" i="4"/>
  <c r="Y64" i="4"/>
  <c r="W64" i="4"/>
  <c r="V64" i="4"/>
  <c r="U64" i="4"/>
  <c r="AK64" i="4" s="1"/>
  <c r="T64" i="4"/>
  <c r="S64" i="4"/>
  <c r="R64" i="4"/>
  <c r="Q64" i="4"/>
  <c r="O64" i="4"/>
  <c r="N64" i="4"/>
  <c r="L64" i="4"/>
  <c r="K64" i="4"/>
  <c r="J64" i="4"/>
  <c r="I64" i="4"/>
  <c r="AL64" i="4" s="1"/>
  <c r="G64" i="4"/>
  <c r="F64" i="4"/>
  <c r="D64" i="4"/>
  <c r="DK63" i="4"/>
  <c r="CX63" i="4"/>
  <c r="CU63" i="4"/>
  <c r="CJ63" i="4"/>
  <c r="CF63" i="4"/>
  <c r="CE63" i="4"/>
  <c r="BM63" i="4"/>
  <c r="BJ63" i="4"/>
  <c r="AY63" i="4"/>
  <c r="AP63" i="4"/>
  <c r="AS63" i="4" s="1"/>
  <c r="AL63" i="4"/>
  <c r="AJ63" i="4"/>
  <c r="AI63" i="4"/>
  <c r="AH63" i="4"/>
  <c r="AF63" i="4"/>
  <c r="AE63" i="4"/>
  <c r="AD63" i="4"/>
  <c r="AC63" i="4"/>
  <c r="AR63" i="4" s="1"/>
  <c r="AT63" i="4" s="1"/>
  <c r="AB63" i="4"/>
  <c r="AA63" i="4"/>
  <c r="Z63" i="4"/>
  <c r="Y63" i="4"/>
  <c r="O63" i="4" s="1"/>
  <c r="P63" i="4" s="1"/>
  <c r="X63" i="4"/>
  <c r="W63" i="4"/>
  <c r="V63" i="4"/>
  <c r="U63" i="4"/>
  <c r="AK63" i="4" s="1"/>
  <c r="T63" i="4"/>
  <c r="S63" i="4"/>
  <c r="R63" i="4"/>
  <c r="Q63" i="4"/>
  <c r="N63" i="4"/>
  <c r="L63" i="4"/>
  <c r="K63" i="4"/>
  <c r="J63" i="4"/>
  <c r="I63" i="4"/>
  <c r="H63" i="4"/>
  <c r="AN63" i="4" s="1"/>
  <c r="G63" i="4"/>
  <c r="F63" i="4"/>
  <c r="D63" i="4"/>
  <c r="AM63" i="4" s="1"/>
  <c r="DK62" i="4"/>
  <c r="CX62" i="4"/>
  <c r="CU62" i="4"/>
  <c r="CJ62" i="4"/>
  <c r="CF62" i="4"/>
  <c r="AP62" i="4" s="1"/>
  <c r="AS62" i="4" s="1"/>
  <c r="CE62" i="4"/>
  <c r="BM62" i="4"/>
  <c r="BJ62" i="4"/>
  <c r="AY62" i="4"/>
  <c r="H62" i="4" s="1"/>
  <c r="AN62" i="4" s="1"/>
  <c r="AK62" i="4"/>
  <c r="AJ62" i="4"/>
  <c r="AI62" i="4"/>
  <c r="AH62" i="4"/>
  <c r="AF62" i="4"/>
  <c r="AE62" i="4"/>
  <c r="AD62" i="4"/>
  <c r="AC62" i="4"/>
  <c r="AR62" i="4" s="1"/>
  <c r="AT62" i="4" s="1"/>
  <c r="AB62" i="4"/>
  <c r="AA62" i="4"/>
  <c r="Z62" i="4"/>
  <c r="Y62" i="4"/>
  <c r="X62" i="4"/>
  <c r="W62" i="4"/>
  <c r="V62" i="4"/>
  <c r="U62" i="4"/>
  <c r="T62" i="4"/>
  <c r="S62" i="4"/>
  <c r="R62" i="4"/>
  <c r="AL62" i="4" s="1"/>
  <c r="Q62" i="4"/>
  <c r="O62" i="4"/>
  <c r="P62" i="4" s="1"/>
  <c r="N62" i="4"/>
  <c r="L62" i="4"/>
  <c r="K62" i="4"/>
  <c r="J62" i="4"/>
  <c r="I62" i="4"/>
  <c r="G62" i="4"/>
  <c r="F62" i="4"/>
  <c r="D62" i="4"/>
  <c r="AM62" i="4" s="1"/>
  <c r="DK61" i="4"/>
  <c r="CX61" i="4"/>
  <c r="CU61" i="4"/>
  <c r="CJ61" i="4"/>
  <c r="CF61" i="4"/>
  <c r="CE61" i="4"/>
  <c r="BM61" i="4"/>
  <c r="BJ61" i="4"/>
  <c r="AY61" i="4"/>
  <c r="AP61" i="4"/>
  <c r="AS61" i="4" s="1"/>
  <c r="AM61" i="4"/>
  <c r="AL61" i="4"/>
  <c r="AK61" i="4"/>
  <c r="AJ61" i="4"/>
  <c r="AI61" i="4"/>
  <c r="AH61" i="4"/>
  <c r="AF61" i="4"/>
  <c r="AE61" i="4"/>
  <c r="AD61" i="4"/>
  <c r="AC61" i="4"/>
  <c r="AR61" i="4" s="1"/>
  <c r="AT61" i="4" s="1"/>
  <c r="AB61" i="4"/>
  <c r="AA61" i="4"/>
  <c r="Z61" i="4"/>
  <c r="Y61" i="4"/>
  <c r="O61" i="4" s="1"/>
  <c r="P61" i="4" s="1"/>
  <c r="X61" i="4"/>
  <c r="W61" i="4"/>
  <c r="V61" i="4"/>
  <c r="U61" i="4"/>
  <c r="T61" i="4"/>
  <c r="S61" i="4"/>
  <c r="R61" i="4"/>
  <c r="Q61" i="4"/>
  <c r="N61" i="4"/>
  <c r="L61" i="4"/>
  <c r="K61" i="4"/>
  <c r="J61" i="4"/>
  <c r="I61" i="4"/>
  <c r="H61" i="4"/>
  <c r="AN61" i="4" s="1"/>
  <c r="G61" i="4"/>
  <c r="F61" i="4"/>
  <c r="D61" i="4"/>
  <c r="DK60" i="4"/>
  <c r="CX60" i="4"/>
  <c r="CU60" i="4"/>
  <c r="CJ60" i="4"/>
  <c r="CF60" i="4"/>
  <c r="CE60" i="4"/>
  <c r="BM60" i="4"/>
  <c r="X60" i="4" s="1"/>
  <c r="BJ60" i="4"/>
  <c r="AY60" i="4"/>
  <c r="AS60" i="4"/>
  <c r="AP60" i="4"/>
  <c r="AN60" i="4"/>
  <c r="AL60" i="4"/>
  <c r="AJ60" i="4"/>
  <c r="AI60" i="4"/>
  <c r="AK60" i="4" s="1"/>
  <c r="AH60" i="4"/>
  <c r="AF60" i="4"/>
  <c r="AE60" i="4"/>
  <c r="AD60" i="4"/>
  <c r="AC60" i="4"/>
  <c r="AR60" i="4" s="1"/>
  <c r="AT60" i="4" s="1"/>
  <c r="AB60" i="4"/>
  <c r="AA60" i="4"/>
  <c r="Z60" i="4"/>
  <c r="Y60" i="4"/>
  <c r="O60" i="4" s="1"/>
  <c r="W60" i="4"/>
  <c r="V60" i="4"/>
  <c r="U60" i="4"/>
  <c r="T60" i="4"/>
  <c r="S60" i="4"/>
  <c r="R60" i="4"/>
  <c r="Q60" i="4"/>
  <c r="N60" i="4"/>
  <c r="L60" i="4"/>
  <c r="K60" i="4"/>
  <c r="J60" i="4"/>
  <c r="I60" i="4"/>
  <c r="H60" i="4"/>
  <c r="G60" i="4"/>
  <c r="F60" i="4"/>
  <c r="D60" i="4"/>
  <c r="AM60" i="4" s="1"/>
  <c r="DK59" i="4"/>
  <c r="CX59" i="4"/>
  <c r="CU59" i="4"/>
  <c r="CJ59" i="4"/>
  <c r="CF59" i="4"/>
  <c r="AP59" i="4" s="1"/>
  <c r="AS59" i="4" s="1"/>
  <c r="CE59" i="4"/>
  <c r="BM59" i="4"/>
  <c r="BJ59" i="4"/>
  <c r="AY59" i="4"/>
  <c r="AM59" i="4"/>
  <c r="AK59" i="4"/>
  <c r="AJ59" i="4"/>
  <c r="AI59" i="4"/>
  <c r="AH59" i="4"/>
  <c r="AF59" i="4"/>
  <c r="AE59" i="4"/>
  <c r="AD59" i="4"/>
  <c r="AC59" i="4"/>
  <c r="AR59" i="4" s="1"/>
  <c r="AT59" i="4" s="1"/>
  <c r="AB59" i="4"/>
  <c r="AA59" i="4"/>
  <c r="Z59" i="4"/>
  <c r="Y59" i="4"/>
  <c r="X59" i="4"/>
  <c r="W59" i="4"/>
  <c r="V59" i="4"/>
  <c r="U59" i="4"/>
  <c r="T59" i="4"/>
  <c r="S59" i="4"/>
  <c r="R59" i="4"/>
  <c r="AL59" i="4" s="1"/>
  <c r="Q59" i="4"/>
  <c r="O59" i="4"/>
  <c r="P59" i="4" s="1"/>
  <c r="N59" i="4"/>
  <c r="L59" i="4"/>
  <c r="K59" i="4"/>
  <c r="J59" i="4"/>
  <c r="I59" i="4"/>
  <c r="H59" i="4"/>
  <c r="AN59" i="4" s="1"/>
  <c r="G59" i="4"/>
  <c r="F59" i="4"/>
  <c r="D59" i="4"/>
  <c r="DK58" i="4"/>
  <c r="CX58" i="4"/>
  <c r="CU58" i="4"/>
  <c r="CJ58" i="4"/>
  <c r="CF58" i="4"/>
  <c r="CE58" i="4"/>
  <c r="BM58" i="4"/>
  <c r="X58" i="4" s="1"/>
  <c r="BJ58" i="4"/>
  <c r="AY58" i="4"/>
  <c r="H58" i="4" s="1"/>
  <c r="AN58" i="4" s="1"/>
  <c r="AP58" i="4"/>
  <c r="AS58" i="4" s="1"/>
  <c r="AM58" i="4"/>
  <c r="AJ58" i="4"/>
  <c r="AI58" i="4"/>
  <c r="AH58" i="4"/>
  <c r="AF58" i="4"/>
  <c r="AE58" i="4"/>
  <c r="AD58" i="4"/>
  <c r="AC58" i="4"/>
  <c r="AR58" i="4" s="1"/>
  <c r="AT58" i="4" s="1"/>
  <c r="AB58" i="4"/>
  <c r="AA58" i="4"/>
  <c r="Z58" i="4"/>
  <c r="Y58" i="4"/>
  <c r="O58" i="4" s="1"/>
  <c r="W58" i="4"/>
  <c r="V58" i="4"/>
  <c r="U58" i="4"/>
  <c r="AK58" i="4" s="1"/>
  <c r="T58" i="4"/>
  <c r="S58" i="4"/>
  <c r="R58" i="4"/>
  <c r="Q58" i="4"/>
  <c r="N58" i="4"/>
  <c r="L58" i="4"/>
  <c r="K58" i="4"/>
  <c r="J58" i="4"/>
  <c r="I58" i="4"/>
  <c r="AL58" i="4" s="1"/>
  <c r="G58" i="4"/>
  <c r="F58" i="4"/>
  <c r="D58" i="4"/>
  <c r="DK57" i="4"/>
  <c r="CX57" i="4"/>
  <c r="CU57" i="4"/>
  <c r="CJ57" i="4"/>
  <c r="CF57" i="4"/>
  <c r="AP57" i="4" s="1"/>
  <c r="AS57" i="4" s="1"/>
  <c r="CE57" i="4"/>
  <c r="BM57" i="4"/>
  <c r="X57" i="4" s="1"/>
  <c r="BJ57" i="4"/>
  <c r="AY57" i="4"/>
  <c r="AN57" i="4"/>
  <c r="AM57" i="4"/>
  <c r="AJ57" i="4"/>
  <c r="AI57" i="4"/>
  <c r="AH57" i="4"/>
  <c r="AF57" i="4"/>
  <c r="AE57" i="4"/>
  <c r="AD57" i="4"/>
  <c r="AC57" i="4"/>
  <c r="AR57" i="4" s="1"/>
  <c r="AT57" i="4" s="1"/>
  <c r="AB57" i="4"/>
  <c r="AA57" i="4"/>
  <c r="Z57" i="4"/>
  <c r="Y57" i="4"/>
  <c r="W57" i="4"/>
  <c r="V57" i="4"/>
  <c r="U57" i="4"/>
  <c r="AK57" i="4" s="1"/>
  <c r="T57" i="4"/>
  <c r="S57" i="4"/>
  <c r="R57" i="4"/>
  <c r="Q57" i="4"/>
  <c r="O57" i="4"/>
  <c r="P57" i="4" s="1"/>
  <c r="N57" i="4"/>
  <c r="L57" i="4"/>
  <c r="K57" i="4"/>
  <c r="J57" i="4"/>
  <c r="I57" i="4"/>
  <c r="AL57" i="4" s="1"/>
  <c r="H57" i="4"/>
  <c r="G57" i="4"/>
  <c r="F57" i="4"/>
  <c r="D57" i="4"/>
  <c r="DK56" i="4"/>
  <c r="CX56" i="4"/>
  <c r="CU56" i="4"/>
  <c r="CJ56" i="4"/>
  <c r="CF56" i="4"/>
  <c r="AP56" i="4" s="1"/>
  <c r="AS56" i="4" s="1"/>
  <c r="CE56" i="4"/>
  <c r="BM56" i="4"/>
  <c r="BJ56" i="4"/>
  <c r="U56" i="4" s="1"/>
  <c r="AK56" i="4" s="1"/>
  <c r="AY56" i="4"/>
  <c r="AJ56" i="4"/>
  <c r="AI56" i="4"/>
  <c r="AH56" i="4"/>
  <c r="AF56" i="4"/>
  <c r="AE56" i="4"/>
  <c r="AD56" i="4"/>
  <c r="AC56" i="4"/>
  <c r="AR56" i="4" s="1"/>
  <c r="AT56" i="4" s="1"/>
  <c r="AB56" i="4"/>
  <c r="AA56" i="4"/>
  <c r="Z56" i="4"/>
  <c r="Y56" i="4"/>
  <c r="O56" i="4" s="1"/>
  <c r="X56" i="4"/>
  <c r="W56" i="4"/>
  <c r="V56" i="4"/>
  <c r="T56" i="4"/>
  <c r="S56" i="4"/>
  <c r="R56" i="4"/>
  <c r="AL56" i="4" s="1"/>
  <c r="Q56" i="4"/>
  <c r="N56" i="4"/>
  <c r="L56" i="4"/>
  <c r="K56" i="4"/>
  <c r="J56" i="4"/>
  <c r="I56" i="4"/>
  <c r="H56" i="4"/>
  <c r="AN56" i="4" s="1"/>
  <c r="G56" i="4"/>
  <c r="F56" i="4"/>
  <c r="D56" i="4"/>
  <c r="AM56" i="4" s="1"/>
  <c r="DK55" i="4"/>
  <c r="CX55" i="4"/>
  <c r="CU55" i="4"/>
  <c r="CJ55" i="4"/>
  <c r="CF55" i="4"/>
  <c r="AP55" i="4" s="1"/>
  <c r="AS55" i="4" s="1"/>
  <c r="CE55" i="4"/>
  <c r="BM55" i="4"/>
  <c r="X55" i="4" s="1"/>
  <c r="BJ55" i="4"/>
  <c r="AY55" i="4"/>
  <c r="H55" i="4" s="1"/>
  <c r="AN55" i="4" s="1"/>
  <c r="AL55" i="4"/>
  <c r="AJ55" i="4"/>
  <c r="AI55" i="4"/>
  <c r="AK55" i="4" s="1"/>
  <c r="AH55" i="4"/>
  <c r="AF55" i="4"/>
  <c r="AE55" i="4"/>
  <c r="AD55" i="4"/>
  <c r="AC55" i="4"/>
  <c r="AR55" i="4" s="1"/>
  <c r="AT55" i="4" s="1"/>
  <c r="AB55" i="4"/>
  <c r="AA55" i="4"/>
  <c r="Z55" i="4"/>
  <c r="Y55" i="4"/>
  <c r="O55" i="4" s="1"/>
  <c r="P55" i="4" s="1"/>
  <c r="W55" i="4"/>
  <c r="V55" i="4"/>
  <c r="U55" i="4"/>
  <c r="T55" i="4"/>
  <c r="S55" i="4"/>
  <c r="R55" i="4"/>
  <c r="Q55" i="4"/>
  <c r="N55" i="4"/>
  <c r="L55" i="4"/>
  <c r="K55" i="4"/>
  <c r="J55" i="4"/>
  <c r="I55" i="4"/>
  <c r="G55" i="4"/>
  <c r="F55" i="4"/>
  <c r="D55" i="4"/>
  <c r="AM55" i="4" s="1"/>
  <c r="DK54" i="4"/>
  <c r="CX54" i="4"/>
  <c r="CU54" i="4"/>
  <c r="CJ54" i="4"/>
  <c r="CF54" i="4"/>
  <c r="CE54" i="4"/>
  <c r="BM54" i="4"/>
  <c r="BJ54" i="4"/>
  <c r="AY54" i="4"/>
  <c r="AT54" i="4"/>
  <c r="AP54" i="4"/>
  <c r="AS54" i="4" s="1"/>
  <c r="AK54" i="4"/>
  <c r="AJ54" i="4"/>
  <c r="AI54" i="4"/>
  <c r="AH54" i="4"/>
  <c r="AF54" i="4"/>
  <c r="AE54" i="4"/>
  <c r="AD54" i="4"/>
  <c r="AC54" i="4"/>
  <c r="AR54" i="4" s="1"/>
  <c r="AB54" i="4"/>
  <c r="AA54" i="4"/>
  <c r="Z54" i="4"/>
  <c r="Y54" i="4"/>
  <c r="X54" i="4"/>
  <c r="W54" i="4"/>
  <c r="V54" i="4"/>
  <c r="U54" i="4"/>
  <c r="T54" i="4"/>
  <c r="S54" i="4"/>
  <c r="R54" i="4"/>
  <c r="AL54" i="4" s="1"/>
  <c r="Q54" i="4"/>
  <c r="O54" i="4"/>
  <c r="N54" i="4"/>
  <c r="L54" i="4"/>
  <c r="K54" i="4"/>
  <c r="J54" i="4"/>
  <c r="I54" i="4"/>
  <c r="H54" i="4"/>
  <c r="AN54" i="4" s="1"/>
  <c r="G54" i="4"/>
  <c r="F54" i="4"/>
  <c r="D54" i="4"/>
  <c r="AM54" i="4" s="1"/>
  <c r="DK53" i="4"/>
  <c r="CX53" i="4"/>
  <c r="CU53" i="4"/>
  <c r="CJ53" i="4"/>
  <c r="CF53" i="4"/>
  <c r="CE53" i="4"/>
  <c r="BM53" i="4"/>
  <c r="X53" i="4" s="1"/>
  <c r="BJ53" i="4"/>
  <c r="AY53" i="4"/>
  <c r="AS53" i="4"/>
  <c r="AP53" i="4"/>
  <c r="AN53" i="4"/>
  <c r="AJ53" i="4"/>
  <c r="AI53" i="4"/>
  <c r="AH53" i="4"/>
  <c r="AF53" i="4"/>
  <c r="AE53" i="4"/>
  <c r="AD53" i="4"/>
  <c r="AC53" i="4"/>
  <c r="AR53" i="4" s="1"/>
  <c r="AT53" i="4" s="1"/>
  <c r="AB53" i="4"/>
  <c r="AA53" i="4"/>
  <c r="Z53" i="4"/>
  <c r="Y53" i="4"/>
  <c r="W53" i="4"/>
  <c r="V53" i="4"/>
  <c r="U53" i="4"/>
  <c r="AK53" i="4" s="1"/>
  <c r="T53" i="4"/>
  <c r="S53" i="4"/>
  <c r="R53" i="4"/>
  <c r="AL53" i="4" s="1"/>
  <c r="Q53" i="4"/>
  <c r="O53" i="4"/>
  <c r="P53" i="4" s="1"/>
  <c r="N53" i="4"/>
  <c r="L53" i="4"/>
  <c r="K53" i="4"/>
  <c r="J53" i="4"/>
  <c r="I53" i="4"/>
  <c r="H53" i="4"/>
  <c r="G53" i="4"/>
  <c r="F53" i="4"/>
  <c r="D53" i="4"/>
  <c r="AM53" i="4" s="1"/>
  <c r="DK52" i="4"/>
  <c r="CX52" i="4"/>
  <c r="CU52" i="4"/>
  <c r="CJ52" i="4"/>
  <c r="CF52" i="4"/>
  <c r="CE52" i="4"/>
  <c r="BM52" i="4"/>
  <c r="X52" i="4" s="1"/>
  <c r="BJ52" i="4"/>
  <c r="AY52" i="4"/>
  <c r="H52" i="4" s="1"/>
  <c r="AN52" i="4" s="1"/>
  <c r="AP52" i="4"/>
  <c r="AS52" i="4" s="1"/>
  <c r="AM52" i="4"/>
  <c r="AJ52" i="4"/>
  <c r="AI52" i="4"/>
  <c r="AH52" i="4"/>
  <c r="AF52" i="4"/>
  <c r="AE52" i="4"/>
  <c r="AD52" i="4"/>
  <c r="AC52" i="4"/>
  <c r="AR52" i="4" s="1"/>
  <c r="AT52" i="4" s="1"/>
  <c r="AB52" i="4"/>
  <c r="AA52" i="4"/>
  <c r="Z52" i="4"/>
  <c r="Y52" i="4"/>
  <c r="W52" i="4"/>
  <c r="V52" i="4"/>
  <c r="U52" i="4"/>
  <c r="AK52" i="4" s="1"/>
  <c r="T52" i="4"/>
  <c r="S52" i="4"/>
  <c r="R52" i="4"/>
  <c r="Q52" i="4"/>
  <c r="O52" i="4"/>
  <c r="N52" i="4"/>
  <c r="L52" i="4"/>
  <c r="K52" i="4"/>
  <c r="J52" i="4"/>
  <c r="I52" i="4"/>
  <c r="AL52" i="4" s="1"/>
  <c r="G52" i="4"/>
  <c r="F52" i="4"/>
  <c r="D52" i="4"/>
  <c r="DK51" i="4"/>
  <c r="CX51" i="4"/>
  <c r="CU51" i="4"/>
  <c r="CJ51" i="4"/>
  <c r="CF51" i="4"/>
  <c r="CE51" i="4"/>
  <c r="BM51" i="4"/>
  <c r="BJ51" i="4"/>
  <c r="AY51" i="4"/>
  <c r="AP51" i="4"/>
  <c r="AS51" i="4" s="1"/>
  <c r="AL51" i="4"/>
  <c r="AJ51" i="4"/>
  <c r="AI51" i="4"/>
  <c r="AH51" i="4"/>
  <c r="AF51" i="4"/>
  <c r="AE51" i="4"/>
  <c r="AD51" i="4"/>
  <c r="AC51" i="4"/>
  <c r="AR51" i="4" s="1"/>
  <c r="AT51" i="4" s="1"/>
  <c r="AB51" i="4"/>
  <c r="AA51" i="4"/>
  <c r="Z51" i="4"/>
  <c r="Y51" i="4"/>
  <c r="O51" i="4" s="1"/>
  <c r="P51" i="4" s="1"/>
  <c r="X51" i="4"/>
  <c r="W51" i="4"/>
  <c r="V51" i="4"/>
  <c r="U51" i="4"/>
  <c r="AK51" i="4" s="1"/>
  <c r="T51" i="4"/>
  <c r="S51" i="4"/>
  <c r="R51" i="4"/>
  <c r="Q51" i="4"/>
  <c r="N51" i="4"/>
  <c r="L51" i="4"/>
  <c r="K51" i="4"/>
  <c r="J51" i="4"/>
  <c r="I51" i="4"/>
  <c r="H51" i="4"/>
  <c r="AN51" i="4" s="1"/>
  <c r="G51" i="4"/>
  <c r="F51" i="4"/>
  <c r="D51" i="4"/>
  <c r="AM51" i="4" s="1"/>
  <c r="DK50" i="4"/>
  <c r="CX50" i="4"/>
  <c r="CU50" i="4"/>
  <c r="CJ50" i="4"/>
  <c r="CF50" i="4"/>
  <c r="AP50" i="4" s="1"/>
  <c r="AS50" i="4" s="1"/>
  <c r="CE50" i="4"/>
  <c r="BM50" i="4"/>
  <c r="BJ50" i="4"/>
  <c r="AY50" i="4"/>
  <c r="H50" i="4" s="1"/>
  <c r="AN50" i="4"/>
  <c r="AK50" i="4"/>
  <c r="AJ50" i="4"/>
  <c r="AI50" i="4"/>
  <c r="AH50" i="4"/>
  <c r="AF50" i="4"/>
  <c r="AE50" i="4"/>
  <c r="AD50" i="4"/>
  <c r="AC50" i="4"/>
  <c r="AR50" i="4" s="1"/>
  <c r="AT50" i="4" s="1"/>
  <c r="AB50" i="4"/>
  <c r="AA50" i="4"/>
  <c r="Z50" i="4"/>
  <c r="Y50" i="4"/>
  <c r="X50" i="4"/>
  <c r="W50" i="4"/>
  <c r="V50" i="4"/>
  <c r="U50" i="4"/>
  <c r="T50" i="4"/>
  <c r="S50" i="4"/>
  <c r="R50" i="4"/>
  <c r="AL50" i="4" s="1"/>
  <c r="Q50" i="4"/>
  <c r="O50" i="4"/>
  <c r="N50" i="4"/>
  <c r="L50" i="4"/>
  <c r="K50" i="4"/>
  <c r="J50" i="4"/>
  <c r="I50" i="4"/>
  <c r="G50" i="4"/>
  <c r="F50" i="4"/>
  <c r="D50" i="4"/>
  <c r="AM50" i="4" s="1"/>
  <c r="DK49" i="4"/>
  <c r="CX49" i="4"/>
  <c r="CU49" i="4"/>
  <c r="CJ49" i="4"/>
  <c r="CF49" i="4"/>
  <c r="CE49" i="4"/>
  <c r="BM49" i="4"/>
  <c r="BJ49" i="4"/>
  <c r="AY49" i="4"/>
  <c r="AP49" i="4"/>
  <c r="AS49" i="4" s="1"/>
  <c r="AM49" i="4"/>
  <c r="AL49" i="4"/>
  <c r="AK49" i="4"/>
  <c r="AJ49" i="4"/>
  <c r="AI49" i="4"/>
  <c r="AH49" i="4"/>
  <c r="AF49" i="4"/>
  <c r="AE49" i="4"/>
  <c r="AD49" i="4"/>
  <c r="AC49" i="4"/>
  <c r="AR49" i="4" s="1"/>
  <c r="AT49" i="4" s="1"/>
  <c r="AB49" i="4"/>
  <c r="AA49" i="4"/>
  <c r="Z49" i="4"/>
  <c r="Y49" i="4"/>
  <c r="O49" i="4" s="1"/>
  <c r="P49" i="4" s="1"/>
  <c r="X49" i="4"/>
  <c r="W49" i="4"/>
  <c r="V49" i="4"/>
  <c r="U49" i="4"/>
  <c r="T49" i="4"/>
  <c r="S49" i="4"/>
  <c r="R49" i="4"/>
  <c r="Q49" i="4"/>
  <c r="N49" i="4"/>
  <c r="L49" i="4"/>
  <c r="K49" i="4"/>
  <c r="J49" i="4"/>
  <c r="I49" i="4"/>
  <c r="H49" i="4"/>
  <c r="AN49" i="4" s="1"/>
  <c r="G49" i="4"/>
  <c r="F49" i="4"/>
  <c r="D49" i="4"/>
  <c r="DK48" i="4"/>
  <c r="CX48" i="4"/>
  <c r="CU48" i="4"/>
  <c r="CJ48" i="4"/>
  <c r="CF48" i="4"/>
  <c r="CE48" i="4"/>
  <c r="BM48" i="4"/>
  <c r="X48" i="4" s="1"/>
  <c r="BJ48" i="4"/>
  <c r="AY48" i="4"/>
  <c r="AS48" i="4"/>
  <c r="AP48" i="4"/>
  <c r="AN48" i="4"/>
  <c r="AL48" i="4"/>
  <c r="AJ48" i="4"/>
  <c r="AI48" i="4"/>
  <c r="AK48" i="4" s="1"/>
  <c r="AH48" i="4"/>
  <c r="AF48" i="4"/>
  <c r="AE48" i="4"/>
  <c r="AD48" i="4"/>
  <c r="AC48" i="4"/>
  <c r="AR48" i="4" s="1"/>
  <c r="AT48" i="4" s="1"/>
  <c r="AB48" i="4"/>
  <c r="AA48" i="4"/>
  <c r="Z48" i="4"/>
  <c r="Y48" i="4"/>
  <c r="O48" i="4" s="1"/>
  <c r="P48" i="4" s="1"/>
  <c r="W48" i="4"/>
  <c r="V48" i="4"/>
  <c r="U48" i="4"/>
  <c r="T48" i="4"/>
  <c r="S48" i="4"/>
  <c r="R48" i="4"/>
  <c r="Q48" i="4"/>
  <c r="N48" i="4"/>
  <c r="L48" i="4"/>
  <c r="K48" i="4"/>
  <c r="J48" i="4"/>
  <c r="I48" i="4"/>
  <c r="H48" i="4"/>
  <c r="G48" i="4"/>
  <c r="F48" i="4"/>
  <c r="D48" i="4"/>
  <c r="AM48" i="4" s="1"/>
  <c r="DK47" i="4"/>
  <c r="CX47" i="4"/>
  <c r="CU47" i="4"/>
  <c r="CJ47" i="4"/>
  <c r="CF47" i="4"/>
  <c r="AP47" i="4" s="1"/>
  <c r="AS47" i="4" s="1"/>
  <c r="CE47" i="4"/>
  <c r="BM47" i="4"/>
  <c r="BJ47" i="4"/>
  <c r="AY47" i="4"/>
  <c r="AM47" i="4"/>
  <c r="AK47" i="4"/>
  <c r="AJ47" i="4"/>
  <c r="AI47" i="4"/>
  <c r="AH47" i="4"/>
  <c r="AF47" i="4"/>
  <c r="AE47" i="4"/>
  <c r="AD47" i="4"/>
  <c r="AC47" i="4"/>
  <c r="AR47" i="4" s="1"/>
  <c r="AT47" i="4" s="1"/>
  <c r="AB47" i="4"/>
  <c r="AA47" i="4"/>
  <c r="Z47" i="4"/>
  <c r="Y47" i="4"/>
  <c r="X47" i="4"/>
  <c r="W47" i="4"/>
  <c r="V47" i="4"/>
  <c r="U47" i="4"/>
  <c r="T47" i="4"/>
  <c r="S47" i="4"/>
  <c r="R47" i="4"/>
  <c r="AL47" i="4" s="1"/>
  <c r="Q47" i="4"/>
  <c r="O47" i="4"/>
  <c r="N47" i="4"/>
  <c r="L47" i="4"/>
  <c r="K47" i="4"/>
  <c r="J47" i="4"/>
  <c r="I47" i="4"/>
  <c r="H47" i="4"/>
  <c r="AN47" i="4" s="1"/>
  <c r="G47" i="4"/>
  <c r="F47" i="4"/>
  <c r="D47" i="4"/>
  <c r="DK46" i="4"/>
  <c r="CX46" i="4"/>
  <c r="CU46" i="4"/>
  <c r="CJ46" i="4"/>
  <c r="CF46" i="4"/>
  <c r="CE46" i="4"/>
  <c r="BM46" i="4"/>
  <c r="BJ46" i="4"/>
  <c r="AY46" i="4"/>
  <c r="AP46" i="4"/>
  <c r="AS46" i="4" s="1"/>
  <c r="AO46" i="4"/>
  <c r="AM46" i="4"/>
  <c r="AK46" i="4"/>
  <c r="AJ46" i="4"/>
  <c r="AI46" i="4"/>
  <c r="AH46" i="4"/>
  <c r="AF46" i="4"/>
  <c r="AE46" i="4"/>
  <c r="AD46" i="4"/>
  <c r="AC46" i="4"/>
  <c r="AR46" i="4" s="1"/>
  <c r="AT46" i="4" s="1"/>
  <c r="AB46" i="4"/>
  <c r="AA46" i="4"/>
  <c r="Z46" i="4"/>
  <c r="Y46" i="4"/>
  <c r="X46" i="4"/>
  <c r="W46" i="4"/>
  <c r="V46" i="4"/>
  <c r="U46" i="4"/>
  <c r="T46" i="4"/>
  <c r="S46" i="4"/>
  <c r="R46" i="4"/>
  <c r="AL46" i="4" s="1"/>
  <c r="Q46" i="4"/>
  <c r="O46" i="4"/>
  <c r="P46" i="4" s="1"/>
  <c r="N46" i="4"/>
  <c r="L46" i="4"/>
  <c r="K46" i="4"/>
  <c r="J46" i="4"/>
  <c r="I46" i="4"/>
  <c r="H46" i="4"/>
  <c r="AN46" i="4" s="1"/>
  <c r="G46" i="4"/>
  <c r="F46" i="4"/>
  <c r="D46" i="4"/>
  <c r="DK43" i="4"/>
  <c r="CX43" i="4"/>
  <c r="CU43" i="4"/>
  <c r="CJ43" i="4"/>
  <c r="CF43" i="4"/>
  <c r="CE43" i="4"/>
  <c r="BJ43" i="4"/>
  <c r="AY43" i="4"/>
  <c r="AP43" i="4"/>
  <c r="AS43" i="4" s="1"/>
  <c r="AN43" i="4"/>
  <c r="AM43" i="4"/>
  <c r="AJ43" i="4"/>
  <c r="AI43" i="4"/>
  <c r="AH43" i="4"/>
  <c r="AF43" i="4"/>
  <c r="AE43" i="4"/>
  <c r="AD43" i="4"/>
  <c r="AC43" i="4"/>
  <c r="AR43" i="4" s="1"/>
  <c r="AT43" i="4" s="1"/>
  <c r="AB43" i="4"/>
  <c r="AA43" i="4"/>
  <c r="Z43" i="4"/>
  <c r="Y43" i="4"/>
  <c r="X43" i="4"/>
  <c r="W43" i="4"/>
  <c r="V43" i="4"/>
  <c r="U43" i="4"/>
  <c r="AK43" i="4" s="1"/>
  <c r="T43" i="4"/>
  <c r="S43" i="4"/>
  <c r="R43" i="4"/>
  <c r="Q43" i="4"/>
  <c r="O43" i="4"/>
  <c r="P43" i="4" s="1"/>
  <c r="N43" i="4"/>
  <c r="L43" i="4"/>
  <c r="K43" i="4"/>
  <c r="J43" i="4"/>
  <c r="I43" i="4"/>
  <c r="AL43" i="4" s="1"/>
  <c r="H43" i="4"/>
  <c r="G43" i="4"/>
  <c r="F43" i="4"/>
  <c r="D43" i="4"/>
  <c r="DK42" i="4"/>
  <c r="CX42" i="4"/>
  <c r="CU42" i="4"/>
  <c r="CJ42" i="4"/>
  <c r="CF42" i="4"/>
  <c r="AP42" i="4" s="1"/>
  <c r="AS42" i="4" s="1"/>
  <c r="CE42" i="4"/>
  <c r="BJ42" i="4"/>
  <c r="AY42" i="4"/>
  <c r="H42" i="4" s="1"/>
  <c r="AN42" i="4" s="1"/>
  <c r="AL42" i="4"/>
  <c r="AJ42" i="4"/>
  <c r="AI42" i="4"/>
  <c r="AK42" i="4" s="1"/>
  <c r="AH42" i="4"/>
  <c r="AF42" i="4"/>
  <c r="AE42" i="4"/>
  <c r="AD42" i="4"/>
  <c r="AC42" i="4"/>
  <c r="AR42" i="4" s="1"/>
  <c r="AT42" i="4" s="1"/>
  <c r="AB42" i="4"/>
  <c r="AA42" i="4"/>
  <c r="Z42" i="4"/>
  <c r="Y42" i="4"/>
  <c r="O42" i="4" s="1"/>
  <c r="P42" i="4" s="1"/>
  <c r="X42" i="4"/>
  <c r="W42" i="4"/>
  <c r="V42" i="4"/>
  <c r="U42" i="4"/>
  <c r="T42" i="4"/>
  <c r="S42" i="4"/>
  <c r="R42" i="4"/>
  <c r="Q42" i="4"/>
  <c r="N42" i="4"/>
  <c r="L42" i="4"/>
  <c r="K42" i="4"/>
  <c r="J42" i="4"/>
  <c r="I42" i="4"/>
  <c r="G42" i="4"/>
  <c r="F42" i="4"/>
  <c r="D42" i="4"/>
  <c r="AM42" i="4" s="1"/>
  <c r="DK41" i="4"/>
  <c r="CX41" i="4"/>
  <c r="CU41" i="4"/>
  <c r="CJ41" i="4"/>
  <c r="CF41" i="4"/>
  <c r="AP41" i="4" s="1"/>
  <c r="CE41" i="4"/>
  <c r="BJ41" i="4"/>
  <c r="AY41" i="4"/>
  <c r="AS41" i="4"/>
  <c r="AN41" i="4"/>
  <c r="AJ41" i="4"/>
  <c r="AI41" i="4"/>
  <c r="AH41" i="4"/>
  <c r="AF41" i="4"/>
  <c r="AE41" i="4"/>
  <c r="AD41" i="4"/>
  <c r="AC41" i="4"/>
  <c r="AR41" i="4" s="1"/>
  <c r="AT41" i="4" s="1"/>
  <c r="AB41" i="4"/>
  <c r="AA41" i="4"/>
  <c r="Z41" i="4"/>
  <c r="Y41" i="4"/>
  <c r="X41" i="4"/>
  <c r="W41" i="4"/>
  <c r="V41" i="4"/>
  <c r="U41" i="4"/>
  <c r="AK41" i="4" s="1"/>
  <c r="T41" i="4"/>
  <c r="S41" i="4"/>
  <c r="R41" i="4"/>
  <c r="AL41" i="4" s="1"/>
  <c r="Q41" i="4"/>
  <c r="O41" i="4"/>
  <c r="P41" i="4" s="1"/>
  <c r="N41" i="4"/>
  <c r="L41" i="4"/>
  <c r="K41" i="4"/>
  <c r="J41" i="4"/>
  <c r="I41" i="4"/>
  <c r="H41" i="4"/>
  <c r="G41" i="4"/>
  <c r="F41" i="4"/>
  <c r="D41" i="4"/>
  <c r="AM41" i="4" s="1"/>
  <c r="DK40" i="4"/>
  <c r="CX40" i="4"/>
  <c r="CU40" i="4"/>
  <c r="CJ40" i="4"/>
  <c r="CF40" i="4"/>
  <c r="CE40" i="4"/>
  <c r="BJ40" i="4"/>
  <c r="AY40" i="4"/>
  <c r="AP40" i="4"/>
  <c r="AS40" i="4" s="1"/>
  <c r="AL40" i="4"/>
  <c r="AJ40" i="4"/>
  <c r="AI40" i="4"/>
  <c r="AH40" i="4"/>
  <c r="AF40" i="4"/>
  <c r="AE40" i="4"/>
  <c r="AD40" i="4"/>
  <c r="AC40" i="4"/>
  <c r="AR40" i="4" s="1"/>
  <c r="AT40" i="4" s="1"/>
  <c r="AB40" i="4"/>
  <c r="AA40" i="4"/>
  <c r="Z40" i="4"/>
  <c r="Y40" i="4"/>
  <c r="O40" i="4" s="1"/>
  <c r="P40" i="4" s="1"/>
  <c r="X40" i="4"/>
  <c r="W40" i="4"/>
  <c r="V40" i="4"/>
  <c r="U40" i="4"/>
  <c r="AK40" i="4" s="1"/>
  <c r="T40" i="4"/>
  <c r="S40" i="4"/>
  <c r="R40" i="4"/>
  <c r="Q40" i="4"/>
  <c r="N40" i="4"/>
  <c r="L40" i="4"/>
  <c r="K40" i="4"/>
  <c r="J40" i="4"/>
  <c r="I40" i="4"/>
  <c r="H40" i="4"/>
  <c r="AN40" i="4" s="1"/>
  <c r="G40" i="4"/>
  <c r="F40" i="4"/>
  <c r="D40" i="4"/>
  <c r="AM40" i="4" s="1"/>
  <c r="DK39" i="4"/>
  <c r="CX39" i="4"/>
  <c r="CU39" i="4"/>
  <c r="CJ39" i="4"/>
  <c r="CF39" i="4"/>
  <c r="AP39" i="4" s="1"/>
  <c r="AS39" i="4" s="1"/>
  <c r="CE39" i="4"/>
  <c r="BJ39" i="4"/>
  <c r="AY39" i="4"/>
  <c r="AM39" i="4"/>
  <c r="AL39" i="4"/>
  <c r="AK39" i="4"/>
  <c r="AJ39" i="4"/>
  <c r="AI39" i="4"/>
  <c r="AH39" i="4"/>
  <c r="AF39" i="4"/>
  <c r="AE39" i="4"/>
  <c r="AD39" i="4"/>
  <c r="AC39" i="4"/>
  <c r="AR39" i="4" s="1"/>
  <c r="AT39" i="4" s="1"/>
  <c r="AB39" i="4"/>
  <c r="AA39" i="4"/>
  <c r="Z39" i="4"/>
  <c r="Y39" i="4"/>
  <c r="O39" i="4" s="1"/>
  <c r="P39" i="4" s="1"/>
  <c r="X39" i="4"/>
  <c r="W39" i="4"/>
  <c r="V39" i="4"/>
  <c r="U39" i="4"/>
  <c r="T39" i="4"/>
  <c r="S39" i="4"/>
  <c r="R39" i="4"/>
  <c r="Q39" i="4"/>
  <c r="N39" i="4"/>
  <c r="L39" i="4"/>
  <c r="K39" i="4"/>
  <c r="J39" i="4"/>
  <c r="I39" i="4"/>
  <c r="H39" i="4"/>
  <c r="AN39" i="4" s="1"/>
  <c r="G39" i="4"/>
  <c r="F39" i="4"/>
  <c r="D39" i="4"/>
  <c r="DK38" i="4"/>
  <c r="CX38" i="4"/>
  <c r="CU38" i="4"/>
  <c r="CJ38" i="4"/>
  <c r="CF38" i="4"/>
  <c r="AP38" i="4" s="1"/>
  <c r="AS38" i="4" s="1"/>
  <c r="CE38" i="4"/>
  <c r="BJ38" i="4"/>
  <c r="AY38" i="4"/>
  <c r="AM38" i="4"/>
  <c r="AK38" i="4"/>
  <c r="AJ38" i="4"/>
  <c r="AI38" i="4"/>
  <c r="AH38" i="4"/>
  <c r="AF38" i="4"/>
  <c r="AE38" i="4"/>
  <c r="AD38" i="4"/>
  <c r="AC38" i="4"/>
  <c r="AR38" i="4" s="1"/>
  <c r="AT38" i="4" s="1"/>
  <c r="AB38" i="4"/>
  <c r="AA38" i="4"/>
  <c r="Z38" i="4"/>
  <c r="Y38" i="4"/>
  <c r="X38" i="4"/>
  <c r="W38" i="4"/>
  <c r="V38" i="4"/>
  <c r="U38" i="4"/>
  <c r="T38" i="4"/>
  <c r="S38" i="4"/>
  <c r="R38" i="4"/>
  <c r="AL38" i="4" s="1"/>
  <c r="Q38" i="4"/>
  <c r="O38" i="4"/>
  <c r="P38" i="4" s="1"/>
  <c r="N38" i="4"/>
  <c r="L38" i="4"/>
  <c r="K38" i="4"/>
  <c r="J38" i="4"/>
  <c r="I38" i="4"/>
  <c r="H38" i="4"/>
  <c r="AN38" i="4" s="1"/>
  <c r="G38" i="4"/>
  <c r="F38" i="4"/>
  <c r="D38" i="4"/>
  <c r="DK37" i="4"/>
  <c r="CX37" i="4"/>
  <c r="CU37" i="4"/>
  <c r="CJ37" i="4"/>
  <c r="CF37" i="4"/>
  <c r="CE37" i="4"/>
  <c r="BJ37" i="4"/>
  <c r="AY37" i="4"/>
  <c r="AS37" i="4"/>
  <c r="AP37" i="4"/>
  <c r="AN37" i="4"/>
  <c r="AM37" i="4"/>
  <c r="AJ37" i="4"/>
  <c r="AI37" i="4"/>
  <c r="AH37" i="4"/>
  <c r="AF37" i="4"/>
  <c r="AE37" i="4"/>
  <c r="AD37" i="4"/>
  <c r="AC37" i="4"/>
  <c r="AR37" i="4" s="1"/>
  <c r="AT37" i="4" s="1"/>
  <c r="AB37" i="4"/>
  <c r="AA37" i="4"/>
  <c r="Z37" i="4"/>
  <c r="Y37" i="4"/>
  <c r="X37" i="4"/>
  <c r="W37" i="4"/>
  <c r="V37" i="4"/>
  <c r="U37" i="4"/>
  <c r="AK37" i="4" s="1"/>
  <c r="T37" i="4"/>
  <c r="S37" i="4"/>
  <c r="R37" i="4"/>
  <c r="Q37" i="4"/>
  <c r="O37" i="4"/>
  <c r="P37" i="4" s="1"/>
  <c r="N37" i="4"/>
  <c r="L37" i="4"/>
  <c r="K37" i="4"/>
  <c r="J37" i="4"/>
  <c r="I37" i="4"/>
  <c r="AL37" i="4" s="1"/>
  <c r="H37" i="4"/>
  <c r="G37" i="4"/>
  <c r="F37" i="4"/>
  <c r="D37" i="4"/>
  <c r="DK36" i="4"/>
  <c r="CX36" i="4"/>
  <c r="CU36" i="4"/>
  <c r="CJ36" i="4"/>
  <c r="CF36" i="4"/>
  <c r="AP36" i="4" s="1"/>
  <c r="AS36" i="4" s="1"/>
  <c r="CE36" i="4"/>
  <c r="BJ36" i="4"/>
  <c r="AY36" i="4"/>
  <c r="H36" i="4" s="1"/>
  <c r="AN36" i="4" s="1"/>
  <c r="AL36" i="4"/>
  <c r="AK36" i="4"/>
  <c r="AJ36" i="4"/>
  <c r="AI36" i="4"/>
  <c r="AH36" i="4"/>
  <c r="AF36" i="4"/>
  <c r="AE36" i="4"/>
  <c r="AD36" i="4"/>
  <c r="AC36" i="4"/>
  <c r="AR36" i="4" s="1"/>
  <c r="AT36" i="4" s="1"/>
  <c r="AB36" i="4"/>
  <c r="AA36" i="4"/>
  <c r="Z36" i="4"/>
  <c r="Y36" i="4"/>
  <c r="O36" i="4" s="1"/>
  <c r="P36" i="4" s="1"/>
  <c r="X36" i="4"/>
  <c r="W36" i="4"/>
  <c r="V36" i="4"/>
  <c r="U36" i="4"/>
  <c r="T36" i="4"/>
  <c r="S36" i="4"/>
  <c r="R36" i="4"/>
  <c r="Q36" i="4"/>
  <c r="N36" i="4"/>
  <c r="L36" i="4"/>
  <c r="K36" i="4"/>
  <c r="J36" i="4"/>
  <c r="I36" i="4"/>
  <c r="G36" i="4"/>
  <c r="F36" i="4"/>
  <c r="D36" i="4"/>
  <c r="AM36" i="4" s="1"/>
  <c r="DK35" i="4"/>
  <c r="CX35" i="4"/>
  <c r="CU35" i="4"/>
  <c r="CJ35" i="4"/>
  <c r="CF35" i="4"/>
  <c r="AP35" i="4" s="1"/>
  <c r="CE35" i="4"/>
  <c r="BJ35" i="4"/>
  <c r="AY35" i="4"/>
  <c r="AS35" i="4"/>
  <c r="AN35" i="4"/>
  <c r="AJ35" i="4"/>
  <c r="AI35" i="4"/>
  <c r="AH35" i="4"/>
  <c r="AF35" i="4"/>
  <c r="AE35" i="4"/>
  <c r="AD35" i="4"/>
  <c r="AC35" i="4"/>
  <c r="AR35" i="4" s="1"/>
  <c r="AT35" i="4" s="1"/>
  <c r="AB35" i="4"/>
  <c r="AA35" i="4"/>
  <c r="Z35" i="4"/>
  <c r="Y35" i="4"/>
  <c r="X35" i="4"/>
  <c r="W35" i="4"/>
  <c r="V35" i="4"/>
  <c r="U35" i="4"/>
  <c r="AK35" i="4" s="1"/>
  <c r="T35" i="4"/>
  <c r="S35" i="4"/>
  <c r="R35" i="4"/>
  <c r="AL35" i="4" s="1"/>
  <c r="Q35" i="4"/>
  <c r="O35" i="4"/>
  <c r="N35" i="4"/>
  <c r="L35" i="4"/>
  <c r="K35" i="4"/>
  <c r="J35" i="4"/>
  <c r="I35" i="4"/>
  <c r="H35" i="4"/>
  <c r="G35" i="4"/>
  <c r="F35" i="4"/>
  <c r="D35" i="4"/>
  <c r="AM35" i="4" s="1"/>
  <c r="DK34" i="4"/>
  <c r="CX34" i="4"/>
  <c r="CU34" i="4"/>
  <c r="CJ34" i="4"/>
  <c r="CF34" i="4"/>
  <c r="CE34" i="4"/>
  <c r="BJ34" i="4"/>
  <c r="AY34" i="4"/>
  <c r="AP34" i="4"/>
  <c r="AS34" i="4" s="1"/>
  <c r="AL34" i="4"/>
  <c r="AJ34" i="4"/>
  <c r="AI34" i="4"/>
  <c r="AH34" i="4"/>
  <c r="AF34" i="4"/>
  <c r="AE34" i="4"/>
  <c r="AD34" i="4"/>
  <c r="AC34" i="4"/>
  <c r="AR34" i="4" s="1"/>
  <c r="AT34" i="4" s="1"/>
  <c r="AB34" i="4"/>
  <c r="AA34" i="4"/>
  <c r="Z34" i="4"/>
  <c r="Y34" i="4"/>
  <c r="O34" i="4" s="1"/>
  <c r="P34" i="4" s="1"/>
  <c r="X34" i="4"/>
  <c r="W34" i="4"/>
  <c r="V34" i="4"/>
  <c r="U34" i="4"/>
  <c r="AK34" i="4" s="1"/>
  <c r="T34" i="4"/>
  <c r="S34" i="4"/>
  <c r="R34" i="4"/>
  <c r="Q34" i="4"/>
  <c r="N34" i="4"/>
  <c r="L34" i="4"/>
  <c r="K34" i="4"/>
  <c r="J34" i="4"/>
  <c r="I34" i="4"/>
  <c r="H34" i="4"/>
  <c r="AN34" i="4" s="1"/>
  <c r="G34" i="4"/>
  <c r="F34" i="4"/>
  <c r="D34" i="4"/>
  <c r="AM34" i="4" s="1"/>
  <c r="DK33" i="4"/>
  <c r="CX33" i="4"/>
  <c r="CU33" i="4"/>
  <c r="CJ33" i="4"/>
  <c r="CF33" i="4"/>
  <c r="AP33" i="4" s="1"/>
  <c r="AS33" i="4" s="1"/>
  <c r="CE33" i="4"/>
  <c r="BJ33" i="4"/>
  <c r="AY33" i="4"/>
  <c r="AM33" i="4"/>
  <c r="AL33" i="4"/>
  <c r="AK33" i="4"/>
  <c r="AJ33" i="4"/>
  <c r="AI33" i="4"/>
  <c r="AH33" i="4"/>
  <c r="AF33" i="4"/>
  <c r="AE33" i="4"/>
  <c r="AD33" i="4"/>
  <c r="AC33" i="4"/>
  <c r="AR33" i="4" s="1"/>
  <c r="AT33" i="4" s="1"/>
  <c r="AB33" i="4"/>
  <c r="AA33" i="4"/>
  <c r="Z33" i="4"/>
  <c r="Y33" i="4"/>
  <c r="O33" i="4" s="1"/>
  <c r="P33" i="4" s="1"/>
  <c r="X33" i="4"/>
  <c r="W33" i="4"/>
  <c r="V33" i="4"/>
  <c r="U33" i="4"/>
  <c r="T33" i="4"/>
  <c r="S33" i="4"/>
  <c r="R33" i="4"/>
  <c r="Q33" i="4"/>
  <c r="N33" i="4"/>
  <c r="L33" i="4"/>
  <c r="K33" i="4"/>
  <c r="J33" i="4"/>
  <c r="I33" i="4"/>
  <c r="H33" i="4"/>
  <c r="AN33" i="4" s="1"/>
  <c r="G33" i="4"/>
  <c r="F33" i="4"/>
  <c r="D33" i="4"/>
  <c r="DK32" i="4"/>
  <c r="CX32" i="4"/>
  <c r="CU32" i="4"/>
  <c r="CJ32" i="4"/>
  <c r="CF32" i="4"/>
  <c r="AP32" i="4" s="1"/>
  <c r="AS32" i="4" s="1"/>
  <c r="CE32" i="4"/>
  <c r="BJ32" i="4"/>
  <c r="U32" i="4" s="1"/>
  <c r="AK32" i="4" s="1"/>
  <c r="AY32" i="4"/>
  <c r="AM32" i="4"/>
  <c r="AJ32" i="4"/>
  <c r="AI32" i="4"/>
  <c r="AH32" i="4"/>
  <c r="AF32" i="4"/>
  <c r="AE32" i="4"/>
  <c r="AD32" i="4"/>
  <c r="AC32" i="4"/>
  <c r="AR32" i="4" s="1"/>
  <c r="AT32" i="4" s="1"/>
  <c r="AB32" i="4"/>
  <c r="AA32" i="4"/>
  <c r="Z32" i="4"/>
  <c r="Y32" i="4"/>
  <c r="X32" i="4"/>
  <c r="W32" i="4"/>
  <c r="V32" i="4"/>
  <c r="T32" i="4"/>
  <c r="S32" i="4"/>
  <c r="R32" i="4"/>
  <c r="Q32" i="4"/>
  <c r="O32" i="4"/>
  <c r="P32" i="4" s="1"/>
  <c r="N32" i="4"/>
  <c r="L32" i="4"/>
  <c r="K32" i="4"/>
  <c r="J32" i="4"/>
  <c r="I32" i="4"/>
  <c r="AL32" i="4" s="1"/>
  <c r="H32" i="4"/>
  <c r="AN32" i="4" s="1"/>
  <c r="G32" i="4"/>
  <c r="F32" i="4"/>
  <c r="D32" i="4"/>
  <c r="DK31" i="4"/>
  <c r="CX31" i="4"/>
  <c r="CU31" i="4"/>
  <c r="CJ31" i="4"/>
  <c r="CF31" i="4"/>
  <c r="AP31" i="4" s="1"/>
  <c r="AS31" i="4" s="1"/>
  <c r="CE31" i="4"/>
  <c r="BJ31" i="4"/>
  <c r="AY31" i="4"/>
  <c r="AN31" i="4"/>
  <c r="AM31" i="4"/>
  <c r="AJ31" i="4"/>
  <c r="AI31" i="4"/>
  <c r="AH31" i="4"/>
  <c r="AF31" i="4"/>
  <c r="AE31" i="4"/>
  <c r="AD31" i="4"/>
  <c r="AC31" i="4"/>
  <c r="AR31" i="4" s="1"/>
  <c r="AT31" i="4" s="1"/>
  <c r="AB31" i="4"/>
  <c r="AA31" i="4"/>
  <c r="Z31" i="4"/>
  <c r="Y31" i="4"/>
  <c r="X31" i="4"/>
  <c r="W31" i="4"/>
  <c r="V31" i="4"/>
  <c r="U31" i="4"/>
  <c r="AK31" i="4" s="1"/>
  <c r="T31" i="4"/>
  <c r="S31" i="4"/>
  <c r="R31" i="4"/>
  <c r="Q31" i="4"/>
  <c r="O31" i="4"/>
  <c r="N31" i="4"/>
  <c r="L31" i="4"/>
  <c r="K31" i="4"/>
  <c r="J31" i="4"/>
  <c r="I31" i="4"/>
  <c r="AL31" i="4" s="1"/>
  <c r="H31" i="4"/>
  <c r="G31" i="4"/>
  <c r="F31" i="4"/>
  <c r="D31" i="4"/>
  <c r="DK30" i="4"/>
  <c r="CX30" i="4"/>
  <c r="CU30" i="4"/>
  <c r="CJ30" i="4"/>
  <c r="CF30" i="4"/>
  <c r="AP30" i="4" s="1"/>
  <c r="AS30" i="4" s="1"/>
  <c r="CE30" i="4"/>
  <c r="BJ30" i="4"/>
  <c r="AY30" i="4"/>
  <c r="H30" i="4" s="1"/>
  <c r="AN30" i="4" s="1"/>
  <c r="AL30" i="4"/>
  <c r="AK30" i="4"/>
  <c r="AJ30" i="4"/>
  <c r="AI30" i="4"/>
  <c r="AH30" i="4"/>
  <c r="AF30" i="4"/>
  <c r="AE30" i="4"/>
  <c r="AD30" i="4"/>
  <c r="AC30" i="4"/>
  <c r="AR30" i="4" s="1"/>
  <c r="AT30" i="4" s="1"/>
  <c r="AB30" i="4"/>
  <c r="AA30" i="4"/>
  <c r="Z30" i="4"/>
  <c r="Y30" i="4"/>
  <c r="O30" i="4" s="1"/>
  <c r="P30" i="4" s="1"/>
  <c r="X30" i="4"/>
  <c r="W30" i="4"/>
  <c r="V30" i="4"/>
  <c r="U30" i="4"/>
  <c r="T30" i="4"/>
  <c r="S30" i="4"/>
  <c r="R30" i="4"/>
  <c r="Q30" i="4"/>
  <c r="N30" i="4"/>
  <c r="L30" i="4"/>
  <c r="K30" i="4"/>
  <c r="J30" i="4"/>
  <c r="I30" i="4"/>
  <c r="G30" i="4"/>
  <c r="F30" i="4"/>
  <c r="D30" i="4"/>
  <c r="AM30" i="4" s="1"/>
  <c r="DK29" i="4"/>
  <c r="CX29" i="4"/>
  <c r="CU29" i="4"/>
  <c r="CJ29" i="4"/>
  <c r="CF29" i="4"/>
  <c r="AP29" i="4" s="1"/>
  <c r="CE29" i="4"/>
  <c r="BJ29" i="4"/>
  <c r="AY29" i="4"/>
  <c r="AS29" i="4"/>
  <c r="AN29" i="4"/>
  <c r="AJ29" i="4"/>
  <c r="AI29" i="4"/>
  <c r="AH29" i="4"/>
  <c r="AF29" i="4"/>
  <c r="AE29" i="4"/>
  <c r="AD29" i="4"/>
  <c r="AC29" i="4"/>
  <c r="AR29" i="4" s="1"/>
  <c r="AT29" i="4" s="1"/>
  <c r="AB29" i="4"/>
  <c r="AA29" i="4"/>
  <c r="Z29" i="4"/>
  <c r="Y29" i="4"/>
  <c r="X29" i="4"/>
  <c r="W29" i="4"/>
  <c r="V29" i="4"/>
  <c r="U29" i="4"/>
  <c r="AK29" i="4" s="1"/>
  <c r="T29" i="4"/>
  <c r="S29" i="4"/>
  <c r="R29" i="4"/>
  <c r="AL29" i="4" s="1"/>
  <c r="Q29" i="4"/>
  <c r="O29" i="4"/>
  <c r="P29" i="4" s="1"/>
  <c r="N29" i="4"/>
  <c r="L29" i="4"/>
  <c r="K29" i="4"/>
  <c r="J29" i="4"/>
  <c r="I29" i="4"/>
  <c r="H29" i="4"/>
  <c r="G29" i="4"/>
  <c r="F29" i="4"/>
  <c r="D29" i="4"/>
  <c r="AM29" i="4" s="1"/>
  <c r="DK28" i="4"/>
  <c r="CX28" i="4"/>
  <c r="CU28" i="4"/>
  <c r="CJ28" i="4"/>
  <c r="CF28" i="4"/>
  <c r="CE28" i="4"/>
  <c r="BJ28" i="4"/>
  <c r="AY28" i="4"/>
  <c r="AP28" i="4"/>
  <c r="AS28" i="4" s="1"/>
  <c r="AL28" i="4"/>
  <c r="AJ28" i="4"/>
  <c r="AI28" i="4"/>
  <c r="AH28" i="4"/>
  <c r="AF28" i="4"/>
  <c r="AE28" i="4"/>
  <c r="AD28" i="4"/>
  <c r="AC28" i="4"/>
  <c r="AR28" i="4" s="1"/>
  <c r="AT28" i="4" s="1"/>
  <c r="AB28" i="4"/>
  <c r="AA28" i="4"/>
  <c r="Z28" i="4"/>
  <c r="Y28" i="4"/>
  <c r="O28" i="4" s="1"/>
  <c r="P28" i="4" s="1"/>
  <c r="X28" i="4"/>
  <c r="W28" i="4"/>
  <c r="V28" i="4"/>
  <c r="U28" i="4"/>
  <c r="AK28" i="4" s="1"/>
  <c r="T28" i="4"/>
  <c r="S28" i="4"/>
  <c r="R28" i="4"/>
  <c r="Q28" i="4"/>
  <c r="N28" i="4"/>
  <c r="L28" i="4"/>
  <c r="K28" i="4"/>
  <c r="J28" i="4"/>
  <c r="I28" i="4"/>
  <c r="H28" i="4"/>
  <c r="AN28" i="4" s="1"/>
  <c r="G28" i="4"/>
  <c r="F28" i="4"/>
  <c r="D28" i="4"/>
  <c r="AM28" i="4" s="1"/>
  <c r="DK27" i="4"/>
  <c r="CX27" i="4"/>
  <c r="CU27" i="4"/>
  <c r="CJ27" i="4"/>
  <c r="CF27" i="4"/>
  <c r="AP27" i="4" s="1"/>
  <c r="AS27" i="4" s="1"/>
  <c r="CE27" i="4"/>
  <c r="BJ27" i="4"/>
  <c r="AY27" i="4"/>
  <c r="AT27" i="4"/>
  <c r="AN27" i="4"/>
  <c r="AM27" i="4"/>
  <c r="AL27" i="4"/>
  <c r="AK27" i="4"/>
  <c r="AJ27" i="4"/>
  <c r="AI27" i="4"/>
  <c r="AH27" i="4"/>
  <c r="AF27" i="4"/>
  <c r="AE27" i="4"/>
  <c r="AD27" i="4"/>
  <c r="AC27" i="4"/>
  <c r="AR27" i="4" s="1"/>
  <c r="AB27" i="4"/>
  <c r="AA27" i="4"/>
  <c r="Z27" i="4"/>
  <c r="Y27" i="4"/>
  <c r="O27" i="4" s="1"/>
  <c r="P27" i="4" s="1"/>
  <c r="X27" i="4"/>
  <c r="W27" i="4"/>
  <c r="V27" i="4"/>
  <c r="U27" i="4"/>
  <c r="T27" i="4"/>
  <c r="S27" i="4"/>
  <c r="R27" i="4"/>
  <c r="Q27" i="4"/>
  <c r="N27" i="4"/>
  <c r="L27" i="4"/>
  <c r="K27" i="4"/>
  <c r="J27" i="4"/>
  <c r="I27" i="4"/>
  <c r="H27" i="4"/>
  <c r="G27" i="4"/>
  <c r="F27" i="4"/>
  <c r="D27" i="4"/>
  <c r="DK26" i="4"/>
  <c r="CX26" i="4"/>
  <c r="CU26" i="4"/>
  <c r="CJ26" i="4"/>
  <c r="CF26" i="4"/>
  <c r="AP26" i="4" s="1"/>
  <c r="AS26" i="4" s="1"/>
  <c r="CE26" i="4"/>
  <c r="BJ26" i="4"/>
  <c r="U26" i="4" s="1"/>
  <c r="AK26" i="4" s="1"/>
  <c r="AY26" i="4"/>
  <c r="AM26" i="4"/>
  <c r="AJ26" i="4"/>
  <c r="AI26" i="4"/>
  <c r="AH26" i="4"/>
  <c r="AF26" i="4"/>
  <c r="AE26" i="4"/>
  <c r="AD26" i="4"/>
  <c r="AC26" i="4"/>
  <c r="AR26" i="4" s="1"/>
  <c r="AT26" i="4" s="1"/>
  <c r="AB26" i="4"/>
  <c r="AA26" i="4"/>
  <c r="Z26" i="4"/>
  <c r="Y26" i="4"/>
  <c r="X26" i="4"/>
  <c r="W26" i="4"/>
  <c r="V26" i="4"/>
  <c r="T26" i="4"/>
  <c r="S26" i="4"/>
  <c r="R26" i="4"/>
  <c r="Q26" i="4"/>
  <c r="O26" i="4"/>
  <c r="P26" i="4" s="1"/>
  <c r="N26" i="4"/>
  <c r="L26" i="4"/>
  <c r="K26" i="4"/>
  <c r="J26" i="4"/>
  <c r="I26" i="4"/>
  <c r="AL26" i="4" s="1"/>
  <c r="H26" i="4"/>
  <c r="AN26" i="4" s="1"/>
  <c r="G26" i="4"/>
  <c r="F26" i="4"/>
  <c r="D26" i="4"/>
  <c r="DK25" i="4"/>
  <c r="CX25" i="4"/>
  <c r="CU25" i="4"/>
  <c r="CJ25" i="4"/>
  <c r="CF25" i="4"/>
  <c r="AP25" i="4" s="1"/>
  <c r="AS25" i="4" s="1"/>
  <c r="CE25" i="4"/>
  <c r="BJ25" i="4"/>
  <c r="U25" i="4" s="1"/>
  <c r="AK25" i="4" s="1"/>
  <c r="AY25" i="4"/>
  <c r="AO25" i="4"/>
  <c r="AN25" i="4"/>
  <c r="AM25" i="4"/>
  <c r="AJ25" i="4"/>
  <c r="AI25" i="4"/>
  <c r="AH25" i="4"/>
  <c r="AF25" i="4"/>
  <c r="AE25" i="4"/>
  <c r="AD25" i="4"/>
  <c r="AC25" i="4"/>
  <c r="AR25" i="4" s="1"/>
  <c r="AT25" i="4" s="1"/>
  <c r="AB25" i="4"/>
  <c r="AA25" i="4"/>
  <c r="Z25" i="4"/>
  <c r="Y25" i="4"/>
  <c r="X25" i="4"/>
  <c r="W25" i="4"/>
  <c r="V25" i="4"/>
  <c r="T25" i="4"/>
  <c r="S25" i="4"/>
  <c r="R25" i="4"/>
  <c r="Q25" i="4"/>
  <c r="O25" i="4"/>
  <c r="P25" i="4" s="1"/>
  <c r="N25" i="4"/>
  <c r="L25" i="4"/>
  <c r="K25" i="4"/>
  <c r="J25" i="4"/>
  <c r="I25" i="4"/>
  <c r="AL25" i="4" s="1"/>
  <c r="H25" i="4"/>
  <c r="G25" i="4"/>
  <c r="F25" i="4"/>
  <c r="D25" i="4"/>
  <c r="DK22" i="4"/>
  <c r="CY22" i="4"/>
  <c r="CU22" i="4"/>
  <c r="CJ22" i="4"/>
  <c r="CF22" i="4"/>
  <c r="AP22" i="4" s="1"/>
  <c r="AS22" i="4" s="1"/>
  <c r="CE22" i="4"/>
  <c r="BJ22" i="4"/>
  <c r="U22" i="4" s="1"/>
  <c r="AK22" i="4" s="1"/>
  <c r="AY22" i="4"/>
  <c r="AM22" i="4"/>
  <c r="AJ22" i="4"/>
  <c r="AI22" i="4"/>
  <c r="AH22" i="4"/>
  <c r="AF22" i="4"/>
  <c r="AE22" i="4"/>
  <c r="AD22" i="4"/>
  <c r="AC22" i="4"/>
  <c r="AR22" i="4" s="1"/>
  <c r="AT22" i="4" s="1"/>
  <c r="AB22" i="4"/>
  <c r="AA22" i="4"/>
  <c r="Z22" i="4"/>
  <c r="Y22" i="4"/>
  <c r="O22" i="4" s="1"/>
  <c r="X22" i="4"/>
  <c r="W22" i="4"/>
  <c r="V22" i="4"/>
  <c r="T22" i="4"/>
  <c r="S22" i="4"/>
  <c r="R22" i="4"/>
  <c r="AL22" i="4" s="1"/>
  <c r="Q22" i="4"/>
  <c r="N22" i="4"/>
  <c r="L22" i="4"/>
  <c r="K22" i="4"/>
  <c r="J22" i="4"/>
  <c r="I22" i="4"/>
  <c r="H22" i="4"/>
  <c r="AN22" i="4" s="1"/>
  <c r="G22" i="4"/>
  <c r="F22" i="4"/>
  <c r="D22" i="4"/>
  <c r="DK21" i="4"/>
  <c r="CY21" i="4"/>
  <c r="CU21" i="4"/>
  <c r="CJ21" i="4"/>
  <c r="CF21" i="4"/>
  <c r="CE21" i="4"/>
  <c r="BJ21" i="4"/>
  <c r="AY21" i="4"/>
  <c r="AP21" i="4"/>
  <c r="AS21" i="4" s="1"/>
  <c r="AK21" i="4"/>
  <c r="AJ21" i="4"/>
  <c r="AI21" i="4"/>
  <c r="AH21" i="4"/>
  <c r="AF21" i="4"/>
  <c r="AE21" i="4"/>
  <c r="AD21" i="4"/>
  <c r="AC21" i="4"/>
  <c r="AR21" i="4" s="1"/>
  <c r="AT21" i="4" s="1"/>
  <c r="AB21" i="4"/>
  <c r="AA21" i="4"/>
  <c r="Z21" i="4"/>
  <c r="Y21" i="4"/>
  <c r="O21" i="4" s="1"/>
  <c r="P21" i="4" s="1"/>
  <c r="X21" i="4"/>
  <c r="W21" i="4"/>
  <c r="V21" i="4"/>
  <c r="U21" i="4"/>
  <c r="T21" i="4"/>
  <c r="S21" i="4"/>
  <c r="R21" i="4"/>
  <c r="AL21" i="4" s="1"/>
  <c r="Q21" i="4"/>
  <c r="N21" i="4"/>
  <c r="L21" i="4"/>
  <c r="K21" i="4"/>
  <c r="J21" i="4"/>
  <c r="I21" i="4"/>
  <c r="H21" i="4"/>
  <c r="AN21" i="4" s="1"/>
  <c r="G21" i="4"/>
  <c r="F21" i="4"/>
  <c r="D21" i="4"/>
  <c r="AM21" i="4" s="1"/>
  <c r="DK20" i="4"/>
  <c r="CY20" i="4"/>
  <c r="CU20" i="4"/>
  <c r="CJ20" i="4"/>
  <c r="CF20" i="4"/>
  <c r="CE20" i="4"/>
  <c r="BJ20" i="4"/>
  <c r="AY20" i="4"/>
  <c r="H20" i="4" s="1"/>
  <c r="AN20" i="4" s="1"/>
  <c r="AP20" i="4"/>
  <c r="AS20" i="4" s="1"/>
  <c r="AM20" i="4"/>
  <c r="AJ20" i="4"/>
  <c r="AI20" i="4"/>
  <c r="AH20" i="4"/>
  <c r="AF20" i="4"/>
  <c r="AE20" i="4"/>
  <c r="AD20" i="4"/>
  <c r="AC20" i="4"/>
  <c r="AR20" i="4" s="1"/>
  <c r="AT20" i="4" s="1"/>
  <c r="AB20" i="4"/>
  <c r="AA20" i="4"/>
  <c r="Z20" i="4"/>
  <c r="Y20" i="4"/>
  <c r="O20" i="4" s="1"/>
  <c r="X20" i="4"/>
  <c r="W20" i="4"/>
  <c r="V20" i="4"/>
  <c r="U20" i="4"/>
  <c r="T20" i="4"/>
  <c r="S20" i="4"/>
  <c r="R20" i="4"/>
  <c r="AL20" i="4" s="1"/>
  <c r="Q20" i="4"/>
  <c r="N20" i="4"/>
  <c r="L20" i="4"/>
  <c r="K20" i="4"/>
  <c r="J20" i="4"/>
  <c r="I20" i="4"/>
  <c r="G20" i="4"/>
  <c r="F20" i="4"/>
  <c r="D20" i="4"/>
  <c r="DK19" i="4"/>
  <c r="CY19" i="4"/>
  <c r="CU19" i="4"/>
  <c r="CJ19" i="4"/>
  <c r="CF19" i="4"/>
  <c r="CE19" i="4"/>
  <c r="BJ19" i="4"/>
  <c r="AY19" i="4"/>
  <c r="H19" i="4" s="1"/>
  <c r="AS19" i="4"/>
  <c r="AP19" i="4"/>
  <c r="AN19" i="4"/>
  <c r="AK19" i="4"/>
  <c r="AJ19" i="4"/>
  <c r="AI19" i="4"/>
  <c r="AH19" i="4"/>
  <c r="AF19" i="4"/>
  <c r="AE19" i="4"/>
  <c r="AD19" i="4"/>
  <c r="AC19" i="4"/>
  <c r="AR19" i="4" s="1"/>
  <c r="AT19" i="4" s="1"/>
  <c r="AB19" i="4"/>
  <c r="AA19" i="4"/>
  <c r="Z19" i="4"/>
  <c r="Y19" i="4"/>
  <c r="O19" i="4" s="1"/>
  <c r="P19" i="4" s="1"/>
  <c r="X19" i="4"/>
  <c r="W19" i="4"/>
  <c r="V19" i="4"/>
  <c r="U19" i="4"/>
  <c r="T19" i="4"/>
  <c r="S19" i="4"/>
  <c r="R19" i="4"/>
  <c r="AL19" i="4" s="1"/>
  <c r="Q19" i="4"/>
  <c r="N19" i="4"/>
  <c r="L19" i="4"/>
  <c r="K19" i="4"/>
  <c r="J19" i="4"/>
  <c r="I19" i="4"/>
  <c r="G19" i="4"/>
  <c r="F19" i="4"/>
  <c r="D19" i="4"/>
  <c r="AM19" i="4" s="1"/>
  <c r="DK18" i="4"/>
  <c r="CY18" i="4"/>
  <c r="CU18" i="4"/>
  <c r="CJ18" i="4"/>
  <c r="CF18" i="4"/>
  <c r="CE18" i="4"/>
  <c r="BJ18" i="4"/>
  <c r="AY18" i="4"/>
  <c r="AS18" i="4"/>
  <c r="AP18" i="4"/>
  <c r="AN18" i="4"/>
  <c r="AJ18" i="4"/>
  <c r="AI18" i="4"/>
  <c r="AK18" i="4" s="1"/>
  <c r="AH18" i="4"/>
  <c r="AF18" i="4"/>
  <c r="AE18" i="4"/>
  <c r="AD18" i="4"/>
  <c r="AC18" i="4"/>
  <c r="AR18" i="4" s="1"/>
  <c r="AT18" i="4" s="1"/>
  <c r="AB18" i="4"/>
  <c r="AA18" i="4"/>
  <c r="Z18" i="4"/>
  <c r="Y18" i="4"/>
  <c r="O18" i="4" s="1"/>
  <c r="X18" i="4"/>
  <c r="W18" i="4"/>
  <c r="V18" i="4"/>
  <c r="U18" i="4"/>
  <c r="T18" i="4"/>
  <c r="S18" i="4"/>
  <c r="R18" i="4"/>
  <c r="AL18" i="4" s="1"/>
  <c r="Q18" i="4"/>
  <c r="N18" i="4"/>
  <c r="L18" i="4"/>
  <c r="K18" i="4"/>
  <c r="J18" i="4"/>
  <c r="I18" i="4"/>
  <c r="H18" i="4"/>
  <c r="G18" i="4"/>
  <c r="F18" i="4"/>
  <c r="D18" i="4"/>
  <c r="AM18" i="4" s="1"/>
  <c r="DK17" i="4"/>
  <c r="CY17" i="4"/>
  <c r="CU17" i="4"/>
  <c r="CJ17" i="4"/>
  <c r="CF17" i="4"/>
  <c r="AP17" i="4" s="1"/>
  <c r="AS17" i="4" s="1"/>
  <c r="CE17" i="4"/>
  <c r="BJ17" i="4"/>
  <c r="AY17" i="4"/>
  <c r="H17" i="4" s="1"/>
  <c r="AN17" i="4" s="1"/>
  <c r="AM17" i="4"/>
  <c r="AJ17" i="4"/>
  <c r="AI17" i="4"/>
  <c r="AH17" i="4"/>
  <c r="AF17" i="4"/>
  <c r="AE17" i="4"/>
  <c r="AD17" i="4"/>
  <c r="AC17" i="4"/>
  <c r="AR17" i="4" s="1"/>
  <c r="AT17" i="4" s="1"/>
  <c r="AB17" i="4"/>
  <c r="AA17" i="4"/>
  <c r="Z17" i="4"/>
  <c r="Y17" i="4"/>
  <c r="O17" i="4" s="1"/>
  <c r="X17" i="4"/>
  <c r="W17" i="4"/>
  <c r="V17" i="4"/>
  <c r="U17" i="4"/>
  <c r="AK17" i="4" s="1"/>
  <c r="T17" i="4"/>
  <c r="S17" i="4"/>
  <c r="R17" i="4"/>
  <c r="Q17" i="4"/>
  <c r="N17" i="4"/>
  <c r="L17" i="4"/>
  <c r="K17" i="4"/>
  <c r="J17" i="4"/>
  <c r="I17" i="4"/>
  <c r="AL17" i="4" s="1"/>
  <c r="G17" i="4"/>
  <c r="F17" i="4"/>
  <c r="D17" i="4"/>
  <c r="DK16" i="4"/>
  <c r="CY16" i="4"/>
  <c r="CU16" i="4"/>
  <c r="CJ16" i="4"/>
  <c r="CF16" i="4"/>
  <c r="AP16" i="4" s="1"/>
  <c r="CE16" i="4"/>
  <c r="BJ16" i="4"/>
  <c r="U16" i="4" s="1"/>
  <c r="AK16" i="4" s="1"/>
  <c r="AY16" i="4"/>
  <c r="AS16" i="4"/>
  <c r="AJ16" i="4"/>
  <c r="AI16" i="4"/>
  <c r="AH16" i="4"/>
  <c r="AF16" i="4"/>
  <c r="AE16" i="4"/>
  <c r="AD16" i="4"/>
  <c r="AC16" i="4"/>
  <c r="AR16" i="4" s="1"/>
  <c r="AT16" i="4" s="1"/>
  <c r="AB16" i="4"/>
  <c r="AA16" i="4"/>
  <c r="Z16" i="4"/>
  <c r="Y16" i="4"/>
  <c r="O16" i="4" s="1"/>
  <c r="X16" i="4"/>
  <c r="W16" i="4"/>
  <c r="V16" i="4"/>
  <c r="T16" i="4"/>
  <c r="S16" i="4"/>
  <c r="R16" i="4"/>
  <c r="AL16" i="4" s="1"/>
  <c r="Q16" i="4"/>
  <c r="N16" i="4"/>
  <c r="L16" i="4"/>
  <c r="K16" i="4"/>
  <c r="J16" i="4"/>
  <c r="I16" i="4"/>
  <c r="H16" i="4"/>
  <c r="AN16" i="4" s="1"/>
  <c r="G16" i="4"/>
  <c r="F16" i="4"/>
  <c r="D16" i="4"/>
  <c r="AM16" i="4" s="1"/>
  <c r="DK15" i="4"/>
  <c r="CY15" i="4"/>
  <c r="CU15" i="4"/>
  <c r="CJ15" i="4"/>
  <c r="CF15" i="4"/>
  <c r="CE15" i="4"/>
  <c r="BJ15" i="4"/>
  <c r="AY15" i="4"/>
  <c r="AP15" i="4"/>
  <c r="AS15" i="4" s="1"/>
  <c r="AK15" i="4"/>
  <c r="AJ15" i="4"/>
  <c r="AI15" i="4"/>
  <c r="AH15" i="4"/>
  <c r="AF15" i="4"/>
  <c r="AE15" i="4"/>
  <c r="AD15" i="4"/>
  <c r="AC15" i="4"/>
  <c r="AR15" i="4" s="1"/>
  <c r="AT15" i="4" s="1"/>
  <c r="AB15" i="4"/>
  <c r="AA15" i="4"/>
  <c r="Z15" i="4"/>
  <c r="Y15" i="4"/>
  <c r="O15" i="4" s="1"/>
  <c r="P15" i="4" s="1"/>
  <c r="X15" i="4"/>
  <c r="W15" i="4"/>
  <c r="V15" i="4"/>
  <c r="U15" i="4"/>
  <c r="T15" i="4"/>
  <c r="S15" i="4"/>
  <c r="R15" i="4"/>
  <c r="AL15" i="4" s="1"/>
  <c r="Q15" i="4"/>
  <c r="N15" i="4"/>
  <c r="L15" i="4"/>
  <c r="K15" i="4"/>
  <c r="J15" i="4"/>
  <c r="I15" i="4"/>
  <c r="H15" i="4"/>
  <c r="AN15" i="4" s="1"/>
  <c r="G15" i="4"/>
  <c r="F15" i="4"/>
  <c r="D15" i="4"/>
  <c r="AM15" i="4" s="1"/>
  <c r="DK14" i="4"/>
  <c r="CY14" i="4"/>
  <c r="CU14" i="4"/>
  <c r="CJ14" i="4"/>
  <c r="CF14" i="4"/>
  <c r="CE14" i="4"/>
  <c r="BJ14" i="4"/>
  <c r="AY14" i="4"/>
  <c r="H14" i="4" s="1"/>
  <c r="AN14" i="4" s="1"/>
  <c r="AP14" i="4"/>
  <c r="AS14" i="4" s="1"/>
  <c r="AM14" i="4"/>
  <c r="AJ14" i="4"/>
  <c r="AI14" i="4"/>
  <c r="AH14" i="4"/>
  <c r="AF14" i="4"/>
  <c r="AE14" i="4"/>
  <c r="AD14" i="4"/>
  <c r="AC14" i="4"/>
  <c r="AR14" i="4" s="1"/>
  <c r="AT14" i="4" s="1"/>
  <c r="AB14" i="4"/>
  <c r="AA14" i="4"/>
  <c r="Z14" i="4"/>
  <c r="Y14" i="4"/>
  <c r="O14" i="4" s="1"/>
  <c r="X14" i="4"/>
  <c r="W14" i="4"/>
  <c r="V14" i="4"/>
  <c r="U14" i="4"/>
  <c r="T14" i="4"/>
  <c r="S14" i="4"/>
  <c r="R14" i="4"/>
  <c r="AL14" i="4" s="1"/>
  <c r="Q14" i="4"/>
  <c r="N14" i="4"/>
  <c r="L14" i="4"/>
  <c r="K14" i="4"/>
  <c r="J14" i="4"/>
  <c r="I14" i="4"/>
  <c r="G14" i="4"/>
  <c r="F14" i="4"/>
  <c r="D14" i="4"/>
  <c r="DK13" i="4"/>
  <c r="CY13" i="4"/>
  <c r="CU13" i="4"/>
  <c r="CJ13" i="4"/>
  <c r="CF13" i="4"/>
  <c r="CE13" i="4"/>
  <c r="BJ13" i="4"/>
  <c r="AY13" i="4"/>
  <c r="H13" i="4" s="1"/>
  <c r="AN13" i="4" s="1"/>
  <c r="AS13" i="4"/>
  <c r="AP13" i="4"/>
  <c r="AK13" i="4"/>
  <c r="AJ13" i="4"/>
  <c r="AI13" i="4"/>
  <c r="AH13" i="4"/>
  <c r="AF13" i="4"/>
  <c r="AE13" i="4"/>
  <c r="AD13" i="4"/>
  <c r="AC13" i="4"/>
  <c r="AR13" i="4" s="1"/>
  <c r="AT13" i="4" s="1"/>
  <c r="AB13" i="4"/>
  <c r="AA13" i="4"/>
  <c r="Z13" i="4"/>
  <c r="Y13" i="4"/>
  <c r="O13" i="4" s="1"/>
  <c r="P13" i="4" s="1"/>
  <c r="X13" i="4"/>
  <c r="W13" i="4"/>
  <c r="V13" i="4"/>
  <c r="U13" i="4"/>
  <c r="T13" i="4"/>
  <c r="S13" i="4"/>
  <c r="R13" i="4"/>
  <c r="AL13" i="4" s="1"/>
  <c r="Q13" i="4"/>
  <c r="N13" i="4"/>
  <c r="L13" i="4"/>
  <c r="K13" i="4"/>
  <c r="J13" i="4"/>
  <c r="I13" i="4"/>
  <c r="G13" i="4"/>
  <c r="F13" i="4"/>
  <c r="D13" i="4"/>
  <c r="AM13" i="4" s="1"/>
  <c r="DK12" i="4"/>
  <c r="CY12" i="4"/>
  <c r="CU12" i="4"/>
  <c r="CJ12" i="4"/>
  <c r="CF12" i="4"/>
  <c r="CE12" i="4"/>
  <c r="BJ12" i="4"/>
  <c r="AY12" i="4"/>
  <c r="AS12" i="4"/>
  <c r="AP12" i="4"/>
  <c r="AN12" i="4"/>
  <c r="AJ12" i="4"/>
  <c r="AI12" i="4"/>
  <c r="AK12" i="4" s="1"/>
  <c r="AH12" i="4"/>
  <c r="AF12" i="4"/>
  <c r="AE12" i="4"/>
  <c r="AD12" i="4"/>
  <c r="AC12" i="4"/>
  <c r="AR12" i="4" s="1"/>
  <c r="AT12" i="4" s="1"/>
  <c r="AB12" i="4"/>
  <c r="AA12" i="4"/>
  <c r="Z12" i="4"/>
  <c r="Y12" i="4"/>
  <c r="O12" i="4" s="1"/>
  <c r="X12" i="4"/>
  <c r="W12" i="4"/>
  <c r="V12" i="4"/>
  <c r="U12" i="4"/>
  <c r="T12" i="4"/>
  <c r="S12" i="4"/>
  <c r="R12" i="4"/>
  <c r="Q12" i="4"/>
  <c r="N12" i="4"/>
  <c r="L12" i="4"/>
  <c r="K12" i="4"/>
  <c r="J12" i="4"/>
  <c r="I12" i="4"/>
  <c r="H12" i="4"/>
  <c r="G12" i="4"/>
  <c r="F12" i="4"/>
  <c r="D12" i="4"/>
  <c r="AM12" i="4" s="1"/>
  <c r="DK11" i="4"/>
  <c r="CY11" i="4"/>
  <c r="CU11" i="4"/>
  <c r="CJ11" i="4"/>
  <c r="CF11" i="4"/>
  <c r="AP11" i="4" s="1"/>
  <c r="AS11" i="4" s="1"/>
  <c r="CE11" i="4"/>
  <c r="BJ11" i="4"/>
  <c r="AY11" i="4"/>
  <c r="H11" i="4" s="1"/>
  <c r="AN11" i="4" s="1"/>
  <c r="AM11" i="4"/>
  <c r="AJ11" i="4"/>
  <c r="AI11" i="4"/>
  <c r="AH11" i="4"/>
  <c r="AF11" i="4"/>
  <c r="AE11" i="4"/>
  <c r="AD11" i="4"/>
  <c r="AC11" i="4"/>
  <c r="AR11" i="4" s="1"/>
  <c r="AT11" i="4" s="1"/>
  <c r="AB11" i="4"/>
  <c r="AA11" i="4"/>
  <c r="Z11" i="4"/>
  <c r="Y11" i="4"/>
  <c r="O11" i="4" s="1"/>
  <c r="X11" i="4"/>
  <c r="W11" i="4"/>
  <c r="V11" i="4"/>
  <c r="U11" i="4"/>
  <c r="AK11" i="4" s="1"/>
  <c r="T11" i="4"/>
  <c r="S11" i="4"/>
  <c r="R11" i="4"/>
  <c r="Q11" i="4"/>
  <c r="N11" i="4"/>
  <c r="L11" i="4"/>
  <c r="K11" i="4"/>
  <c r="J11" i="4"/>
  <c r="I11" i="4"/>
  <c r="AL11" i="4" s="1"/>
  <c r="G11" i="4"/>
  <c r="F11" i="4"/>
  <c r="D11" i="4"/>
  <c r="DK10" i="4"/>
  <c r="CY10" i="4"/>
  <c r="CU10" i="4"/>
  <c r="CJ10" i="4"/>
  <c r="CF10" i="4"/>
  <c r="AP10" i="4" s="1"/>
  <c r="CE10" i="4"/>
  <c r="BJ10" i="4"/>
  <c r="AY10" i="4"/>
  <c r="AS10" i="4"/>
  <c r="AJ10" i="4"/>
  <c r="AI10" i="4"/>
  <c r="AH10" i="4"/>
  <c r="AF10" i="4"/>
  <c r="AE10" i="4"/>
  <c r="AD10" i="4"/>
  <c r="AC10" i="4"/>
  <c r="AR10" i="4" s="1"/>
  <c r="AT10" i="4" s="1"/>
  <c r="AB10" i="4"/>
  <c r="AA10" i="4"/>
  <c r="Z10" i="4"/>
  <c r="Y10" i="4"/>
  <c r="O10" i="4" s="1"/>
  <c r="X10" i="4"/>
  <c r="W10" i="4"/>
  <c r="V10" i="4"/>
  <c r="U10" i="4"/>
  <c r="AK10" i="4" s="1"/>
  <c r="T10" i="4"/>
  <c r="S10" i="4"/>
  <c r="R10" i="4"/>
  <c r="AL10" i="4" s="1"/>
  <c r="Q10" i="4"/>
  <c r="N10" i="4"/>
  <c r="L10" i="4"/>
  <c r="K10" i="4"/>
  <c r="J10" i="4"/>
  <c r="I10" i="4"/>
  <c r="H10" i="4"/>
  <c r="AN10" i="4" s="1"/>
  <c r="G10" i="4"/>
  <c r="F10" i="4"/>
  <c r="D10" i="4"/>
  <c r="AM10" i="4" s="1"/>
  <c r="DK9" i="4"/>
  <c r="CY9" i="4"/>
  <c r="CU9" i="4"/>
  <c r="CJ9" i="4"/>
  <c r="CF9" i="4"/>
  <c r="CE9" i="4"/>
  <c r="BJ9" i="4"/>
  <c r="AY9" i="4"/>
  <c r="AP9" i="4"/>
  <c r="AS9" i="4" s="1"/>
  <c r="AK9" i="4"/>
  <c r="AJ9" i="4"/>
  <c r="AI9" i="4"/>
  <c r="AH9" i="4"/>
  <c r="AF9" i="4"/>
  <c r="AE9" i="4"/>
  <c r="AD9" i="4"/>
  <c r="AC9" i="4"/>
  <c r="AR9" i="4" s="1"/>
  <c r="AT9" i="4" s="1"/>
  <c r="AB9" i="4"/>
  <c r="AA9" i="4"/>
  <c r="Z9" i="4"/>
  <c r="Y9" i="4"/>
  <c r="O9" i="4" s="1"/>
  <c r="X9" i="4"/>
  <c r="W9" i="4"/>
  <c r="V9" i="4"/>
  <c r="U9" i="4"/>
  <c r="T9" i="4"/>
  <c r="S9" i="4"/>
  <c r="R9" i="4"/>
  <c r="AL9" i="4" s="1"/>
  <c r="Q9" i="4"/>
  <c r="N9" i="4"/>
  <c r="L9" i="4"/>
  <c r="K9" i="4"/>
  <c r="J9" i="4"/>
  <c r="I9" i="4"/>
  <c r="H9" i="4"/>
  <c r="AN9" i="4" s="1"/>
  <c r="G9" i="4"/>
  <c r="F9" i="4"/>
  <c r="D9" i="4"/>
  <c r="AM9" i="4" s="1"/>
  <c r="DK8" i="4"/>
  <c r="CY8" i="4"/>
  <c r="CU8" i="4"/>
  <c r="CJ8" i="4"/>
  <c r="CF8" i="4"/>
  <c r="CE8" i="4"/>
  <c r="BJ8" i="4"/>
  <c r="AY8" i="4"/>
  <c r="AR8" i="4"/>
  <c r="AT8" i="4" s="1"/>
  <c r="AP8" i="4"/>
  <c r="AS8" i="4" s="1"/>
  <c r="AM8" i="4"/>
  <c r="AJ8" i="4"/>
  <c r="AI8" i="4"/>
  <c r="AH8" i="4"/>
  <c r="AF8" i="4"/>
  <c r="AE8" i="4"/>
  <c r="AD8" i="4"/>
  <c r="AC8" i="4"/>
  <c r="AB8" i="4"/>
  <c r="AA8" i="4"/>
  <c r="Z8" i="4"/>
  <c r="Y8" i="4"/>
  <c r="O8" i="4" s="1"/>
  <c r="X8" i="4"/>
  <c r="W8" i="4"/>
  <c r="V8" i="4"/>
  <c r="U8" i="4"/>
  <c r="T8" i="4"/>
  <c r="S8" i="4"/>
  <c r="R8" i="4"/>
  <c r="Q8" i="4"/>
  <c r="N8" i="4"/>
  <c r="L8" i="4"/>
  <c r="K8" i="4"/>
  <c r="J8" i="4"/>
  <c r="I8" i="4"/>
  <c r="H8" i="4"/>
  <c r="AN8" i="4" s="1"/>
  <c r="G8" i="4"/>
  <c r="F8" i="4"/>
  <c r="D8" i="4"/>
  <c r="DK7" i="4"/>
  <c r="CY7" i="4"/>
  <c r="CJ7" i="4"/>
  <c r="CF7" i="4"/>
  <c r="AP7" i="4" s="1"/>
  <c r="AS7" i="4" s="1"/>
  <c r="CE7" i="4"/>
  <c r="BJ7" i="4"/>
  <c r="AY7" i="4"/>
  <c r="AM7" i="4"/>
  <c r="AK7" i="4"/>
  <c r="AJ7" i="4"/>
  <c r="AI7" i="4"/>
  <c r="AH7" i="4"/>
  <c r="AF7" i="4"/>
  <c r="AE7" i="4"/>
  <c r="AD7" i="4"/>
  <c r="AC7" i="4"/>
  <c r="AR7" i="4" s="1"/>
  <c r="AT7" i="4" s="1"/>
  <c r="AB7" i="4"/>
  <c r="AA7" i="4"/>
  <c r="Z7" i="4"/>
  <c r="Y7" i="4"/>
  <c r="O7" i="4" s="1"/>
  <c r="X7" i="4"/>
  <c r="W7" i="4"/>
  <c r="V7" i="4"/>
  <c r="U7" i="4"/>
  <c r="T7" i="4"/>
  <c r="S7" i="4"/>
  <c r="R7" i="4"/>
  <c r="AL7" i="4" s="1"/>
  <c r="Q7" i="4"/>
  <c r="N7" i="4"/>
  <c r="L7" i="4"/>
  <c r="K7" i="4"/>
  <c r="J7" i="4"/>
  <c r="I7" i="4"/>
  <c r="H7" i="4"/>
  <c r="AN7" i="4" s="1"/>
  <c r="G7" i="4"/>
  <c r="F7" i="4"/>
  <c r="D7" i="4"/>
  <c r="DK6" i="4"/>
  <c r="CY6" i="4"/>
  <c r="CJ6" i="4"/>
  <c r="CF6" i="4"/>
  <c r="AP6" i="4" s="1"/>
  <c r="AS6" i="4" s="1"/>
  <c r="CE6" i="4"/>
  <c r="AY6" i="4"/>
  <c r="AN6" i="4"/>
  <c r="AM6" i="4"/>
  <c r="AJ6" i="4"/>
  <c r="AI6" i="4"/>
  <c r="AH6" i="4"/>
  <c r="AF6" i="4"/>
  <c r="AE6" i="4"/>
  <c r="AD6" i="4"/>
  <c r="AC6" i="4"/>
  <c r="AR6" i="4" s="1"/>
  <c r="AT6" i="4" s="1"/>
  <c r="AB6" i="4"/>
  <c r="AA6" i="4"/>
  <c r="Z6" i="4"/>
  <c r="Y6" i="4"/>
  <c r="X6" i="4"/>
  <c r="W6" i="4"/>
  <c r="V6" i="4"/>
  <c r="U6" i="4"/>
  <c r="AK6" i="4" s="1"/>
  <c r="T6" i="4"/>
  <c r="S6" i="4"/>
  <c r="R6" i="4"/>
  <c r="Q6" i="4"/>
  <c r="O6" i="4"/>
  <c r="P6" i="4" s="1"/>
  <c r="N6" i="4"/>
  <c r="L6" i="4"/>
  <c r="K6" i="4"/>
  <c r="J6" i="4"/>
  <c r="I6" i="4"/>
  <c r="AL6" i="4" s="1"/>
  <c r="H6" i="4"/>
  <c r="G6" i="4"/>
  <c r="F6" i="4"/>
  <c r="D6" i="4"/>
  <c r="DK5" i="4"/>
  <c r="CY5" i="4"/>
  <c r="CJ5" i="4"/>
  <c r="CF5" i="4"/>
  <c r="AP5" i="4" s="1"/>
  <c r="AS5" i="4" s="1"/>
  <c r="CE5" i="4"/>
  <c r="AY5" i="4"/>
  <c r="AJ5" i="4"/>
  <c r="AI5" i="4"/>
  <c r="AH5" i="4"/>
  <c r="AF5" i="4"/>
  <c r="AE5" i="4"/>
  <c r="AD5" i="4"/>
  <c r="AC5" i="4"/>
  <c r="AR5" i="4" s="1"/>
  <c r="AT5" i="4" s="1"/>
  <c r="AB5" i="4"/>
  <c r="AA5" i="4"/>
  <c r="Z5" i="4"/>
  <c r="Y5" i="4"/>
  <c r="O5" i="4" s="1"/>
  <c r="X5" i="4"/>
  <c r="W5" i="4"/>
  <c r="V5" i="4"/>
  <c r="U5" i="4"/>
  <c r="AK5" i="4" s="1"/>
  <c r="T5" i="4"/>
  <c r="S5" i="4"/>
  <c r="R5" i="4"/>
  <c r="Q5" i="4"/>
  <c r="N5" i="4"/>
  <c r="L5" i="4"/>
  <c r="K5" i="4"/>
  <c r="J5" i="4"/>
  <c r="I5" i="4"/>
  <c r="H5" i="4"/>
  <c r="AN5" i="4" s="1"/>
  <c r="G5" i="4"/>
  <c r="F5" i="4"/>
  <c r="D5" i="4"/>
  <c r="AM5" i="4" s="1"/>
  <c r="DK4" i="4"/>
  <c r="CY4" i="4"/>
  <c r="CJ4" i="4"/>
  <c r="CF4" i="4"/>
  <c r="CE4" i="4"/>
  <c r="AY4" i="4"/>
  <c r="AP4" i="4"/>
  <c r="AS4" i="4" s="1"/>
  <c r="AO4" i="4"/>
  <c r="AN4" i="4"/>
  <c r="AM4" i="4"/>
  <c r="AK4" i="4"/>
  <c r="AJ4" i="4"/>
  <c r="AI4" i="4"/>
  <c r="AH4" i="4"/>
  <c r="AF4" i="4"/>
  <c r="AE4" i="4"/>
  <c r="AD4" i="4"/>
  <c r="AC4" i="4"/>
  <c r="AR4" i="4" s="1"/>
  <c r="AT4" i="4" s="1"/>
  <c r="AB4" i="4"/>
  <c r="AA4" i="4"/>
  <c r="Z4" i="4"/>
  <c r="Y4" i="4"/>
  <c r="O4" i="4" s="1"/>
  <c r="P4" i="4" s="1"/>
  <c r="X4" i="4"/>
  <c r="W4" i="4"/>
  <c r="V4" i="4"/>
  <c r="U4" i="4"/>
  <c r="T4" i="4"/>
  <c r="S4" i="4"/>
  <c r="R4" i="4"/>
  <c r="AL4" i="4" s="1"/>
  <c r="Q4" i="4"/>
  <c r="N4" i="4"/>
  <c r="L4" i="4"/>
  <c r="K4" i="4"/>
  <c r="J4" i="4"/>
  <c r="I4" i="4"/>
  <c r="H4" i="4"/>
  <c r="G4" i="4"/>
  <c r="F4" i="4"/>
  <c r="D4" i="4"/>
  <c r="E99" i="3"/>
  <c r="E97" i="3"/>
  <c r="B153" i="1" s="1"/>
  <c r="E96" i="3"/>
  <c r="B152" i="1" s="1"/>
  <c r="Q90" i="3"/>
  <c r="B454" i="1" s="1"/>
  <c r="Q89" i="3"/>
  <c r="Q109" i="3" s="1"/>
  <c r="B88" i="3"/>
  <c r="Q87" i="3"/>
  <c r="B87" i="3"/>
  <c r="E85" i="3"/>
  <c r="N82" i="3"/>
  <c r="E81" i="3"/>
  <c r="E80" i="3"/>
  <c r="N75" i="3"/>
  <c r="N80" i="3" s="1"/>
  <c r="B381" i="1" s="1"/>
  <c r="K71" i="3"/>
  <c r="K70" i="3"/>
  <c r="E64" i="3"/>
  <c r="N60" i="3"/>
  <c r="N66" i="3" s="1"/>
  <c r="B371" i="1" s="1"/>
  <c r="N57" i="3"/>
  <c r="B365" i="1" s="1"/>
  <c r="E55" i="3"/>
  <c r="N54" i="3"/>
  <c r="N50" i="3" s="1"/>
  <c r="N55" i="3" s="1"/>
  <c r="E53" i="3"/>
  <c r="B123" i="1" s="1"/>
  <c r="E49" i="3"/>
  <c r="I66" i="5" s="1"/>
  <c r="E48" i="3"/>
  <c r="B118" i="1" s="1"/>
  <c r="E47" i="3"/>
  <c r="B117" i="1" s="1"/>
  <c r="N46" i="3"/>
  <c r="E46" i="3"/>
  <c r="E45" i="3"/>
  <c r="E44" i="3"/>
  <c r="N43" i="3"/>
  <c r="B353" i="1" s="1"/>
  <c r="E43" i="3"/>
  <c r="B113" i="1" s="1"/>
  <c r="Q42" i="3"/>
  <c r="B415" i="1" s="1"/>
  <c r="E42" i="3"/>
  <c r="B112" i="1" s="1"/>
  <c r="E41" i="3"/>
  <c r="B111" i="1" s="1"/>
  <c r="E40" i="3"/>
  <c r="B171" i="3" s="1"/>
  <c r="B9" i="1" s="1"/>
  <c r="E39" i="3"/>
  <c r="K67" i="3" s="1"/>
  <c r="B296" i="1" s="1"/>
  <c r="Q38" i="3"/>
  <c r="B411" i="1" s="1"/>
  <c r="E38" i="3"/>
  <c r="E52" i="3" s="1"/>
  <c r="B122" i="1" s="1"/>
  <c r="E37" i="3"/>
  <c r="B107" i="1" s="1"/>
  <c r="N36" i="3"/>
  <c r="E36" i="3"/>
  <c r="D11" i="6" s="1"/>
  <c r="Q35" i="3"/>
  <c r="B408" i="1" s="1"/>
  <c r="E35" i="3"/>
  <c r="B106" i="1" s="1"/>
  <c r="E34" i="3"/>
  <c r="N33" i="3"/>
  <c r="N29" i="3" s="1"/>
  <c r="N34" i="3" s="1"/>
  <c r="B346" i="1" s="1"/>
  <c r="E33" i="3"/>
  <c r="B104" i="1" s="1"/>
  <c r="E32" i="3"/>
  <c r="B103" i="1" s="1"/>
  <c r="B30" i="3"/>
  <c r="B34" i="1" s="1"/>
  <c r="B27" i="3"/>
  <c r="B26" i="3"/>
  <c r="B82" i="3" s="1"/>
  <c r="B25" i="3"/>
  <c r="B71" i="3" s="1"/>
  <c r="B75" i="1" s="1"/>
  <c r="N24" i="3"/>
  <c r="E23" i="3"/>
  <c r="B97" i="1" s="1"/>
  <c r="Q22" i="3"/>
  <c r="B396" i="1" s="1"/>
  <c r="E22" i="3"/>
  <c r="B31" i="3" s="1"/>
  <c r="B35" i="1" s="1"/>
  <c r="E21" i="3"/>
  <c r="B96" i="1" s="1"/>
  <c r="B21" i="3"/>
  <c r="E20" i="3"/>
  <c r="B95" i="1" s="1"/>
  <c r="B20" i="3"/>
  <c r="Q19" i="3"/>
  <c r="E19" i="3"/>
  <c r="B94" i="1" s="1"/>
  <c r="E18" i="3"/>
  <c r="B93" i="1" s="1"/>
  <c r="Q17" i="3"/>
  <c r="N17" i="3"/>
  <c r="E17" i="3"/>
  <c r="B92" i="1" s="1"/>
  <c r="B17" i="3"/>
  <c r="B29" i="1" s="1"/>
  <c r="E16" i="3"/>
  <c r="B91" i="1" s="1"/>
  <c r="E15" i="3"/>
  <c r="E14" i="3"/>
  <c r="B89" i="1" s="1"/>
  <c r="B14" i="3"/>
  <c r="E13" i="3"/>
  <c r="B88" i="1" s="1"/>
  <c r="B13" i="3"/>
  <c r="E12" i="3"/>
  <c r="B87" i="1" s="1"/>
  <c r="E11" i="3"/>
  <c r="B86" i="1" s="1"/>
  <c r="E10" i="3"/>
  <c r="E9" i="3"/>
  <c r="B84" i="1" s="1"/>
  <c r="B9" i="3"/>
  <c r="Q49" i="3" s="1"/>
  <c r="B422" i="1" s="1"/>
  <c r="E8" i="3"/>
  <c r="B83" i="1" s="1"/>
  <c r="B8" i="3"/>
  <c r="Q40" i="3" s="1"/>
  <c r="B413" i="1" s="1"/>
  <c r="H7" i="3"/>
  <c r="B158" i="1" s="1"/>
  <c r="E7" i="3"/>
  <c r="B82" i="1" s="1"/>
  <c r="B7" i="3"/>
  <c r="B22" i="1" s="1"/>
  <c r="E6" i="3"/>
  <c r="B81" i="1" s="1"/>
  <c r="B6" i="3"/>
  <c r="B21" i="1" s="1"/>
  <c r="H5" i="3"/>
  <c r="B156" i="1" s="1"/>
  <c r="E5" i="3"/>
  <c r="B80" i="1" s="1"/>
  <c r="B5" i="3"/>
  <c r="B20" i="1" s="1"/>
  <c r="H4" i="3"/>
  <c r="B155" i="1" s="1"/>
  <c r="E4" i="3"/>
  <c r="B79" i="1" s="1"/>
  <c r="B525" i="1"/>
  <c r="B493" i="1"/>
  <c r="B492" i="1"/>
  <c r="B488" i="1"/>
  <c r="B453" i="1"/>
  <c r="B452" i="1"/>
  <c r="B383" i="1"/>
  <c r="B380" i="1"/>
  <c r="B379" i="1"/>
  <c r="B378" i="1"/>
  <c r="B370" i="1"/>
  <c r="B369" i="1"/>
  <c r="B368" i="1"/>
  <c r="B363" i="1"/>
  <c r="B362" i="1"/>
  <c r="B361" i="1"/>
  <c r="B360" i="1"/>
  <c r="B356" i="1"/>
  <c r="B352" i="1"/>
  <c r="B351" i="1"/>
  <c r="B348" i="1"/>
  <c r="B344" i="1"/>
  <c r="B343" i="1"/>
  <c r="B337" i="1"/>
  <c r="B336" i="1"/>
  <c r="B335" i="1"/>
  <c r="B334" i="1"/>
  <c r="B298" i="1"/>
  <c r="B149" i="1"/>
  <c r="B145" i="1"/>
  <c r="B141" i="1"/>
  <c r="B140" i="1"/>
  <c r="B137" i="1"/>
  <c r="B136" i="1"/>
  <c r="B125" i="1"/>
  <c r="B116" i="1"/>
  <c r="B115" i="1"/>
  <c r="B114" i="1"/>
  <c r="B105" i="1"/>
  <c r="B90" i="1"/>
  <c r="B85" i="1"/>
  <c r="B26" i="1"/>
  <c r="B25" i="1"/>
  <c r="B24" i="1"/>
  <c r="P52" i="4" l="1"/>
  <c r="P54" i="4"/>
  <c r="K19" i="11"/>
  <c r="K32" i="11"/>
  <c r="K28" i="11"/>
  <c r="K35" i="11"/>
  <c r="K30" i="11"/>
  <c r="K16" i="11"/>
  <c r="K29" i="11"/>
  <c r="K15" i="11"/>
  <c r="K14" i="11"/>
  <c r="K13" i="11"/>
  <c r="K33" i="11"/>
  <c r="K18" i="11"/>
  <c r="K20" i="11"/>
  <c r="Q18" i="3"/>
  <c r="Q39" i="3" s="1"/>
  <c r="B412" i="1" s="1"/>
  <c r="K12" i="11"/>
  <c r="K27" i="11"/>
  <c r="K25" i="11"/>
  <c r="E98" i="3"/>
  <c r="G5" i="2" s="1"/>
  <c r="K26" i="11"/>
  <c r="K24" i="11"/>
  <c r="K22" i="11"/>
  <c r="H10" i="3"/>
  <c r="B108" i="1"/>
  <c r="B119" i="1"/>
  <c r="B110" i="1"/>
  <c r="P14" i="4"/>
  <c r="P11" i="4"/>
  <c r="P17" i="4"/>
  <c r="P20" i="4"/>
  <c r="P64" i="4"/>
  <c r="K77" i="3"/>
  <c r="B48" i="3"/>
  <c r="B52" i="1" s="1"/>
  <c r="B57" i="3"/>
  <c r="B61" i="1" s="1"/>
  <c r="Q25" i="3"/>
  <c r="B399" i="1" s="1"/>
  <c r="K34" i="3"/>
  <c r="B268" i="1" s="1"/>
  <c r="B56" i="3"/>
  <c r="B60" i="1" s="1"/>
  <c r="B74" i="3"/>
  <c r="B78" i="1" s="1"/>
  <c r="B28" i="3"/>
  <c r="B32" i="1" s="1"/>
  <c r="B59" i="3"/>
  <c r="K39" i="3" s="1"/>
  <c r="B273" i="1" s="1"/>
  <c r="Q97" i="3"/>
  <c r="Q98" i="3" s="1"/>
  <c r="B457" i="1" s="1"/>
  <c r="B30" i="1"/>
  <c r="B43" i="3"/>
  <c r="B47" i="1" s="1"/>
  <c r="B60" i="3"/>
  <c r="B64" i="1" s="1"/>
  <c r="E50" i="3"/>
  <c r="Q77" i="3"/>
  <c r="Q82" i="3" s="1"/>
  <c r="B448" i="1" s="1"/>
  <c r="B31" i="1"/>
  <c r="I65" i="5"/>
  <c r="B32" i="3"/>
  <c r="B38" i="3"/>
  <c r="B42" i="1" s="1"/>
  <c r="B51" i="3"/>
  <c r="B55" i="1" s="1"/>
  <c r="B62" i="3"/>
  <c r="B66" i="1" s="1"/>
  <c r="H9" i="3"/>
  <c r="B33" i="3"/>
  <c r="B37" i="1" s="1"/>
  <c r="B39" i="3"/>
  <c r="B43" i="1" s="1"/>
  <c r="E54" i="3"/>
  <c r="B124" i="1" s="1"/>
  <c r="B68" i="3"/>
  <c r="B72" i="1" s="1"/>
  <c r="Q14" i="3"/>
  <c r="Q76" i="3" s="1"/>
  <c r="K66" i="3"/>
  <c r="K72" i="3" s="1"/>
  <c r="H42" i="3"/>
  <c r="Q125" i="3"/>
  <c r="K15" i="3"/>
  <c r="K101" i="3" s="1"/>
  <c r="B345" i="1"/>
  <c r="B23" i="1"/>
  <c r="Q10" i="3"/>
  <c r="Q13" i="3"/>
  <c r="B174" i="3"/>
  <c r="B12" i="1" s="1"/>
  <c r="B109" i="1"/>
  <c r="B487" i="1"/>
  <c r="B86" i="3"/>
  <c r="N9" i="3"/>
  <c r="K68" i="3"/>
  <c r="K81" i="3"/>
  <c r="B303" i="1" s="1"/>
  <c r="K8" i="3"/>
  <c r="N39" i="3"/>
  <c r="N44" i="3" s="1"/>
  <c r="B354" i="1" s="1"/>
  <c r="K74" i="3"/>
  <c r="B301" i="1" s="1"/>
  <c r="B392" i="1"/>
  <c r="Q11" i="3"/>
  <c r="B110" i="3"/>
  <c r="B515" i="1" s="1"/>
  <c r="I64" i="5"/>
  <c r="B37" i="3"/>
  <c r="B41" i="1" s="1"/>
  <c r="B44" i="3"/>
  <c r="B48" i="1" s="1"/>
  <c r="B63" i="3"/>
  <c r="B67" i="1" s="1"/>
  <c r="Q69" i="3"/>
  <c r="Q65" i="3"/>
  <c r="B435" i="1" s="1"/>
  <c r="Q12" i="3"/>
  <c r="Q61" i="3"/>
  <c r="B432" i="1" s="1"/>
  <c r="K82" i="3"/>
  <c r="N11" i="3"/>
  <c r="B136" i="3"/>
  <c r="E63" i="3"/>
  <c r="E61" i="3"/>
  <c r="E60" i="3"/>
  <c r="E62" i="3"/>
  <c r="Q9" i="3"/>
  <c r="Q41" i="3"/>
  <c r="B414" i="1" s="1"/>
  <c r="Q15" i="3"/>
  <c r="B70" i="3"/>
  <c r="B74" i="1" s="1"/>
  <c r="B65" i="3"/>
  <c r="B69" i="1" s="1"/>
  <c r="B66" i="3"/>
  <c r="B70" i="1" s="1"/>
  <c r="B67" i="3"/>
  <c r="B71" i="1" s="1"/>
  <c r="B64" i="3"/>
  <c r="B68" i="1" s="1"/>
  <c r="B47" i="3"/>
  <c r="B51" i="1" s="1"/>
  <c r="B45" i="3"/>
  <c r="B49" i="1" s="1"/>
  <c r="B34" i="3"/>
  <c r="B38" i="1" s="1"/>
  <c r="B29" i="3"/>
  <c r="B33" i="1" s="1"/>
  <c r="B53" i="3"/>
  <c r="B57" i="1" s="1"/>
  <c r="B40" i="3"/>
  <c r="B44" i="1" s="1"/>
  <c r="B55" i="3"/>
  <c r="B59" i="1" s="1"/>
  <c r="B52" i="3"/>
  <c r="B69" i="3"/>
  <c r="B73" i="1" s="1"/>
  <c r="B54" i="3"/>
  <c r="B36" i="3"/>
  <c r="B40" i="1" s="1"/>
  <c r="B61" i="3"/>
  <c r="B65" i="1" s="1"/>
  <c r="B58" i="3"/>
  <c r="B62" i="1" s="1"/>
  <c r="B50" i="3"/>
  <c r="B54" i="1" s="1"/>
  <c r="B35" i="3"/>
  <c r="B39" i="1" s="1"/>
  <c r="B42" i="3"/>
  <c r="B46" i="1" s="1"/>
  <c r="B49" i="3"/>
  <c r="B53" i="1" s="1"/>
  <c r="Q57" i="3"/>
  <c r="B429" i="1" s="1"/>
  <c r="Q53" i="3"/>
  <c r="B426" i="1" s="1"/>
  <c r="Q91" i="3"/>
  <c r="B109" i="3"/>
  <c r="B514" i="1" s="1"/>
  <c r="Q24" i="3"/>
  <c r="B398" i="1" s="1"/>
  <c r="Q16" i="3"/>
  <c r="I28" i="5"/>
  <c r="B111" i="3"/>
  <c r="B516" i="1" s="1"/>
  <c r="Q99" i="3"/>
  <c r="Q110" i="3"/>
  <c r="Q45" i="3"/>
  <c r="B418" i="1" s="1"/>
  <c r="AL5" i="4"/>
  <c r="P5" i="4" s="1"/>
  <c r="AL12" i="4"/>
  <c r="P12" i="4" s="1"/>
  <c r="P9" i="4"/>
  <c r="P22" i="4"/>
  <c r="P47" i="4"/>
  <c r="P50" i="4"/>
  <c r="P60" i="4"/>
  <c r="AK20" i="4"/>
  <c r="P7" i="4"/>
  <c r="AL8" i="4"/>
  <c r="P8" i="4" s="1"/>
  <c r="P16" i="4"/>
  <c r="P31" i="4"/>
  <c r="P56" i="4"/>
  <c r="Q112" i="3"/>
  <c r="Q124" i="3"/>
  <c r="AK14" i="4"/>
  <c r="P35" i="4"/>
  <c r="AK8" i="4"/>
  <c r="P10" i="4"/>
  <c r="B41" i="3" s="1"/>
  <c r="B45" i="1" s="1"/>
  <c r="P58" i="4"/>
  <c r="P18" i="4"/>
  <c r="E75" i="3" l="1"/>
  <c r="E87" i="3" s="1"/>
  <c r="B143" i="1" s="1"/>
  <c r="B73" i="3"/>
  <c r="B77" i="1" s="1"/>
  <c r="G4" i="2"/>
  <c r="B58" i="1"/>
  <c r="D33" i="6"/>
  <c r="B154" i="1"/>
  <c r="B393" i="1"/>
  <c r="I11" i="14"/>
  <c r="Q37" i="3" s="1"/>
  <c r="B410" i="1" s="1"/>
  <c r="B19" i="3"/>
  <c r="B46" i="3"/>
  <c r="B50" i="1" s="1"/>
  <c r="K43" i="3"/>
  <c r="E76" i="3"/>
  <c r="E78" i="3" s="1"/>
  <c r="N51" i="3"/>
  <c r="N56" i="3" s="1"/>
  <c r="B364" i="1" s="1"/>
  <c r="Q104" i="3"/>
  <c r="Q103" i="3" s="1"/>
  <c r="B389" i="1"/>
  <c r="B84" i="3"/>
  <c r="B489" i="1" s="1"/>
  <c r="E25" i="3"/>
  <c r="B99" i="1" s="1"/>
  <c r="B77" i="3"/>
  <c r="B444" i="1"/>
  <c r="B299" i="1"/>
  <c r="D3" i="6"/>
  <c r="E51" i="3"/>
  <c r="B121" i="1" s="1"/>
  <c r="B120" i="1"/>
  <c r="D4" i="6"/>
  <c r="B168" i="3"/>
  <c r="B6" i="1" s="1"/>
  <c r="B75" i="3"/>
  <c r="B165" i="3"/>
  <c r="B3" i="1" s="1"/>
  <c r="B63" i="1"/>
  <c r="B76" i="3"/>
  <c r="B78" i="3"/>
  <c r="E77" i="3"/>
  <c r="B36" i="1"/>
  <c r="B123" i="3"/>
  <c r="C2" i="1" s="1"/>
  <c r="K73" i="3"/>
  <c r="B300" i="1" s="1"/>
  <c r="K57" i="3"/>
  <c r="K16" i="3"/>
  <c r="B254" i="1"/>
  <c r="K26" i="3"/>
  <c r="B262" i="1" s="1"/>
  <c r="B72" i="3"/>
  <c r="B76" i="1" s="1"/>
  <c r="N4" i="3"/>
  <c r="N18" i="3" s="1"/>
  <c r="N5" i="3"/>
  <c r="N6" i="3" s="1"/>
  <c r="N8" i="3" s="1"/>
  <c r="B145" i="3"/>
  <c r="B550" i="1" s="1"/>
  <c r="B131" i="3"/>
  <c r="B536" i="1" s="1"/>
  <c r="B103" i="3"/>
  <c r="B100" i="3"/>
  <c r="B505" i="1" s="1"/>
  <c r="B144" i="3"/>
  <c r="B549" i="1" s="1"/>
  <c r="B95" i="3"/>
  <c r="B500" i="1" s="1"/>
  <c r="B143" i="3"/>
  <c r="B548" i="1" s="1"/>
  <c r="B130" i="3"/>
  <c r="B535" i="1" s="1"/>
  <c r="B162" i="3"/>
  <c r="F13" i="1" s="1"/>
  <c r="G13" i="1" s="1"/>
  <c r="B115" i="3"/>
  <c r="B520" i="1" s="1"/>
  <c r="B147" i="3"/>
  <c r="B552" i="1" s="1"/>
  <c r="B98" i="3"/>
  <c r="B503" i="1" s="1"/>
  <c r="B128" i="3"/>
  <c r="B533" i="1" s="1"/>
  <c r="B148" i="3"/>
  <c r="B553" i="1" s="1"/>
  <c r="B104" i="3"/>
  <c r="B509" i="1" s="1"/>
  <c r="B99" i="3"/>
  <c r="B504" i="1" s="1"/>
  <c r="B142" i="3"/>
  <c r="B547" i="1" s="1"/>
  <c r="B129" i="3"/>
  <c r="B534" i="1" s="1"/>
  <c r="B114" i="3"/>
  <c r="B519" i="1" s="1"/>
  <c r="B85" i="3"/>
  <c r="B93" i="3" s="1"/>
  <c r="B498" i="1" s="1"/>
  <c r="B146" i="3"/>
  <c r="B551" i="1" s="1"/>
  <c r="B96" i="3"/>
  <c r="B501" i="1" s="1"/>
  <c r="B97" i="3"/>
  <c r="B502" i="1" s="1"/>
  <c r="B116" i="3"/>
  <c r="B521" i="1" s="1"/>
  <c r="B491" i="1"/>
  <c r="B141" i="3"/>
  <c r="B546" i="1" s="1"/>
  <c r="B91" i="3"/>
  <c r="B496" i="1" s="1"/>
  <c r="I72" i="5"/>
  <c r="Q81" i="3"/>
  <c r="B390" i="1"/>
  <c r="K52" i="3"/>
  <c r="B284" i="1" s="1"/>
  <c r="B249" i="1"/>
  <c r="K35" i="3"/>
  <c r="K23" i="3"/>
  <c r="B260" i="1" s="1"/>
  <c r="K36" i="3"/>
  <c r="B270" i="1" s="1"/>
  <c r="Q108" i="3"/>
  <c r="B466" i="1" s="1"/>
  <c r="Q100" i="3"/>
  <c r="B458" i="1" s="1"/>
  <c r="Q139" i="3"/>
  <c r="Q127" i="3"/>
  <c r="Q140" i="3"/>
  <c r="B455" i="1"/>
  <c r="C8" i="1"/>
  <c r="C9" i="1" s="1"/>
  <c r="B541" i="1"/>
  <c r="Q60" i="3"/>
  <c r="B385" i="1"/>
  <c r="Q72" i="3"/>
  <c r="B388" i="1"/>
  <c r="Q119" i="3"/>
  <c r="B472" i="1" s="1"/>
  <c r="Q113" i="3"/>
  <c r="B467" i="1" s="1"/>
  <c r="B328" i="1"/>
  <c r="K98" i="3"/>
  <c r="K100" i="3"/>
  <c r="B321" i="1" s="1"/>
  <c r="K95" i="3"/>
  <c r="B316" i="1" s="1"/>
  <c r="K92" i="3"/>
  <c r="B313" i="1" s="1"/>
  <c r="K99" i="3"/>
  <c r="K91" i="3"/>
  <c r="B312" i="1" s="1"/>
  <c r="K96" i="3"/>
  <c r="K93" i="3"/>
  <c r="B314" i="1" s="1"/>
  <c r="K94" i="3"/>
  <c r="K97" i="3"/>
  <c r="Q86" i="3"/>
  <c r="B391" i="1"/>
  <c r="B276" i="1"/>
  <c r="Q64" i="3"/>
  <c r="B386" i="1"/>
  <c r="Q68" i="3"/>
  <c r="B387" i="1"/>
  <c r="Q56" i="3"/>
  <c r="B384" i="1"/>
  <c r="Q26" i="3"/>
  <c r="I27" i="5"/>
  <c r="B15" i="3"/>
  <c r="Q73" i="3"/>
  <c r="B441" i="1" s="1"/>
  <c r="B438" i="1"/>
  <c r="E24" i="3"/>
  <c r="E1" i="3"/>
  <c r="B56" i="1"/>
  <c r="N72" i="3"/>
  <c r="B327" i="1"/>
  <c r="N49" i="3"/>
  <c r="N28" i="3"/>
  <c r="B131" i="1" l="1"/>
  <c r="E82" i="3"/>
  <c r="B138" i="1" s="1"/>
  <c r="E86" i="3"/>
  <c r="B142" i="1" s="1"/>
  <c r="B107" i="3"/>
  <c r="B512" i="1" s="1"/>
  <c r="B359" i="1"/>
  <c r="B122" i="3"/>
  <c r="B527" i="1" s="1"/>
  <c r="B117" i="3"/>
  <c r="B522" i="1" s="1"/>
  <c r="B124" i="3"/>
  <c r="B529" i="1" s="1"/>
  <c r="D12" i="6"/>
  <c r="B462" i="1"/>
  <c r="C3" i="1"/>
  <c r="B132" i="1"/>
  <c r="B528" i="1"/>
  <c r="D13" i="6"/>
  <c r="D5" i="6" s="1"/>
  <c r="D6" i="6" s="1"/>
  <c r="D10" i="6"/>
  <c r="E79" i="3"/>
  <c r="B133" i="1"/>
  <c r="B108" i="3"/>
  <c r="B513" i="1" s="1"/>
  <c r="C12" i="1"/>
  <c r="Q107" i="3"/>
  <c r="B465" i="1" s="1"/>
  <c r="B135" i="3"/>
  <c r="B540" i="1" s="1"/>
  <c r="B288" i="1"/>
  <c r="B132" i="3"/>
  <c r="B537" i="1" s="1"/>
  <c r="K58" i="3"/>
  <c r="B289" i="1" s="1"/>
  <c r="K44" i="3"/>
  <c r="K27" i="3"/>
  <c r="K24" i="3" s="1"/>
  <c r="K4" i="1" s="1"/>
  <c r="B133" i="3"/>
  <c r="B538" i="1" s="1"/>
  <c r="B134" i="3"/>
  <c r="B539" i="1" s="1"/>
  <c r="K13" i="3"/>
  <c r="B157" i="3"/>
  <c r="F8" i="1" s="1"/>
  <c r="G8" i="1" s="1"/>
  <c r="B341" i="1"/>
  <c r="B318" i="1"/>
  <c r="N13" i="3"/>
  <c r="B330" i="1" s="1"/>
  <c r="B461" i="1"/>
  <c r="J8" i="1"/>
  <c r="B101" i="3"/>
  <c r="B506" i="1" s="1"/>
  <c r="B102" i="3"/>
  <c r="B507" i="1" s="1"/>
  <c r="B508" i="1"/>
  <c r="I69" i="5"/>
  <c r="I26" i="5"/>
  <c r="B158" i="3"/>
  <c r="F9" i="1" s="1"/>
  <c r="G9" i="1" s="1"/>
  <c r="B358" i="1"/>
  <c r="B315" i="1"/>
  <c r="B16" i="3"/>
  <c r="H95" i="3"/>
  <c r="B240" i="1" s="1"/>
  <c r="B150" i="3"/>
  <c r="B555" i="1" s="1"/>
  <c r="N40" i="3"/>
  <c r="N30" i="3"/>
  <c r="N25" i="3"/>
  <c r="B339" i="1" s="1"/>
  <c r="N23" i="3"/>
  <c r="B338" i="1" s="1"/>
  <c r="B333" i="1"/>
  <c r="E88" i="3"/>
  <c r="B134" i="1"/>
  <c r="C6" i="1"/>
  <c r="E74" i="3"/>
  <c r="B130" i="1" s="1"/>
  <c r="K54" i="3"/>
  <c r="B286" i="1" s="1"/>
  <c r="B27" i="1"/>
  <c r="N58" i="3"/>
  <c r="B366" i="1" s="1"/>
  <c r="B374" i="1"/>
  <c r="N12" i="3"/>
  <c r="B317" i="1"/>
  <c r="N15" i="3"/>
  <c r="B332" i="1" s="1"/>
  <c r="B320" i="1"/>
  <c r="B269" i="1"/>
  <c r="B98" i="1"/>
  <c r="E56" i="3"/>
  <c r="N73" i="3" s="1"/>
  <c r="B375" i="1" s="1"/>
  <c r="Q118" i="3"/>
  <c r="B471" i="1" s="1"/>
  <c r="B105" i="3"/>
  <c r="B510" i="1" s="1"/>
  <c r="B490" i="1"/>
  <c r="B118" i="3"/>
  <c r="B523" i="1" s="1"/>
  <c r="B106" i="3"/>
  <c r="B511" i="1" s="1"/>
  <c r="N14" i="3"/>
  <c r="B319" i="1"/>
  <c r="E83" i="3"/>
  <c r="B139" i="1" s="1"/>
  <c r="Q30" i="3"/>
  <c r="B404" i="1" s="1"/>
  <c r="B400" i="1"/>
  <c r="Q134" i="3"/>
  <c r="B482" i="1" s="1"/>
  <c r="Q128" i="3"/>
  <c r="B477" i="1" s="1"/>
  <c r="B149" i="3"/>
  <c r="B554" i="1" s="1"/>
  <c r="K29" i="3" l="1"/>
  <c r="B264" i="1" s="1"/>
  <c r="B127" i="3"/>
  <c r="B532" i="1" s="1"/>
  <c r="D7" i="6"/>
  <c r="D20" i="6" s="1"/>
  <c r="E27" i="3"/>
  <c r="B101" i="1" s="1"/>
  <c r="D8" i="6"/>
  <c r="D21" i="6" s="1"/>
  <c r="B119" i="3"/>
  <c r="B524" i="1" s="1"/>
  <c r="E28" i="3"/>
  <c r="B102" i="1" s="1"/>
  <c r="B135" i="1"/>
  <c r="E92" i="3"/>
  <c r="K30" i="3"/>
  <c r="B265" i="1" s="1"/>
  <c r="K28" i="3"/>
  <c r="Q101" i="3" s="1"/>
  <c r="B459" i="1" s="1"/>
  <c r="K5" i="1"/>
  <c r="K55" i="3"/>
  <c r="K60" i="3" s="1"/>
  <c r="B291" i="1" s="1"/>
  <c r="K17" i="3"/>
  <c r="K18" i="3"/>
  <c r="K3" i="1"/>
  <c r="K19" i="3"/>
  <c r="B257" i="1" s="1"/>
  <c r="K2" i="1"/>
  <c r="B277" i="1"/>
  <c r="K41" i="3"/>
  <c r="B329" i="1"/>
  <c r="N69" i="3"/>
  <c r="B331" i="1"/>
  <c r="H96" i="3"/>
  <c r="B113" i="3"/>
  <c r="N35" i="3"/>
  <c r="B347" i="1" s="1"/>
  <c r="B342" i="1"/>
  <c r="I25" i="5"/>
  <c r="Q95" i="3"/>
  <c r="B456" i="1" s="1"/>
  <c r="E73" i="3"/>
  <c r="B129" i="1" s="1"/>
  <c r="B28" i="1"/>
  <c r="Q20" i="3"/>
  <c r="B394" i="1" s="1"/>
  <c r="E90" i="3"/>
  <c r="B146" i="1" s="1"/>
  <c r="B144" i="1"/>
  <c r="N45" i="3"/>
  <c r="B355" i="1" s="1"/>
  <c r="B350" i="1"/>
  <c r="Q133" i="3"/>
  <c r="B481" i="1" s="1"/>
  <c r="B112" i="3"/>
  <c r="B126" i="1"/>
  <c r="N74" i="3"/>
  <c r="B376" i="1" s="1"/>
  <c r="K8" i="1"/>
  <c r="L8" i="1"/>
  <c r="Q135" i="3" l="1"/>
  <c r="B483" i="1" s="1"/>
  <c r="Q105" i="3"/>
  <c r="B463" i="1" s="1"/>
  <c r="Q120" i="3"/>
  <c r="B473" i="1" s="1"/>
  <c r="E58" i="3"/>
  <c r="N47" i="3" s="1"/>
  <c r="B357" i="1" s="1"/>
  <c r="Q4" i="3"/>
  <c r="B263" i="1"/>
  <c r="B121" i="3"/>
  <c r="B526" i="1" s="1"/>
  <c r="E91" i="3"/>
  <c r="B147" i="1" s="1"/>
  <c r="B148" i="1"/>
  <c r="E94" i="3"/>
  <c r="B150" i="1" s="1"/>
  <c r="B138" i="3"/>
  <c r="B543" i="1" s="1"/>
  <c r="K59" i="3"/>
  <c r="B290" i="1" s="1"/>
  <c r="K61" i="3"/>
  <c r="B292" i="1" s="1"/>
  <c r="B256" i="1"/>
  <c r="K4" i="3"/>
  <c r="K7" i="3"/>
  <c r="K106" i="3"/>
  <c r="B326" i="1" s="1"/>
  <c r="K21" i="3"/>
  <c r="Q23" i="3"/>
  <c r="B397" i="1" s="1"/>
  <c r="B255" i="1"/>
  <c r="K6" i="1"/>
  <c r="K46" i="3"/>
  <c r="Q131" i="3" s="1"/>
  <c r="B479" i="1" s="1"/>
  <c r="K45" i="3"/>
  <c r="K47" i="3"/>
  <c r="B280" i="1" s="1"/>
  <c r="B518" i="1"/>
  <c r="B125" i="3"/>
  <c r="B530" i="1" s="1"/>
  <c r="B517" i="1"/>
  <c r="B126" i="3"/>
  <c r="B531" i="1" s="1"/>
  <c r="K65" i="3" l="1"/>
  <c r="B295" i="1" s="1"/>
  <c r="B128" i="1"/>
  <c r="N37" i="3"/>
  <c r="B349" i="1" s="1"/>
  <c r="N26" i="3"/>
  <c r="B340" i="1" s="1"/>
  <c r="B139" i="3"/>
  <c r="B544" i="1" s="1"/>
  <c r="E95" i="3"/>
  <c r="B151" i="1" s="1"/>
  <c r="K12" i="3"/>
  <c r="B252" i="1" s="1"/>
  <c r="B259" i="1"/>
  <c r="K11" i="3"/>
  <c r="Q63" i="3" s="1"/>
  <c r="B434" i="1" s="1"/>
  <c r="K49" i="3"/>
  <c r="K50" i="3"/>
  <c r="B283" i="1" s="1"/>
  <c r="K32" i="3"/>
  <c r="Q33" i="3"/>
  <c r="B407" i="1" s="1"/>
  <c r="Q126" i="3"/>
  <c r="Q29" i="3"/>
  <c r="Q96" i="3"/>
  <c r="B278" i="1"/>
  <c r="Q27" i="3"/>
  <c r="B401" i="1" s="1"/>
  <c r="Q111" i="3"/>
  <c r="Q116" i="3"/>
  <c r="B469" i="1" s="1"/>
  <c r="B279" i="1"/>
  <c r="I44" i="5"/>
  <c r="Q78" i="3"/>
  <c r="Q31" i="3"/>
  <c r="N7" i="3" l="1"/>
  <c r="N76" i="3" s="1"/>
  <c r="Q59" i="3"/>
  <c r="B431" i="1" s="1"/>
  <c r="Q84" i="3"/>
  <c r="Q75" i="3" s="1"/>
  <c r="B443" i="1" s="1"/>
  <c r="K14" i="3"/>
  <c r="B267" i="1"/>
  <c r="Q83" i="3"/>
  <c r="B449" i="1" s="1"/>
  <c r="B445" i="1"/>
  <c r="K6" i="3"/>
  <c r="K25" i="3" s="1"/>
  <c r="B261" i="1" s="1"/>
  <c r="Q71" i="3"/>
  <c r="B440" i="1" s="1"/>
  <c r="Q47" i="3"/>
  <c r="B420" i="1" s="1"/>
  <c r="Q79" i="3"/>
  <c r="B446" i="1" s="1"/>
  <c r="B282" i="1"/>
  <c r="K56" i="3"/>
  <c r="Q67" i="3"/>
  <c r="B437" i="1" s="1"/>
  <c r="Q55" i="3"/>
  <c r="B428" i="1" s="1"/>
  <c r="Q43" i="3"/>
  <c r="B416" i="1" s="1"/>
  <c r="B403" i="1"/>
  <c r="Q46" i="3"/>
  <c r="B419" i="1" s="1"/>
  <c r="B251" i="1"/>
  <c r="Q51" i="3"/>
  <c r="B424" i="1" s="1"/>
  <c r="K37" i="3"/>
  <c r="B271" i="1" s="1"/>
  <c r="B405" i="1"/>
  <c r="Q50" i="3"/>
  <c r="B423" i="1" s="1"/>
  <c r="N61" i="3" l="1"/>
  <c r="N68" i="3" s="1"/>
  <c r="N62" i="3" s="1"/>
  <c r="J4" i="1" s="1"/>
  <c r="B450" i="1"/>
  <c r="Q48" i="3"/>
  <c r="B421" i="1" s="1"/>
  <c r="Q44" i="3"/>
  <c r="B417" i="1" s="1"/>
  <c r="K31" i="3"/>
  <c r="B266" i="1" s="1"/>
  <c r="Q6" i="3"/>
  <c r="K10" i="3"/>
  <c r="K20" i="3"/>
  <c r="B258" i="1" s="1"/>
  <c r="B253" i="1"/>
  <c r="J3" i="1"/>
  <c r="J2" i="1"/>
  <c r="I4" i="5"/>
  <c r="B151" i="3"/>
  <c r="B154" i="3"/>
  <c r="F5" i="1" s="1"/>
  <c r="G5" i="1" s="1"/>
  <c r="K42" i="3"/>
  <c r="K48" i="3" s="1"/>
  <c r="B287" i="1"/>
  <c r="K53" i="3"/>
  <c r="B285" i="1" s="1"/>
  <c r="K62" i="3"/>
  <c r="B293" i="1" s="1"/>
  <c r="Q7" i="3"/>
  <c r="Q52" i="3"/>
  <c r="B425" i="1" s="1"/>
  <c r="N81" i="3"/>
  <c r="B382" i="1" s="1"/>
  <c r="B377" i="1"/>
  <c r="J5" i="1" l="1"/>
  <c r="J6" i="1"/>
  <c r="L6" i="1" s="1"/>
  <c r="I3" i="5"/>
  <c r="C36" i="5" s="1"/>
  <c r="B152" i="3"/>
  <c r="F3" i="1" s="1"/>
  <c r="G3" i="1" s="1"/>
  <c r="H104" i="3"/>
  <c r="B160" i="3" s="1"/>
  <c r="F11" i="1" s="1"/>
  <c r="G11" i="1" s="1"/>
  <c r="B153" i="3"/>
  <c r="F4" i="1" s="1"/>
  <c r="G4" i="1" s="1"/>
  <c r="I18" i="5"/>
  <c r="Q54" i="3"/>
  <c r="Q28" i="3"/>
  <c r="B402" i="1" s="1"/>
  <c r="Q32" i="3"/>
  <c r="B406" i="1" s="1"/>
  <c r="Q21" i="3"/>
  <c r="B250" i="1"/>
  <c r="H103" i="3"/>
  <c r="H99" i="3" s="1"/>
  <c r="B556" i="1"/>
  <c r="F2" i="1"/>
  <c r="G2" i="1" s="1"/>
  <c r="I43" i="5"/>
  <c r="I48" i="5"/>
  <c r="I47" i="5" s="1"/>
  <c r="I40" i="5"/>
  <c r="I39" i="5" s="1"/>
  <c r="B275" i="1"/>
  <c r="Q114" i="3"/>
  <c r="Q115" i="3" s="1"/>
  <c r="B468" i="1" s="1"/>
  <c r="N67" i="3"/>
  <c r="B372" i="1" s="1"/>
  <c r="B367" i="1"/>
  <c r="N70" i="3"/>
  <c r="B373" i="1" s="1"/>
  <c r="R55" i="3"/>
  <c r="B90" i="3"/>
  <c r="B89" i="3"/>
  <c r="B281" i="1"/>
  <c r="I67" i="5"/>
  <c r="I68" i="5"/>
  <c r="D36" i="5" l="1"/>
  <c r="E36" i="5"/>
  <c r="I38" i="5"/>
  <c r="I42" i="5" s="1"/>
  <c r="D48" i="5" s="1"/>
  <c r="I46" i="5"/>
  <c r="I45" i="5" s="1"/>
  <c r="I53" i="5" s="1"/>
  <c r="B557" i="1"/>
  <c r="I17" i="5"/>
  <c r="B36" i="5"/>
  <c r="I63" i="5"/>
  <c r="B18" i="5" s="1"/>
  <c r="D18" i="5" s="1"/>
  <c r="B494" i="1"/>
  <c r="B94" i="3"/>
  <c r="B499" i="1" s="1"/>
  <c r="B161" i="3"/>
  <c r="F12" i="1" s="1"/>
  <c r="G12" i="1" s="1"/>
  <c r="B173" i="3"/>
  <c r="B159" i="3"/>
  <c r="F10" i="1" s="1"/>
  <c r="G10" i="1" s="1"/>
  <c r="K38" i="3"/>
  <c r="I22" i="5" s="1"/>
  <c r="I21" i="5" s="1"/>
  <c r="B248" i="1"/>
  <c r="C6" i="7"/>
  <c r="I14" i="5"/>
  <c r="B167" i="3"/>
  <c r="I6" i="5"/>
  <c r="I5" i="5" s="1"/>
  <c r="H102" i="3"/>
  <c r="H100" i="3"/>
  <c r="B244" i="1" s="1"/>
  <c r="B92" i="3"/>
  <c r="B497" i="1" s="1"/>
  <c r="I55" i="5"/>
  <c r="Q129" i="3"/>
  <c r="Q130" i="3" s="1"/>
  <c r="B478" i="1" s="1"/>
  <c r="Q123" i="3"/>
  <c r="B476" i="1" s="1"/>
  <c r="D9" i="7"/>
  <c r="B243" i="1"/>
  <c r="H97" i="3"/>
  <c r="B241" i="1" s="1"/>
  <c r="B155" i="3"/>
  <c r="F6" i="1" s="1"/>
  <c r="G6" i="1" s="1"/>
  <c r="D8" i="7"/>
  <c r="H101" i="3"/>
  <c r="B245" i="1" s="1"/>
  <c r="I8" i="5"/>
  <c r="B247" i="1"/>
  <c r="I24" i="5"/>
  <c r="B164" i="3"/>
  <c r="I16" i="5"/>
  <c r="I20" i="5"/>
  <c r="B156" i="3"/>
  <c r="F7" i="1" s="1"/>
  <c r="G7" i="1" s="1"/>
  <c r="J9" i="1"/>
  <c r="L9" i="1" s="1"/>
  <c r="J12" i="1"/>
  <c r="L12" i="1" s="1"/>
  <c r="J11" i="1"/>
  <c r="L11" i="1" s="1"/>
  <c r="J10" i="1"/>
  <c r="L10" i="1" s="1"/>
  <c r="Q66" i="3"/>
  <c r="B436" i="1" s="1"/>
  <c r="Q36" i="3"/>
  <c r="B409" i="1" s="1"/>
  <c r="B427" i="1"/>
  <c r="Q70" i="3"/>
  <c r="B439" i="1" s="1"/>
  <c r="Q74" i="3"/>
  <c r="B442" i="1" s="1"/>
  <c r="Q62" i="3"/>
  <c r="B433" i="1" s="1"/>
  <c r="Q58" i="3"/>
  <c r="B430" i="1" s="1"/>
  <c r="Q80" i="3"/>
  <c r="B395" i="1"/>
  <c r="I52" i="5"/>
  <c r="I56" i="5"/>
  <c r="B137" i="3"/>
  <c r="B542" i="1" s="1"/>
  <c r="B495" i="1"/>
  <c r="I37" i="5" l="1"/>
  <c r="C45" i="5" s="1"/>
  <c r="I41" i="5"/>
  <c r="C48" i="5" s="1"/>
  <c r="B48" i="5"/>
  <c r="D51" i="5"/>
  <c r="E57" i="5"/>
  <c r="D45" i="5"/>
  <c r="C51" i="5"/>
  <c r="I54" i="5"/>
  <c r="D57" i="5" s="1"/>
  <c r="B45" i="5"/>
  <c r="I50" i="5"/>
  <c r="I49" i="5" s="1"/>
  <c r="C54" i="5" s="1"/>
  <c r="B51" i="5"/>
  <c r="E51" i="5"/>
  <c r="E18" i="5"/>
  <c r="C18" i="5"/>
  <c r="C7" i="7"/>
  <c r="B246" i="1"/>
  <c r="H98" i="3"/>
  <c r="B242" i="1" s="1"/>
  <c r="K40" i="3"/>
  <c r="B272" i="1"/>
  <c r="B140" i="3"/>
  <c r="B545" i="1" s="1"/>
  <c r="I30" i="5"/>
  <c r="I29" i="5" s="1"/>
  <c r="I10" i="5"/>
  <c r="I9" i="5" s="1"/>
  <c r="I34" i="5"/>
  <c r="I33" i="5" s="1"/>
  <c r="I13" i="5"/>
  <c r="C27" i="5" s="1"/>
  <c r="B5" i="1"/>
  <c r="C5" i="1" s="1"/>
  <c r="B169" i="3"/>
  <c r="B7" i="1" s="1"/>
  <c r="C7" i="1" s="1"/>
  <c r="B11" i="1"/>
  <c r="C11" i="1" s="1"/>
  <c r="B175" i="3"/>
  <c r="B13" i="1" s="1"/>
  <c r="C13" i="1" s="1"/>
  <c r="Q122" i="3"/>
  <c r="B475" i="1" s="1"/>
  <c r="C57" i="5"/>
  <c r="Q138" i="3"/>
  <c r="B486" i="1" s="1"/>
  <c r="I19" i="5"/>
  <c r="B30" i="5"/>
  <c r="B27" i="5"/>
  <c r="I12" i="5"/>
  <c r="I15" i="5"/>
  <c r="C30" i="5"/>
  <c r="Q85" i="3"/>
  <c r="B451" i="1" s="1"/>
  <c r="B447" i="1"/>
  <c r="B166" i="3"/>
  <c r="B4" i="1" s="1"/>
  <c r="C4" i="1" s="1"/>
  <c r="B2" i="1"/>
  <c r="I23" i="5"/>
  <c r="B33" i="5"/>
  <c r="C21" i="5"/>
  <c r="B21" i="5"/>
  <c r="I7" i="5"/>
  <c r="C33" i="5"/>
  <c r="I60" i="5"/>
  <c r="I51" i="5"/>
  <c r="E48" i="5" l="1"/>
  <c r="E45" i="5"/>
  <c r="E54" i="5"/>
  <c r="I58" i="5"/>
  <c r="B60" i="5" s="1"/>
  <c r="I57" i="5"/>
  <c r="C60" i="5" s="1"/>
  <c r="B54" i="5"/>
  <c r="B57" i="5"/>
  <c r="B274" i="1"/>
  <c r="Q106" i="3"/>
  <c r="B464" i="1" s="1"/>
  <c r="Q102" i="3"/>
  <c r="B460" i="1" s="1"/>
  <c r="Q137" i="3"/>
  <c r="B485" i="1" s="1"/>
  <c r="E30" i="5"/>
  <c r="D30" i="5"/>
  <c r="C24" i="5"/>
  <c r="B24" i="5"/>
  <c r="I11" i="5"/>
  <c r="D33" i="5"/>
  <c r="E33" i="5"/>
  <c r="I59" i="5"/>
  <c r="D54" i="5"/>
  <c r="D27" i="5"/>
  <c r="E27" i="5"/>
  <c r="E21" i="5"/>
  <c r="D21" i="5"/>
  <c r="Q121" i="3" l="1"/>
  <c r="B474" i="1" s="1"/>
  <c r="D60" i="5"/>
  <c r="Q117" i="3"/>
  <c r="B470" i="1" s="1"/>
  <c r="E60" i="5"/>
  <c r="E24" i="5"/>
  <c r="D24" i="5"/>
  <c r="K64" i="3"/>
  <c r="B294" i="1" s="1"/>
  <c r="K69" i="3"/>
  <c r="K78" i="3" s="1"/>
  <c r="B163" i="3" l="1"/>
  <c r="F14" i="1" s="1"/>
  <c r="G14" i="1" s="1"/>
  <c r="Q136" i="3"/>
  <c r="B484" i="1" s="1"/>
  <c r="B297" i="1"/>
  <c r="K79" i="3"/>
  <c r="J7" i="1"/>
  <c r="K7" i="1" s="1"/>
  <c r="Q132" i="3"/>
  <c r="B480" i="1" s="1"/>
  <c r="K75" i="3"/>
  <c r="B302" i="1" s="1"/>
  <c r="B170" i="3"/>
  <c r="B172" i="3" s="1"/>
  <c r="B10" i="1" s="1"/>
  <c r="C10" i="1" s="1"/>
  <c r="I32" i="5"/>
  <c r="L7" i="1" l="1"/>
  <c r="I70" i="5"/>
  <c r="C39" i="5" s="1"/>
  <c r="B8" i="1"/>
  <c r="I31" i="5"/>
  <c r="I36" i="5"/>
  <c r="B39" i="5" l="1"/>
  <c r="I35" i="5"/>
  <c r="C42" i="5"/>
  <c r="C4" i="5" s="1"/>
  <c r="H56" i="3" s="1" a="1"/>
  <c r="H56" i="3" s="1"/>
  <c r="B42" i="5"/>
  <c r="E39" i="5"/>
  <c r="D39" i="5"/>
  <c r="B4" i="5" l="1"/>
  <c r="H43" i="3" s="1" a="1"/>
  <c r="H43" i="3" s="1"/>
  <c r="E42" i="5"/>
  <c r="E4" i="5" s="1"/>
  <c r="D42" i="5"/>
  <c r="D4" i="5" s="1"/>
  <c r="H59" i="3"/>
  <c r="B204" i="1" s="1"/>
  <c r="H65" i="3"/>
  <c r="B210" i="1" s="1"/>
  <c r="H67" i="3"/>
  <c r="B212" i="1" s="1"/>
  <c r="H60" i="3"/>
  <c r="B205" i="1" s="1"/>
  <c r="H66" i="3"/>
  <c r="B211" i="1" s="1"/>
  <c r="B201" i="1"/>
  <c r="H63" i="3"/>
  <c r="B208" i="1" s="1"/>
  <c r="H62" i="3"/>
  <c r="B207" i="1" s="1"/>
  <c r="C7" i="5"/>
  <c r="H64" i="3"/>
  <c r="B209" i="1" s="1"/>
  <c r="H68" i="3"/>
  <c r="B213" i="1" s="1"/>
  <c r="H18" i="3"/>
  <c r="H61" i="3"/>
  <c r="B206" i="1" s="1"/>
  <c r="H58" i="3"/>
  <c r="B203" i="1" s="1"/>
  <c r="H57" i="3"/>
  <c r="B202" i="1" s="1"/>
  <c r="C10" i="5" l="1" a="1"/>
  <c r="C10" i="5" s="1"/>
  <c r="B559" i="1" a="1"/>
  <c r="B559" i="1" s="1"/>
  <c r="H24" i="3"/>
  <c r="B173" i="1" s="1"/>
  <c r="H22" i="3"/>
  <c r="B171" i="1" s="1"/>
  <c r="B167" i="1"/>
  <c r="H23" i="3"/>
  <c r="B172" i="1" s="1"/>
  <c r="H21" i="3"/>
  <c r="B170" i="1" s="1"/>
  <c r="H20" i="3"/>
  <c r="B169" i="1" s="1"/>
  <c r="H19" i="3"/>
  <c r="B168" i="1" s="1"/>
  <c r="H69" i="3" a="1"/>
  <c r="H69" i="3" s="1"/>
  <c r="A26" i="2"/>
  <c r="H49" i="3"/>
  <c r="B194" i="1" s="1"/>
  <c r="H54" i="3"/>
  <c r="B199" i="1" s="1"/>
  <c r="H46" i="3"/>
  <c r="B191" i="1" s="1"/>
  <c r="B188" i="1"/>
  <c r="H47" i="3"/>
  <c r="B192" i="1" s="1"/>
  <c r="H44" i="3"/>
  <c r="H48" i="3"/>
  <c r="B193" i="1" s="1"/>
  <c r="H52" i="3"/>
  <c r="B197" i="1" s="1"/>
  <c r="H55" i="3"/>
  <c r="B200" i="1" s="1"/>
  <c r="H50" i="3"/>
  <c r="B195" i="1" s="1"/>
  <c r="B7" i="5"/>
  <c r="H45" i="3"/>
  <c r="B190" i="1" s="1"/>
  <c r="H11" i="3"/>
  <c r="H53" i="3"/>
  <c r="B198" i="1" s="1"/>
  <c r="H51" i="3"/>
  <c r="B196" i="1" s="1"/>
  <c r="K85" i="3"/>
  <c r="H82" i="3" a="1"/>
  <c r="H82" i="3" s="1"/>
  <c r="B10" i="5" l="1" a="1"/>
  <c r="B10" i="5" s="1"/>
  <c r="B558" i="1" a="1"/>
  <c r="B558" i="1" s="1"/>
  <c r="H71" i="3"/>
  <c r="B216" i="1" s="1"/>
  <c r="H73" i="3"/>
  <c r="B218" i="1" s="1"/>
  <c r="H70" i="3"/>
  <c r="H80" i="3"/>
  <c r="B225" i="1" s="1"/>
  <c r="H76" i="3"/>
  <c r="B221" i="1" s="1"/>
  <c r="H77" i="3"/>
  <c r="B222" i="1" s="1"/>
  <c r="B214" i="1"/>
  <c r="H81" i="3"/>
  <c r="B226" i="1" s="1"/>
  <c r="H75" i="3"/>
  <c r="B220" i="1" s="1"/>
  <c r="H72" i="3"/>
  <c r="B217" i="1" s="1"/>
  <c r="H79" i="3"/>
  <c r="B224" i="1" s="1"/>
  <c r="D7" i="5"/>
  <c r="H78" i="3"/>
  <c r="B223" i="1" s="1"/>
  <c r="H25" i="3"/>
  <c r="H74" i="3"/>
  <c r="B219" i="1" s="1"/>
  <c r="H13" i="3"/>
  <c r="B162" i="1" s="1"/>
  <c r="H17" i="3"/>
  <c r="B166" i="1" s="1"/>
  <c r="H14" i="3"/>
  <c r="B163" i="1" s="1"/>
  <c r="H16" i="3"/>
  <c r="B165" i="1" s="1"/>
  <c r="H8" i="3"/>
  <c r="B159" i="1" s="1"/>
  <c r="H15" i="3"/>
  <c r="B164" i="1" s="1"/>
  <c r="B160" i="1"/>
  <c r="H12" i="3"/>
  <c r="B161" i="1" s="1"/>
  <c r="H32" i="3"/>
  <c r="H85" i="3"/>
  <c r="B230" i="1" s="1"/>
  <c r="H93" i="3"/>
  <c r="B238" i="1" s="1"/>
  <c r="H86" i="3"/>
  <c r="B231" i="1" s="1"/>
  <c r="H94" i="3"/>
  <c r="B239" i="1" s="1"/>
  <c r="H84" i="3"/>
  <c r="B229" i="1" s="1"/>
  <c r="H87" i="3"/>
  <c r="B232" i="1" s="1"/>
  <c r="B227" i="1"/>
  <c r="H91" i="3"/>
  <c r="B236" i="1" s="1"/>
  <c r="H89" i="3"/>
  <c r="B234" i="1" s="1"/>
  <c r="E7" i="5"/>
  <c r="H83" i="3"/>
  <c r="H92" i="3"/>
  <c r="B237" i="1" s="1"/>
  <c r="H88" i="3"/>
  <c r="B233" i="1" s="1"/>
  <c r="H90" i="3"/>
  <c r="B235" i="1" s="1"/>
  <c r="B189" i="1"/>
  <c r="K83" i="3"/>
  <c r="K103" i="3"/>
  <c r="B323" i="1" s="1"/>
  <c r="B306" i="1"/>
  <c r="K86" i="3"/>
  <c r="B307" i="1" s="1"/>
  <c r="K10" i="1"/>
  <c r="E10" i="5" l="1" a="1"/>
  <c r="E10" i="5" s="1"/>
  <c r="B561" i="1" a="1"/>
  <c r="B561" i="1" s="1"/>
  <c r="D10" i="5" a="1"/>
  <c r="D10" i="5" s="1"/>
  <c r="B560" i="1" a="1"/>
  <c r="B560" i="1" s="1"/>
  <c r="B228" i="1"/>
  <c r="K89" i="3"/>
  <c r="B215" i="1"/>
  <c r="K87" i="3"/>
  <c r="H30" i="3"/>
  <c r="B179" i="1" s="1"/>
  <c r="H29" i="3"/>
  <c r="B178" i="1" s="1"/>
  <c r="H26" i="3"/>
  <c r="B175" i="1" s="1"/>
  <c r="H28" i="3"/>
  <c r="B177" i="1" s="1"/>
  <c r="H31" i="3"/>
  <c r="B180" i="1" s="1"/>
  <c r="H27" i="3"/>
  <c r="B176" i="1" s="1"/>
  <c r="B174" i="1"/>
  <c r="K9" i="1"/>
  <c r="B304" i="1"/>
  <c r="K102" i="3"/>
  <c r="K84" i="3"/>
  <c r="B305" i="1" s="1"/>
  <c r="H38" i="3"/>
  <c r="B187" i="1" s="1"/>
  <c r="B181" i="1"/>
  <c r="H33" i="3"/>
  <c r="B182" i="1" s="1"/>
  <c r="H35" i="3"/>
  <c r="B184" i="1" s="1"/>
  <c r="H34" i="3"/>
  <c r="B183" i="1" s="1"/>
  <c r="H37" i="3"/>
  <c r="B186" i="1" s="1"/>
  <c r="H36" i="3"/>
  <c r="B185" i="1" s="1"/>
  <c r="B322" i="1" l="1"/>
  <c r="E57" i="3"/>
  <c r="K11" i="1"/>
  <c r="B308" i="1"/>
  <c r="K88" i="3"/>
  <c r="B309" i="1" s="1"/>
  <c r="K104" i="3"/>
  <c r="B324" i="1" s="1"/>
  <c r="K12" i="1"/>
  <c r="K105" i="3"/>
  <c r="B325" i="1" s="1"/>
  <c r="B310" i="1"/>
  <c r="K90" i="3"/>
  <c r="B311" i="1" s="1"/>
  <c r="B127" i="1" l="1"/>
  <c r="E26" i="3"/>
  <c r="B100"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<sst xmlns="http://schemas.openxmlformats.org/spreadsheetml/2006/main" count="6006" uniqueCount="2283">
  <si>
    <t>FANSIZE</t>
  </si>
  <si>
    <t>286T</t>
  </si>
  <si>
    <t>182T</t>
  </si>
  <si>
    <t>MTR_BA</t>
  </si>
  <si>
    <t>MTR_S</t>
  </si>
  <si>
    <t>3/8 Hardware D,F,G&amp;T</t>
  </si>
  <si>
    <t>0.312</t>
  </si>
  <si>
    <t>0.250</t>
  </si>
  <si>
    <t>0.218</t>
  </si>
  <si>
    <t>0.152</t>
  </si>
  <si>
    <t>0.109</t>
  </si>
  <si>
    <t>1/4 Hardware - sst</t>
  </si>
  <si>
    <t>Engagement holes per part</t>
  </si>
  <si>
    <t>Max Cut Size</t>
  </si>
  <si>
    <t>"DXF" Mat'l Data</t>
  </si>
  <si>
    <t>1/4</t>
  </si>
  <si>
    <t>YC</t>
  </si>
  <si>
    <t>1/8</t>
  </si>
  <si>
    <t>11</t>
  </si>
  <si>
    <t>.060</t>
  </si>
  <si>
    <t>Sheet,Perf,Al,47%,.080, 3003h14</t>
  </si>
  <si>
    <t>.50</t>
  </si>
  <si>
    <t>008 02570 050</t>
  </si>
  <si>
    <t>.126</t>
  </si>
  <si>
    <t>005 07108 188</t>
  </si>
  <si>
    <t>Gray Paint</t>
  </si>
  <si>
    <t>GLVPP056B</t>
  </si>
  <si>
    <t>.039</t>
  </si>
  <si>
    <t>005 06154 000</t>
  </si>
  <si>
    <t>GLVP039E</t>
  </si>
  <si>
    <t>.028</t>
  </si>
  <si>
    <t>005 07118 018</t>
  </si>
  <si>
    <t>R259</t>
  </si>
  <si>
    <t>GLVE146A</t>
  </si>
  <si>
    <t>GLVS157-</t>
  </si>
  <si>
    <t>STL GALV3</t>
  </si>
  <si>
    <t>STL GALVR</t>
  </si>
  <si>
    <t>22</t>
  </si>
  <si>
    <t>.035</t>
  </si>
  <si>
    <t>005 07114 020</t>
  </si>
  <si>
    <t xml:space="preserve">Sheet,Perf,304ss,40.3%,20ga </t>
  </si>
  <si>
    <t>.024</t>
  </si>
  <si>
    <t>005 07103 012</t>
  </si>
  <si>
    <t>SSLS048-</t>
  </si>
  <si>
    <t>4. With the exception to standard R259 is that all Galvanized Steel will be Chemically Treated and oiled with a mineral based oil which is easily removable by vapor degreasing or mild alkaline cleaning with a hot water rinse.</t>
  </si>
  <si>
    <t>X_ARRAY_QTY</t>
  </si>
  <si>
    <t>NOT USED</t>
  </si>
  <si>
    <t>ROOF_CHAN_13</t>
  </si>
  <si>
    <t>RIGHT_HAND_CHAN_9</t>
  </si>
  <si>
    <t>LEFT_HAND_CHAN_6</t>
  </si>
  <si>
    <t>IW</t>
  </si>
  <si>
    <t>Spring Hole Dia</t>
  </si>
  <si>
    <t>Spring Length Loc 1</t>
  </si>
  <si>
    <t>OPERATING HEIGHT, INCHES</t>
  </si>
  <si>
    <t>AMSR</t>
  </si>
  <si>
    <t>ISO_PN</t>
  </si>
  <si>
    <t>MAT_XT</t>
  </si>
  <si>
    <t>MAT_PNUM</t>
  </si>
  <si>
    <t>MAT_CUT</t>
  </si>
  <si>
    <t>STL_XT</t>
  </si>
  <si>
    <t>STL_DESC</t>
  </si>
  <si>
    <t>STL_CUT</t>
  </si>
  <si>
    <t>STL_DESG</t>
  </si>
  <si>
    <t xml:space="preserve">Channel 2 X 1 X .19,R-18 Std  </t>
  </si>
  <si>
    <t>10" x 15.3# Structural Channel</t>
  </si>
  <si>
    <t>I-Beam 6 X 12.5 Lb/Ft,R-18 Std</t>
  </si>
  <si>
    <t>001 08406 125</t>
  </si>
  <si>
    <t>001 08406 150</t>
  </si>
  <si>
    <t>Steel, Tubing</t>
  </si>
  <si>
    <t>008 02328 010</t>
  </si>
  <si>
    <t>008 02576 001</t>
  </si>
  <si>
    <t xml:space="preserve">Channel Aluminum 8x5.79 Lb/Ft </t>
  </si>
  <si>
    <t>MTRBS_AL</t>
  </si>
  <si>
    <t>MTRBS_AYBOLT_D</t>
  </si>
  <si>
    <t>MTRBS_AYBOLT_L</t>
  </si>
  <si>
    <t>MTRBS_AdjBolt_ArrayQty</t>
  </si>
  <si>
    <t>FanBase_Str_DOA_CHAN_LBFT</t>
  </si>
  <si>
    <t>SUPANG_D</t>
  </si>
  <si>
    <t>SUPANG_H</t>
  </si>
  <si>
    <t>SUPANG_L</t>
  </si>
  <si>
    <r>
      <t>Fan_Z</t>
    </r>
    <r>
      <rPr>
        <sz val="8"/>
        <rFont val="Arial"/>
        <family val="2"/>
      </rPr>
      <t>1</t>
    </r>
  </si>
  <si>
    <t>FanBase_Str_LIA_ANG_WT</t>
  </si>
  <si>
    <t>FanBase_Str_LIA_ANG_LB</t>
  </si>
  <si>
    <t>1/2-13 UNC</t>
  </si>
  <si>
    <t>HDWR_NHD</t>
  </si>
  <si>
    <t>MotorLocation</t>
  </si>
  <si>
    <t>MTRBS_TOL1</t>
  </si>
  <si>
    <t>C_Total_MtrBase_ADJ_Length</t>
  </si>
  <si>
    <t>CENTER DISTANCE CALCULATIONS</t>
  </si>
  <si>
    <t>FanBase_Str_DOA_ANG_ISO_L_Add</t>
  </si>
  <si>
    <t>Perimeter Steel</t>
  </si>
  <si>
    <t>FanBase_Str_FIA_ANG_ZLoc</t>
  </si>
  <si>
    <t>FanBase_Str_IsoSup_ANG_SizeLookup_Designation</t>
  </si>
  <si>
    <t>FanBase_Str_Inertia_Plate3_Suppresion</t>
  </si>
  <si>
    <t>FanBase_Str_Inertia_Rebar_Zone1_XLength</t>
  </si>
  <si>
    <t>FanBase_Str_Inertia_Rebar_Zone1_XArrayQty</t>
  </si>
  <si>
    <t>FanBase_Str_Inertia_Rebar_Zone3_XArray_XStart</t>
  </si>
  <si>
    <t>PLTS2_SW2</t>
  </si>
  <si>
    <t>FanBase_Str_Inertia_Rebar_D</t>
  </si>
  <si>
    <t>FanBase_Str_Inertia_Plate_Flange_IntNotch_W</t>
  </si>
  <si>
    <t>FanBase_Str_Inertia_Plate_YLoc</t>
  </si>
  <si>
    <t>FanBase_Str_Inertia_Plate5_XDim</t>
  </si>
  <si>
    <t>ISO_S1_HL</t>
  </si>
  <si>
    <t>ISO_ADJBD</t>
  </si>
  <si>
    <t>ISO_S1_TDBD</t>
  </si>
  <si>
    <t>ISO_S3_ADJBD</t>
  </si>
  <si>
    <t>FAN_SD_CL1</t>
  </si>
  <si>
    <t>Class 1 &amp; 2 fans</t>
  </si>
  <si>
    <t>FAN_B_CL1/CL2</t>
  </si>
  <si>
    <t>FAN_GB_CL1/CL2</t>
  </si>
  <si>
    <t>FAN_FanType_Selection</t>
  </si>
  <si>
    <t>FAN_WID</t>
  </si>
  <si>
    <t>445H</t>
  </si>
  <si>
    <t>122T</t>
  </si>
  <si>
    <t>150T</t>
  </si>
  <si>
    <t>Core_Segment_Length</t>
  </si>
  <si>
    <t>DOA Internal Channel Data</t>
  </si>
  <si>
    <t>FanBase_Str_DOA_INT_CHAN_D</t>
  </si>
  <si>
    <r>
      <t>MotorSupRail2_Z</t>
    </r>
    <r>
      <rPr>
        <sz val="8"/>
        <rFont val="Arial"/>
        <family val="2"/>
      </rPr>
      <t>2</t>
    </r>
  </si>
  <si>
    <t>FanBase_Str_Inertia_Plate_Flange_IntMtrNotch_XLoc</t>
  </si>
  <si>
    <t>FanBase_Str_Inertia_Rebar_Zone3_XDim_Hole_Calc</t>
  </si>
  <si>
    <r>
      <t>IntMtrRail_DOA_X</t>
    </r>
    <r>
      <rPr>
        <sz val="8"/>
        <rFont val="Arial"/>
        <family val="2"/>
      </rPr>
      <t>2</t>
    </r>
  </si>
  <si>
    <t>INERTIA CONCRETE ZONE 2 WEIGHT ADD</t>
  </si>
  <si>
    <t>MtrSup2 S4</t>
  </si>
  <si>
    <t>Rebar1 S2</t>
  </si>
  <si>
    <t>Concrete1 S2</t>
  </si>
  <si>
    <t>TopDischTrans_Stiffener_Flng_L</t>
  </si>
  <si>
    <t>TopDischTrans_Stiffener_FIA_LIA_Hole1_XLoc</t>
  </si>
  <si>
    <t>WLDMNT_MB3</t>
  </si>
  <si>
    <t>COMMENT</t>
  </si>
  <si>
    <t>ITEM</t>
  </si>
  <si>
    <t>F5</t>
  </si>
  <si>
    <t>MB2</t>
  </si>
  <si>
    <t>D7</t>
  </si>
  <si>
    <t>WLDMNT_IntRail_DOW_BtmDisch_Base4_Suppresion</t>
  </si>
  <si>
    <t>WLDMNT_FIA_LIA_Direction</t>
  </si>
  <si>
    <t>D10</t>
  </si>
  <si>
    <t>mtr sup rail zspcg</t>
  </si>
  <si>
    <t>MB6</t>
  </si>
  <si>
    <t>WLDMNT_IntRail_DOA_Rail2_BBH_FIA_Suppresion</t>
  </si>
  <si>
    <t>021-19601-000</t>
  </si>
  <si>
    <t>PLT_PN</t>
  </si>
  <si>
    <t>B</t>
  </si>
  <si>
    <t>18-9973</t>
  </si>
  <si>
    <t>405T</t>
  </si>
  <si>
    <t>Ga</t>
  </si>
  <si>
    <t>1/4 Hardware D,F,G&amp;T</t>
  </si>
  <si>
    <t>Standard Hole Sizes</t>
  </si>
  <si>
    <t>AL</t>
  </si>
  <si>
    <t>Plate,Dia,Alu,.125_3003 Bright</t>
  </si>
  <si>
    <t>.188</t>
  </si>
  <si>
    <t>Sheet, Perf, AL</t>
  </si>
  <si>
    <t>008 02573 080</t>
  </si>
  <si>
    <t xml:space="preserve">Sheet,Al,3003h14,.125         </t>
  </si>
  <si>
    <t>3/8</t>
  </si>
  <si>
    <t xml:space="preserve">Plate,Steel,0.375 </t>
  </si>
  <si>
    <t>48 X 144</t>
  </si>
  <si>
    <t>.097</t>
  </si>
  <si>
    <t>STLHR112A</t>
  </si>
  <si>
    <t>.068</t>
  </si>
  <si>
    <t>Grating,19-W-4,1h_.13thk ,Hot Dipped Glv Grating</t>
  </si>
  <si>
    <t>Sheet, Pre-Paint</t>
  </si>
  <si>
    <t xml:space="preserve">Sheet,Pre-Paint,Gray,14ga </t>
  </si>
  <si>
    <t xml:space="preserve">M-310 </t>
  </si>
  <si>
    <t>005 02897 000</t>
  </si>
  <si>
    <t>5/8</t>
  </si>
  <si>
    <t xml:space="preserve">Sheet,Perf,Glv,40.3%,22ga </t>
  </si>
  <si>
    <t>R1116</t>
  </si>
  <si>
    <t>7/32</t>
  </si>
  <si>
    <t>Sheet, Structural</t>
  </si>
  <si>
    <t>GLVS097-</t>
  </si>
  <si>
    <t>Channel,Rf,16ga,Glv,5.67w_Flat, YC 3" Housing Channel</t>
  </si>
  <si>
    <t>Galvanized Steel, Coil, XT Seam Cap</t>
  </si>
  <si>
    <t>.075</t>
  </si>
  <si>
    <t>Plate,Dia,304ss,.125</t>
  </si>
  <si>
    <t>SST304PC</t>
  </si>
  <si>
    <t>.25</t>
  </si>
  <si>
    <t>005 07117 018</t>
  </si>
  <si>
    <t>005 06146 022</t>
  </si>
  <si>
    <t>005 07107 188</t>
  </si>
  <si>
    <t>005 06146 008</t>
  </si>
  <si>
    <t>005 06588 100</t>
  </si>
  <si>
    <t>005 07103 016</t>
  </si>
  <si>
    <t>X_ARRAY_SPACING</t>
  </si>
  <si>
    <t>FLOOR_CHAN_13</t>
  </si>
  <si>
    <t>SOUTH WALL CHANNELS</t>
  </si>
  <si>
    <t>Side_BH_To_Shell_Clearance</t>
  </si>
  <si>
    <t>Plate Thickness</t>
  </si>
  <si>
    <t>445T</t>
  </si>
  <si>
    <t>PLT_SL1</t>
  </si>
  <si>
    <t>VMC SPRING DESIGNATION</t>
  </si>
  <si>
    <t>GREEN</t>
  </si>
  <si>
    <t>GRAY/ORANGE</t>
  </si>
  <si>
    <t>ISO_S3_PartNumber</t>
  </si>
  <si>
    <t>ISO_D</t>
  </si>
  <si>
    <t>ISO_S4_BW</t>
  </si>
  <si>
    <t xml:space="preserve">029 23800 112 </t>
  </si>
  <si>
    <t xml:space="preserve">029 23800 104 </t>
  </si>
  <si>
    <t>STL_RSTD</t>
  </si>
  <si>
    <t>001 08405 012</t>
  </si>
  <si>
    <t>001-07510-000</t>
  </si>
  <si>
    <t>1" x 1" x 1/4" Structural Angle</t>
  </si>
  <si>
    <t>008 02327 010</t>
  </si>
  <si>
    <t>ALM TRK 12M</t>
  </si>
  <si>
    <t>008 02575 001</t>
  </si>
  <si>
    <t>Track,Fltr,Hi-Eff,Mid, 2" Pre, Rigid/Bag Final</t>
  </si>
  <si>
    <t>Extrusion,Frame,Tb,Outswing,2", YC, 204" L</t>
  </si>
  <si>
    <t>Extrusion,Tb,Door,2", YC,204" L</t>
  </si>
  <si>
    <t>008 02591 001</t>
  </si>
  <si>
    <t>001 08405 005</t>
  </si>
  <si>
    <t>FLOOR_CHAN_17</t>
  </si>
  <si>
    <t>FLOOR_CHAN_20</t>
  </si>
  <si>
    <t>MOTORLOCATION</t>
  </si>
  <si>
    <t>MTRBS_AX</t>
  </si>
  <si>
    <t>MTRBS_AT</t>
  </si>
  <si>
    <t>MAX_T_FRAME</t>
  </si>
  <si>
    <t>MTR_Beside_X_Location</t>
  </si>
  <si>
    <t>091 20019 013</t>
  </si>
  <si>
    <t>Total Load</t>
  </si>
  <si>
    <t>MtrBase S3</t>
  </si>
  <si>
    <t>PerSteel S3</t>
  </si>
  <si>
    <t>Base_Z</t>
  </si>
  <si>
    <t>FanBase_Str_FIA_ANG_HoleLoc_Plane</t>
  </si>
  <si>
    <t>Angle Blk 4 x 4 x .38 thk</t>
  </si>
  <si>
    <t>FanBase_Str_FIA_ANG_H</t>
  </si>
  <si>
    <t>FanBase_Str_FIA_ANG_D</t>
  </si>
  <si>
    <t>FanBase_Str_DOA_INT_ANG_WT</t>
  </si>
  <si>
    <t>FanBase_Str_DOA_INT_ANG_LB</t>
  </si>
  <si>
    <t>FanBase_Str_IsoSup_ANG_Overhang</t>
  </si>
  <si>
    <t>A_MTR</t>
  </si>
  <si>
    <t>CENTER_DISTANCE_MIN</t>
  </si>
  <si>
    <t>FanBase_Str_MIA_ANG_Suppresion</t>
  </si>
  <si>
    <t>MOTOR BASE</t>
  </si>
  <si>
    <t>IntRail DOW S4</t>
  </si>
  <si>
    <t>Standard_Isolator_Operating_Height</t>
  </si>
  <si>
    <t>FanBase_Str_Inertia_Plate4_ZDim</t>
  </si>
  <si>
    <t xml:space="preserve">REBAR .5" RD #4   </t>
  </si>
  <si>
    <t>FanBase_Str_Inertia_Rebar_Zone2_XLength</t>
  </si>
  <si>
    <t>FanBase_Str_Inertia_Rebar_Zone3_ZArrayDist</t>
  </si>
  <si>
    <t>PLTS1_SW2</t>
  </si>
  <si>
    <t>InertiaPlateEngHole</t>
  </si>
  <si>
    <t>1c-250-Sb</t>
  </si>
  <si>
    <t>Base Thickness</t>
  </si>
  <si>
    <t>Base Hole Diameter</t>
  </si>
  <si>
    <t>ISO_S1_TDBL</t>
  </si>
  <si>
    <t>391 25726 100</t>
  </si>
  <si>
    <t>Twin City BAE DWDI Fan Data (Horizontal Discharge)</t>
  </si>
  <si>
    <t>FAN_H</t>
  </si>
  <si>
    <t>FAN_DC</t>
  </si>
  <si>
    <t>FAN_GB</t>
  </si>
  <si>
    <t>FAN_GC_CL1/CL2</t>
  </si>
  <si>
    <t>FAN_AH</t>
  </si>
  <si>
    <t>FAN_BAT_CL1/CL2</t>
  </si>
  <si>
    <t>F, FI, R, RI, T, TI, B, BI (Front, Front Inverted, Rear, Rear Inverted, Top, Top Inverted, Btm, Btm Inverted)</t>
  </si>
  <si>
    <t>FAN_BRG_H</t>
  </si>
  <si>
    <t>365H</t>
  </si>
  <si>
    <t>600H</t>
  </si>
  <si>
    <t>660H</t>
  </si>
  <si>
    <t>FAN_Lookup</t>
  </si>
  <si>
    <t>FAN_HN_T_CL3</t>
  </si>
  <si>
    <t>542B</t>
  </si>
  <si>
    <t>SEGL</t>
  </si>
  <si>
    <t>FanBase_Str_DOA_INT_CHAN_L</t>
  </si>
  <si>
    <t>FanBase_Str_DOA_INT_CHAN_H</t>
  </si>
  <si>
    <t>GALV PRFA</t>
  </si>
  <si>
    <t>GALV PRFE</t>
  </si>
  <si>
    <t>ALM EXP</t>
  </si>
  <si>
    <t>ALM EMB</t>
  </si>
  <si>
    <t>19</t>
  </si>
  <si>
    <t>GALV CLOTH</t>
  </si>
  <si>
    <t>FanBase_Str_DOW_INT_CHAN_Lookup</t>
  </si>
  <si>
    <t>FanBase_Str_DOW_INT_CHAN_WT</t>
  </si>
  <si>
    <t>FanBase_Str_DOW_INT_CHAN_LB</t>
  </si>
  <si>
    <t>FanBase_Str_Inertia_Plate4_ZLoc</t>
  </si>
  <si>
    <t>FanBase_Str_Inertia_Plate_XLoc</t>
  </si>
  <si>
    <t>FanBase_Str_DOA_INT_FAN_CHAN_HoleLoc_Plane</t>
  </si>
  <si>
    <t>FanBase_Str_DOA_INT_MTR_CHAN_HoleLoc_Plane</t>
  </si>
  <si>
    <t>FanBase_Str_Inertia_PlateBeside_BtmInvFiller_Suppresion</t>
  </si>
  <si>
    <t>FanBase_Str_Inertia_Plate_Flange_BtmInvDischNotch_Suppresion</t>
  </si>
  <si>
    <r>
      <t>IntFanRail_DOA_X</t>
    </r>
    <r>
      <rPr>
        <sz val="8"/>
        <rFont val="Arial"/>
        <family val="2"/>
      </rPr>
      <t>2</t>
    </r>
  </si>
  <si>
    <t>INTERNAL MTR RAIL DIRECTION OF AIRFLOW</t>
  </si>
  <si>
    <t>IntMtrRail DOA S3</t>
  </si>
  <si>
    <r>
      <t>InertiaRebar_Zone2_Z</t>
    </r>
    <r>
      <rPr>
        <sz val="8"/>
        <rFont val="Arial"/>
        <family val="2"/>
      </rPr>
      <t>1</t>
    </r>
  </si>
  <si>
    <t>MtrSup1 S4</t>
  </si>
  <si>
    <t>Top Discharge Flange Data</t>
  </si>
  <si>
    <t>TopDischTrans_RH_LH_L</t>
  </si>
  <si>
    <t>TopDischTrans_Flex_Clearance</t>
  </si>
  <si>
    <t>WLDMNT_Base4_LIA_Loc</t>
  </si>
  <si>
    <t>WLDMNT_MtrRail_L</t>
  </si>
  <si>
    <t>DESCRIPTION</t>
  </si>
  <si>
    <t>WLDMNT_FanHole_Spacing_Z</t>
  </si>
  <si>
    <t>WLDMNT_IntRail_DOW_Base6_Suppresion</t>
  </si>
  <si>
    <t>fia dow rail loc</t>
  </si>
  <si>
    <t>WLDMNT_D11</t>
  </si>
  <si>
    <t>HLU</t>
  </si>
  <si>
    <t>F</t>
  </si>
  <si>
    <t>365T</t>
  </si>
  <si>
    <t>MTR_2F</t>
  </si>
  <si>
    <t>#10 Hardware</t>
  </si>
  <si>
    <t>1/4 Hardware</t>
  </si>
  <si>
    <t>Material Type</t>
  </si>
  <si>
    <t>York "R" Std</t>
  </si>
  <si>
    <t>Unit of Measure</t>
  </si>
  <si>
    <t>Plate,Dia,Al,.125_3003</t>
  </si>
  <si>
    <t>008 02596 101</t>
  </si>
  <si>
    <t>ALUD188B</t>
  </si>
  <si>
    <t>ALUS190A</t>
  </si>
  <si>
    <t>STL PLATE</t>
  </si>
  <si>
    <t>005 07119 313</t>
  </si>
  <si>
    <t xml:space="preserve">Plate,Dia,Hot-Rolled,.125 </t>
  </si>
  <si>
    <t>005 07108 014</t>
  </si>
  <si>
    <t>005 07110 016</t>
  </si>
  <si>
    <t>Sheet,Pre-Paint,Champagne,16ga</t>
  </si>
  <si>
    <t>005 07110 118</t>
  </si>
  <si>
    <t>Sheet,Pre-Paint,Champagne,18ga</t>
  </si>
  <si>
    <t>GLVP034A</t>
  </si>
  <si>
    <t>Structural Galvanized Steel</t>
  </si>
  <si>
    <t>Sheet,Exp_Mtl,Glv,11ga, .75 Flattened, #9</t>
  </si>
  <si>
    <t>005 06145 008</t>
  </si>
  <si>
    <t>4.67 X Lg</t>
  </si>
  <si>
    <t>005 06145 022</t>
  </si>
  <si>
    <t>SST304E</t>
  </si>
  <si>
    <t>SSTL060-</t>
  </si>
  <si>
    <t>Channel Name</t>
  </si>
  <si>
    <t>NORTH WALL CHANNELS</t>
  </si>
  <si>
    <t>IH</t>
  </si>
  <si>
    <t>Construction</t>
  </si>
  <si>
    <t>Inside_Height</t>
  </si>
  <si>
    <t>VMC FINAL SPRING SIZE</t>
  </si>
  <si>
    <t>INNER SPRING COLOR</t>
  </si>
  <si>
    <t>DK BROWN</t>
  </si>
  <si>
    <t>ISO_S3_BW</t>
  </si>
  <si>
    <t>Plate Designation</t>
  </si>
  <si>
    <t>Tolerance_Gap</t>
  </si>
  <si>
    <t>001-07501-000</t>
  </si>
  <si>
    <t>029 23800 102</t>
  </si>
  <si>
    <t xml:space="preserve">029 23800 108 </t>
  </si>
  <si>
    <t xml:space="preserve">Rel/Rev Date: </t>
  </si>
  <si>
    <t>Sheet Products, Structural</t>
  </si>
  <si>
    <t>STL_TYPE</t>
  </si>
  <si>
    <t>STL_DXF</t>
  </si>
  <si>
    <t>Structural Steel, Shapes</t>
  </si>
  <si>
    <t>1.000</t>
  </si>
  <si>
    <t>R18</t>
  </si>
  <si>
    <t>4" x 5.4# Structural Channel</t>
  </si>
  <si>
    <t>I-Beam 8 X 18.4 Lb/Ft,R-18 Std</t>
  </si>
  <si>
    <t>001-05057-000</t>
  </si>
  <si>
    <t xml:space="preserve">Angle Blk 2 X 2 X .19         </t>
  </si>
  <si>
    <t>008 02326 010</t>
  </si>
  <si>
    <t>ALUT12TB</t>
  </si>
  <si>
    <t>ALUT14TB</t>
  </si>
  <si>
    <t>Extrusion,Frame,Tb,Outswing,3",YC, 204" L</t>
  </si>
  <si>
    <t>008 02590 001</t>
  </si>
  <si>
    <t xml:space="preserve">Channel,304ss,8_18.8#/Ft, Flange Width = 2.53"      </t>
  </si>
  <si>
    <t>Flat Bar 3 x .25 THK</t>
  </si>
  <si>
    <t>391 20112 101</t>
  </si>
  <si>
    <t>449T</t>
  </si>
  <si>
    <t>FanBase_Str_FIA_LIA_CHAN_LBFT</t>
  </si>
  <si>
    <t>FanBase_Str_MtrSup_CHAN_Spacing</t>
  </si>
  <si>
    <t>SUPANG_HD2</t>
  </si>
  <si>
    <t>Hole Diameter 2</t>
  </si>
  <si>
    <t>Motor S2</t>
  </si>
  <si>
    <t>FanBase_Str_MtrSup_CHAN_Lookup</t>
  </si>
  <si>
    <r>
      <t>Motor_Z</t>
    </r>
    <r>
      <rPr>
        <sz val="8"/>
        <rFont val="Arial"/>
        <family val="2"/>
      </rPr>
      <t>2</t>
    </r>
  </si>
  <si>
    <t>FanBase_Str_DOA_ANG_IsoHole_HL</t>
  </si>
  <si>
    <t>FanBase_Str_FIA_ANG_L</t>
  </si>
  <si>
    <t>Only valid Channel sizes from steel list can be used. Enter as Channel Height followed a space followed by LB/FT (ie. 3 4.1 is 3" channel 4.1 lb/ft) - Default = 0</t>
  </si>
  <si>
    <t>FanBase_Str_MIA_ANG_FTR</t>
  </si>
  <si>
    <t>FanBase_Str_IsoSup_ANG_S1_Gusset_Suppresion</t>
  </si>
  <si>
    <t>FanBase_Str_Inertia_Rebar_Zone1_XDim</t>
  </si>
  <si>
    <t>Steel, Rebar</t>
  </si>
  <si>
    <t>FanBase_Str_Inertia_Rebar_Zone3_XLength</t>
  </si>
  <si>
    <t>FanBase_Str_Inertia_Rebar_Zone1_ZArrayQty</t>
  </si>
  <si>
    <t>FanBase_Str_Inertia_Rebar_Zone3_ZArray_XStart</t>
  </si>
  <si>
    <t>FanBase_Str_Inertia_Rebar_Zone1_Suppresion</t>
  </si>
  <si>
    <t>FanBase_Str_Inertia_Concrete_Zone3_LB</t>
  </si>
  <si>
    <t>Inertia Bottom Plate Thickness Override - set to "-" when using defaults - Default = 16ga</t>
  </si>
  <si>
    <t>YES or NO - Default = NO - Smaller fans that default to Type A base are forced to Type B when inertia is selected</t>
  </si>
  <si>
    <t>029 23800 117</t>
  </si>
  <si>
    <t>029 23800 120</t>
  </si>
  <si>
    <t>2d-1640n-Sb</t>
  </si>
  <si>
    <t>391 20112 105</t>
  </si>
  <si>
    <t>FAN_HE_CL1/CL2</t>
  </si>
  <si>
    <t>FAN_P</t>
  </si>
  <si>
    <t>FAN_BH_CL3</t>
  </si>
  <si>
    <t>FAN_Q_CL3</t>
  </si>
  <si>
    <t>FANDISCHARGELOC</t>
  </si>
  <si>
    <t>245H</t>
  </si>
  <si>
    <t>600T</t>
  </si>
  <si>
    <t>660T</t>
  </si>
  <si>
    <t>FAN_DC_T_CL3</t>
  </si>
  <si>
    <t>135B</t>
  </si>
  <si>
    <t>402B</t>
  </si>
  <si>
    <t>490B</t>
  </si>
  <si>
    <t>MtrBehind_MinDistance_FanToMtr</t>
  </si>
  <si>
    <t>FanBase_Str_DB_ANG_WT</t>
  </si>
  <si>
    <t>FanBase_Str_DB_ANG_LB</t>
  </si>
  <si>
    <t>Min_Dist_HoleCtr_To_SteelWeb_FIA/LIA/DOA_Rail</t>
  </si>
  <si>
    <t>FAN_Location_In_Segment</t>
  </si>
  <si>
    <t>DOW Internal Channel Data</t>
  </si>
  <si>
    <r>
      <t>MotorSupRail2_X</t>
    </r>
    <r>
      <rPr>
        <sz val="8"/>
        <rFont val="Arial"/>
        <family val="2"/>
      </rPr>
      <t>2</t>
    </r>
  </si>
  <si>
    <t>FanBase_Str_Inertia_PlateBeside_Btm_LB</t>
  </si>
  <si>
    <t>FanBase_Str_Inertia_Plate_Flange_IntMtrNotch_BtmFiller_XLoc</t>
  </si>
  <si>
    <r>
      <t>InertiaPlate_Zone1_X</t>
    </r>
    <r>
      <rPr>
        <sz val="8"/>
        <rFont val="Arial"/>
        <family val="2"/>
      </rPr>
      <t>2</t>
    </r>
  </si>
  <si>
    <r>
      <t>InertiaConcrete_Zone1_X</t>
    </r>
    <r>
      <rPr>
        <sz val="8"/>
        <rFont val="Arial"/>
        <family val="2"/>
      </rPr>
      <t>2</t>
    </r>
  </si>
  <si>
    <t>INERTIA REBAR ZONE 2 WEIGHT ADD</t>
  </si>
  <si>
    <t>Plate2 S4</t>
  </si>
  <si>
    <t>TopDischTrans_GA</t>
  </si>
  <si>
    <t>TOP DISCHARGE TRANSITION THICKNESS</t>
  </si>
  <si>
    <t>TopDischTrans_Stiffener_ArrayDist</t>
  </si>
  <si>
    <t>WLDMNT_Base4_LIA_FlngD</t>
  </si>
  <si>
    <t>WLDMNT_IntRail_DOA_Base6_LH_Suppresion</t>
  </si>
  <si>
    <t>WLDMNT_FanHole_XLoc</t>
  </si>
  <si>
    <t>WLDMNT_D3</t>
  </si>
  <si>
    <t>WLDMNT_F1</t>
  </si>
  <si>
    <t>WLDMNT_IntRail_DOA_Base4_RH_Suppresion</t>
  </si>
  <si>
    <t>WLDMNT_MtrRail_ZLoc</t>
  </si>
  <si>
    <t>mtrbs dow hole loc lh</t>
  </si>
  <si>
    <t>mtr sup rail zloc</t>
  </si>
  <si>
    <t>WLDMNT_IntRail_DOA_Rail2_Suppresion</t>
  </si>
  <si>
    <t>16-8921</t>
  </si>
  <si>
    <t>Added valid variable list to Data sheet</t>
  </si>
  <si>
    <t>R</t>
  </si>
  <si>
    <t>213T</t>
  </si>
  <si>
    <t>MTR_H</t>
  </si>
  <si>
    <t>MTR_D</t>
  </si>
  <si>
    <t>ECN Number</t>
  </si>
  <si>
    <t>#8 Hardware AB, B</t>
  </si>
  <si>
    <t>Active Product "XT"</t>
  </si>
  <si>
    <t>Inventor Material Designation</t>
  </si>
  <si>
    <t>Hole Size / Texture</t>
  </si>
  <si>
    <t xml:space="preserve">Plate,Dia,Al,.188_3003   </t>
  </si>
  <si>
    <t>36 X 96</t>
  </si>
  <si>
    <t>ALUP080B</t>
  </si>
  <si>
    <t>ALUP063A</t>
  </si>
  <si>
    <t>ALUS050A</t>
  </si>
  <si>
    <t>005 06169 010</t>
  </si>
  <si>
    <t>GLVC034A</t>
  </si>
  <si>
    <t>Plate,Steel 0.188</t>
  </si>
  <si>
    <t>005 07119 375</t>
  </si>
  <si>
    <t>7</t>
  </si>
  <si>
    <t>.112</t>
  </si>
  <si>
    <t>STLHR068A</t>
  </si>
  <si>
    <t>GLVPP070A</t>
  </si>
  <si>
    <t>Sheet,Pre-Paint,Msftwhite,18ga</t>
  </si>
  <si>
    <t xml:space="preserve">Sheet,Perf,Glv,40.3%,20ga </t>
  </si>
  <si>
    <t>1-1/2" wide diamond</t>
  </si>
  <si>
    <t>005 06579 100</t>
  </si>
  <si>
    <t>48 x 96</t>
  </si>
  <si>
    <t>Channel,Rf,16ga,Glv,4.67w_Flat, YC 2" Housing Channel</t>
  </si>
  <si>
    <t>5.67 X Lg</t>
  </si>
  <si>
    <t>GLVS056D</t>
  </si>
  <si>
    <t>GLVS045A</t>
  </si>
  <si>
    <t>.105</t>
  </si>
  <si>
    <t>SSTP060B</t>
  </si>
  <si>
    <t>SSTE146-</t>
  </si>
  <si>
    <t>SSLS135-</t>
  </si>
  <si>
    <t>005 07104 020</t>
  </si>
  <si>
    <t>008 02571 080</t>
  </si>
  <si>
    <t>CHANNEL LOCATION DIMENSIONS (Z_LOCATION)
FROM PRIMARY_Z_PLANE (SEGMENT START)</t>
  </si>
  <si>
    <t>FLOOR_CHAN_3</t>
  </si>
  <si>
    <t>FLOOR_CHAN_7</t>
  </si>
  <si>
    <t>ROOF_CHAN_3</t>
  </si>
  <si>
    <t>ROOF_CHAN_7</t>
  </si>
  <si>
    <t>RIGHT_HAND_CHAN_2</t>
  </si>
  <si>
    <t>LEFT_HAND_CHAN_3</t>
  </si>
  <si>
    <t>Plate</t>
  </si>
  <si>
    <t>Motor Data</t>
  </si>
  <si>
    <t>Standard Suppresion</t>
  </si>
  <si>
    <t>GRAY</t>
  </si>
  <si>
    <t>Isolator Data</t>
  </si>
  <si>
    <t>MAT_GA</t>
  </si>
  <si>
    <t>MAT_MINT</t>
  </si>
  <si>
    <t>MAT_DESC</t>
  </si>
  <si>
    <t>MAT_DXF</t>
  </si>
  <si>
    <t>Sheet Products, Solid</t>
  </si>
  <si>
    <t>STL_FTR</t>
  </si>
  <si>
    <t>001-07500-000</t>
  </si>
  <si>
    <t>A572 HRS</t>
  </si>
  <si>
    <t>001 08406 100</t>
  </si>
  <si>
    <t xml:space="preserve">Tubing 2 X 2 X .120           </t>
  </si>
  <si>
    <t>IN length</t>
  </si>
  <si>
    <t>ALUT42M-</t>
  </si>
  <si>
    <t>Extrusion,Frame,Outswing,2", YC, 204" L</t>
  </si>
  <si>
    <t xml:space="preserve">Channel Aluminum 6x4.03 Lb/Ft </t>
  </si>
  <si>
    <t>ISO_S4_BHW</t>
  </si>
  <si>
    <t>FIA SPRING LOC</t>
  </si>
  <si>
    <t>Key Slot Dimensions</t>
  </si>
  <si>
    <t>MTRBS_BB</t>
  </si>
  <si>
    <t>MTRBS_XC</t>
  </si>
  <si>
    <t>MTRBS_Bstyle_Suppresion</t>
  </si>
  <si>
    <t>Isolator Support Angle Data</t>
  </si>
  <si>
    <t>FanBase_Str_IsoSup_ANG_HD2</t>
  </si>
  <si>
    <t>Total Load S2</t>
  </si>
  <si>
    <t>Fan S4</t>
  </si>
  <si>
    <r>
      <t>Fan_X</t>
    </r>
    <r>
      <rPr>
        <sz val="8"/>
        <rFont val="Arial"/>
        <family val="2"/>
      </rPr>
      <t>1</t>
    </r>
  </si>
  <si>
    <t>5/16-18 UNC</t>
  </si>
  <si>
    <t>C_MTR_MIN</t>
  </si>
  <si>
    <t>B_Total_MtrBase_ADJ_Length</t>
  </si>
  <si>
    <t>Motor_ChannelO</t>
  </si>
  <si>
    <t>FanBase_Str_MIA_ANG_Lookup</t>
  </si>
  <si>
    <t>PERIMETER STEEL</t>
  </si>
  <si>
    <t>TYPE C</t>
  </si>
  <si>
    <t>FanBase_Str_FIA_ANG_XLoc</t>
  </si>
  <si>
    <t>Inertia Base Data</t>
  </si>
  <si>
    <t>FanBase_Str_Inertia_Plate2_Suppresion</t>
  </si>
  <si>
    <t>FanBase_Str_Inertia_Plate4_XDim</t>
  </si>
  <si>
    <t>FanBase_Str_Inertia_Plate3_ZDim</t>
  </si>
  <si>
    <t>FanBase_Str_Inertia_Rebar_Zone1_ZLength</t>
  </si>
  <si>
    <t>FanBase_Str_Inertia_Rebar_Zone3_XArrayDist</t>
  </si>
  <si>
    <t>PLTS4_SL1</t>
  </si>
  <si>
    <t>FanBase_Str_Inertia_Concrete_Zone2_LB</t>
  </si>
  <si>
    <t>Sheetmetal Weight lb/sqft/in</t>
  </si>
  <si>
    <t>2d-1000n-Sb</t>
  </si>
  <si>
    <t>AMSR-1C STANDARD</t>
  </si>
  <si>
    <t>FAN_MAX_T_FRAME_CL3</t>
  </si>
  <si>
    <t>FAN_J_CL1</t>
  </si>
  <si>
    <t>FAN_KSD_CL2</t>
  </si>
  <si>
    <t>FAN_P_CL3</t>
  </si>
  <si>
    <t>n/a</t>
  </si>
  <si>
    <t>165H</t>
  </si>
  <si>
    <t>245T</t>
  </si>
  <si>
    <t>330B</t>
  </si>
  <si>
    <t>FAN_FRAME_CUT_FIA</t>
  </si>
  <si>
    <t>FAN_FRAME_CUT_LIA</t>
  </si>
  <si>
    <t>STL HOT ROLL</t>
  </si>
  <si>
    <t>R-777</t>
  </si>
  <si>
    <r>
      <t>MotorSupRail1_Z</t>
    </r>
    <r>
      <rPr>
        <sz val="8"/>
        <rFont val="Arial"/>
        <family val="2"/>
      </rPr>
      <t>2</t>
    </r>
  </si>
  <si>
    <t>FanBase_Str_Inertia_Plate3_ZLoc</t>
  </si>
  <si>
    <t>FanBase_Str_Inertia_Plate_X_Hole1_ArrayDist</t>
  </si>
  <si>
    <t>FanBase_Str_Inertia_Plate_X_Hole_XStart</t>
  </si>
  <si>
    <t>IntFanRail DOA S1</t>
  </si>
  <si>
    <r>
      <t>InertiaRebar_Zone2_X</t>
    </r>
    <r>
      <rPr>
        <sz val="8"/>
        <rFont val="Arial"/>
        <family val="2"/>
      </rPr>
      <t>1</t>
    </r>
  </si>
  <si>
    <t>INERTIA CONCRETE ZONE 1 WEIGHT ADD</t>
  </si>
  <si>
    <t>MtrSup2 S1</t>
  </si>
  <si>
    <t>Plate1 S4</t>
  </si>
  <si>
    <t>Rebar2 S3</t>
  </si>
  <si>
    <t>Concrete2 S3</t>
  </si>
  <si>
    <t>TopDischTrans_H</t>
  </si>
  <si>
    <t>TopDischTrans_Hole1_ArrayDist</t>
  </si>
  <si>
    <t>TopDischTrans_Stiffener_YLoc</t>
  </si>
  <si>
    <t>WLDMNT_D7</t>
  </si>
  <si>
    <t>WLDMNT_F5</t>
  </si>
  <si>
    <t>NAME</t>
  </si>
  <si>
    <t>F2</t>
  </si>
  <si>
    <t>D4</t>
  </si>
  <si>
    <t>WLDMNT_MtrRail_Spacing</t>
  </si>
  <si>
    <t>fan dow hole loc lh</t>
  </si>
  <si>
    <t>WLDMNT_IntRail_DOA_Rail2_BBH_LIA_Suppresion</t>
  </si>
  <si>
    <t>WLDMNT_FanHole_6_LHSuppresion_BS</t>
  </si>
  <si>
    <t>WLDMNT_FanHole_6_LHSuppresion_BBS</t>
  </si>
  <si>
    <t>Iso S4</t>
  </si>
  <si>
    <t>Iso Plate S3</t>
  </si>
  <si>
    <t>Yes, No</t>
  </si>
  <si>
    <t>in</t>
  </si>
  <si>
    <t>1/8 Rivet</t>
  </si>
  <si>
    <t>145T</t>
  </si>
  <si>
    <t>MTR_P</t>
  </si>
  <si>
    <t>NEW</t>
  </si>
  <si>
    <t>dia</t>
  </si>
  <si>
    <t>3/8 Hardware AB,B</t>
  </si>
  <si>
    <t>#8 Hardware D,F,G &amp;T</t>
  </si>
  <si>
    <t>1/2 Hardware</t>
  </si>
  <si>
    <t>0.208</t>
  </si>
  <si>
    <t>PRODUCT: Solution</t>
  </si>
  <si>
    <t>Solution Project, Raw material codes and calculations, Sheet or Coil stock, Square Foot</t>
  </si>
  <si>
    <t>.250</t>
  </si>
  <si>
    <t>SF</t>
  </si>
  <si>
    <t>Sheet, Expanded, AL</t>
  </si>
  <si>
    <t>16</t>
  </si>
  <si>
    <t>008 02335 000</t>
  </si>
  <si>
    <t>Aluminum Sht (Expanded/Flattened) 1/2 No..081 5005-H34</t>
  </si>
  <si>
    <t>.28x.94 diamond</t>
  </si>
  <si>
    <t>.050</t>
  </si>
  <si>
    <t>008 02570 040</t>
  </si>
  <si>
    <t>STLPL188A</t>
  </si>
  <si>
    <t>12</t>
  </si>
  <si>
    <t>HRSD097-</t>
  </si>
  <si>
    <t>.127</t>
  </si>
  <si>
    <t>GLVG100A</t>
  </si>
  <si>
    <t>48 x Lg</t>
  </si>
  <si>
    <t>005 07115 018</t>
  </si>
  <si>
    <t>005 07109 011</t>
  </si>
  <si>
    <t>GLVE120-</t>
  </si>
  <si>
    <t>GLVE146B</t>
  </si>
  <si>
    <t>.156</t>
  </si>
  <si>
    <t>R259 w/ note 4</t>
  </si>
  <si>
    <t>001 07591 567</t>
  </si>
  <si>
    <t>6.67 X Lg</t>
  </si>
  <si>
    <t>STL GALVS</t>
  </si>
  <si>
    <t>005 06146 012</t>
  </si>
  <si>
    <t>Sheet, Perf, SST</t>
  </si>
  <si>
    <t>SSTP048B</t>
  </si>
  <si>
    <t>SSTP035A</t>
  </si>
  <si>
    <t>.029</t>
  </si>
  <si>
    <t xml:space="preserve">Sheet,316lss, 14ga </t>
  </si>
  <si>
    <t>SSLS075-</t>
  </si>
  <si>
    <t>SSLS035-</t>
  </si>
  <si>
    <t>Stucco Finish</t>
  </si>
  <si>
    <t>3. The max sheet size is 60 X 144 inches for sheet stock material</t>
  </si>
  <si>
    <t>ROOF_CHAN_10</t>
  </si>
  <si>
    <t>ROOF_CHAN_14</t>
  </si>
  <si>
    <t>Y_ARRAY_SPACING</t>
  </si>
  <si>
    <t>RIGHT_HAND_CHAN_6</t>
  </si>
  <si>
    <t>LEFT_HAND_CHAN_7</t>
  </si>
  <si>
    <t>AMSR-2E OFFSET</t>
  </si>
  <si>
    <t>Offset Suppresion</t>
  </si>
  <si>
    <t>Spring Length Loc 2</t>
  </si>
  <si>
    <t>JCI MINIMUM LOAD RANGE</t>
  </si>
  <si>
    <t>ISO_S2_PartNumber</t>
  </si>
  <si>
    <t>ISO_S4_BL</t>
  </si>
  <si>
    <t>ISO_S2_BW</t>
  </si>
  <si>
    <t>MAT_RSTD</t>
  </si>
  <si>
    <t>MAT_DESG</t>
  </si>
  <si>
    <t>STL_WT</t>
  </si>
  <si>
    <t>4" x 7.25# Structural Channel</t>
  </si>
  <si>
    <t>8" x 11.5# Structural Channel</t>
  </si>
  <si>
    <t>12" x 20.7# Structural Channel</t>
  </si>
  <si>
    <t>001-07530-006</t>
  </si>
  <si>
    <t>Base Hole Loc Length</t>
  </si>
  <si>
    <t>ISO_BHW</t>
  </si>
  <si>
    <t>3/4" x 3/4" x 1/8" Structural Angle</t>
  </si>
  <si>
    <t>MTRBS_AM</t>
  </si>
  <si>
    <t>Motor Base Data</t>
  </si>
  <si>
    <t>FanBase_Str_FIA_LIA_CHAN_WT</t>
  </si>
  <si>
    <t>FanBase_Str_FIA_LIA_CHAN_LB</t>
  </si>
  <si>
    <t>ISO SUPPORT ANGLE P/N</t>
  </si>
  <si>
    <t>FanBase_Str_IsoSup_ANG_WT</t>
  </si>
  <si>
    <t>FanBase_Str_IsoSup_ANG_LB</t>
  </si>
  <si>
    <r>
      <t>Motor_X</t>
    </r>
    <r>
      <rPr>
        <sz val="8"/>
        <rFont val="Arial"/>
        <family val="2"/>
      </rPr>
      <t>2</t>
    </r>
  </si>
  <si>
    <t>HDWR_LWOD</t>
  </si>
  <si>
    <t>Hex Nut Heavy
Outside Diameter</t>
  </si>
  <si>
    <t>Min_Dist_HoleCtr_To_SteelWeb_FIA/LIA_Rail</t>
  </si>
  <si>
    <t>ISO_S4_ZLoc</t>
  </si>
  <si>
    <t>Center_DistanceO</t>
  </si>
  <si>
    <t>MIA Angle Data</t>
  </si>
  <si>
    <t>MTRBS_AdjBoltHeadThickness</t>
  </si>
  <si>
    <t>Center Distance override - Default = 0</t>
  </si>
  <si>
    <t>FanBase_Str_IsoSup_ANG_S2_Gusset_Suppresion</t>
  </si>
  <si>
    <t>FanBase_Str_Inertia_Rebar_Zone2_ZLength</t>
  </si>
  <si>
    <t>FanBase_Str_Inertia_Rebar_Zone2_ZArrayDist</t>
  </si>
  <si>
    <t>PLT_SLI</t>
  </si>
  <si>
    <t>FanBase_Str_Inertia_Concrete_Zone1_LB</t>
  </si>
  <si>
    <t>FanBase_Str_Inertia_Plate_Flange_EndNotch</t>
  </si>
  <si>
    <t>1c-150-Sb</t>
  </si>
  <si>
    <t>1c-300-Sb</t>
  </si>
  <si>
    <t xml:space="preserve">2d-355-Sb </t>
  </si>
  <si>
    <t xml:space="preserve">2d-435-Sb </t>
  </si>
  <si>
    <t>2d-600n-Sb</t>
  </si>
  <si>
    <t>FAN_SD_CL2</t>
  </si>
  <si>
    <t>FAN_A</t>
  </si>
  <si>
    <t>FAN_BAW</t>
  </si>
  <si>
    <t>FAN_BAW_CL1/CL2</t>
  </si>
  <si>
    <t>FAN_Sheave_LB</t>
  </si>
  <si>
    <t>FAN_FanBlade_Direction</t>
  </si>
  <si>
    <t>Wheel  Data Dimensions</t>
  </si>
  <si>
    <t>FAN_BRG_SUP_W_CL1</t>
  </si>
  <si>
    <t>300H</t>
  </si>
  <si>
    <t>Distance from segment start to fan discharge start - Default = 0"</t>
  </si>
  <si>
    <t>FIAtoLIA_Channel_Distance</t>
  </si>
  <si>
    <t>FanBase_Str_DOA_CHAN_HoleLoc_Plane</t>
  </si>
  <si>
    <t>GALV EXPBY</t>
  </si>
  <si>
    <t>.04</t>
  </si>
  <si>
    <t>ALM DIA</t>
  </si>
  <si>
    <t>FanBase_Str_DOW_INT_CHAN_H</t>
  </si>
  <si>
    <t>FanBase_Str_DOW_INT_CHAN_D</t>
  </si>
  <si>
    <t>FanBase_Str_Inertia_Plate_X_Hole_YLoc</t>
  </si>
  <si>
    <t>FanBase_Str_Inertia_Plate_X_Hole_Eng_Hole_Dia</t>
  </si>
  <si>
    <t>FanBase_Str_Inertia_Plate_X_Hole_Clr_Hole_Dia</t>
  </si>
  <si>
    <t>FanBase_Str_Inertia_PlateBeside_Btm_Suppresion</t>
  </si>
  <si>
    <t>FanBase_Str_Inertia_Plate_Flange_BtmDischNotch_XDim</t>
  </si>
  <si>
    <t>FanBase_Str_Inertia_Plate_Flange_BtmDischNotch_XLoc</t>
  </si>
  <si>
    <t>FanBase_Str_Inertia_Rebar_Zone1_XDim_Hole_Calc</t>
  </si>
  <si>
    <t>Inertia Plate Weight Total Zone1</t>
  </si>
  <si>
    <r>
      <t>InertiaRebar_Zone1_Z</t>
    </r>
    <r>
      <rPr>
        <sz val="8"/>
        <rFont val="Arial"/>
        <family val="2"/>
      </rPr>
      <t>1</t>
    </r>
  </si>
  <si>
    <t>MtrSup1 S1</t>
  </si>
  <si>
    <t>Rebar1 S3</t>
  </si>
  <si>
    <t>Concrete1 S3</t>
  </si>
  <si>
    <t>TopDischTrans_Fan_Gap</t>
  </si>
  <si>
    <t>INERTIA FAN BASE SHEETMETAL BTM PANEL THICKNESS</t>
  </si>
  <si>
    <t>TopDischTrans_Stiffener_RH_LH_Hole1_ArrayQty</t>
  </si>
  <si>
    <t>WLDMNT_Base_THK</t>
  </si>
  <si>
    <t>WLDMNT_IntRail_DOA_ZLoc</t>
  </si>
  <si>
    <t>WLDMNT_MtrBaseHole_Spacing_X</t>
  </si>
  <si>
    <t>F6</t>
  </si>
  <si>
    <t>MB3</t>
  </si>
  <si>
    <t>D8</t>
  </si>
  <si>
    <t>WLDMNT_IntRail_DOA_Base4_BH_Suppresion</t>
  </si>
  <si>
    <t>WLDMNT_MtrRail_XLoc</t>
  </si>
  <si>
    <t>WLDMNT_FanHole_6_RHSuppresion_BS</t>
  </si>
  <si>
    <t>C</t>
  </si>
  <si>
    <t>FANCLASS</t>
  </si>
  <si>
    <t>404T</t>
  </si>
  <si>
    <t>MTR_KWL</t>
  </si>
  <si>
    <t>PS</t>
  </si>
  <si>
    <t>SPECIAL HOLE SIZES</t>
  </si>
  <si>
    <t>0.437</t>
  </si>
  <si>
    <t>0.375</t>
  </si>
  <si>
    <t>Metal Thickness Min.</t>
  </si>
  <si>
    <t>Grating</t>
  </si>
  <si>
    <t>008 02573 063</t>
  </si>
  <si>
    <t>008 02570 080</t>
  </si>
  <si>
    <t xml:space="preserve">Sheet,Al,3003h14,.040         </t>
  </si>
  <si>
    <t>Sheet, Corrugated</t>
  </si>
  <si>
    <t>Galvanized Steel, Corrugated, 4” Box Rib Profile</t>
  </si>
  <si>
    <t>Plate, Steel</t>
  </si>
  <si>
    <t xml:space="preserve">Plate,Steel,0.5 </t>
  </si>
  <si>
    <t>STLPL375A</t>
  </si>
  <si>
    <t>Plate, Diamond, HR</t>
  </si>
  <si>
    <t>.069</t>
  </si>
  <si>
    <t>005 07113 010</t>
  </si>
  <si>
    <t>001 07516 000</t>
  </si>
  <si>
    <t>Sheet, Perf</t>
  </si>
  <si>
    <t xml:space="preserve">Sheet,Perf,Glv,47%,18ga </t>
  </si>
  <si>
    <t>005 06596 010</t>
  </si>
  <si>
    <t>005 06150 000</t>
  </si>
  <si>
    <t>STL GALV</t>
  </si>
  <si>
    <t>STL GALV4</t>
  </si>
  <si>
    <t>005 06161 001</t>
  </si>
  <si>
    <t>GLVS028-</t>
  </si>
  <si>
    <t>005 06146 016</t>
  </si>
  <si>
    <t>Plate, Diamond, SST</t>
  </si>
  <si>
    <t>SSTS105-</t>
  </si>
  <si>
    <t>005 07114 018</t>
  </si>
  <si>
    <t>SSTS165-</t>
  </si>
  <si>
    <t>304L</t>
  </si>
  <si>
    <t xml:space="preserve">Sheet,304lss,16ga </t>
  </si>
  <si>
    <t>316L</t>
  </si>
  <si>
    <t xml:space="preserve">Sheet,316lss, 22ga </t>
  </si>
  <si>
    <t>008 02168 000</t>
  </si>
  <si>
    <t>FLOOR_CHAN_10</t>
  </si>
  <si>
    <t>FLOOR_CHAN_14</t>
  </si>
  <si>
    <t>Parameter</t>
  </si>
  <si>
    <t>Fan Data</t>
  </si>
  <si>
    <t>Plate Width</t>
  </si>
  <si>
    <t>Plate Hole Dia</t>
  </si>
  <si>
    <t>Spring Width Loc 1</t>
  </si>
  <si>
    <t>PINK</t>
  </si>
  <si>
    <t>444T</t>
  </si>
  <si>
    <t>ISO_S2_OPHGT</t>
  </si>
  <si>
    <t>ISO_S3_BL</t>
  </si>
  <si>
    <t>ISO_S1_BW</t>
  </si>
  <si>
    <t>001-07519-000</t>
  </si>
  <si>
    <t>001 08405 104</t>
  </si>
  <si>
    <t>001 08405 006</t>
  </si>
  <si>
    <t xml:space="preserve">Tubing 3 X 3 X .120           </t>
  </si>
  <si>
    <t>Track,Fltr,Mid,W/4_Pre</t>
  </si>
  <si>
    <t>Copper Type L</t>
  </si>
  <si>
    <t>Aluminum, Shapes</t>
  </si>
  <si>
    <t>ISO_S3_BHW</t>
  </si>
  <si>
    <t>001-08408-002</t>
  </si>
  <si>
    <t>001 08406 075</t>
  </si>
  <si>
    <t>391 25729 000</t>
  </si>
  <si>
    <t>MTRBS_FRAME</t>
  </si>
  <si>
    <t>MTRBS_AU</t>
  </si>
  <si>
    <t>FanBase_Str_MtrSup_CHAN_H</t>
  </si>
  <si>
    <t>FanBase_Str_MtrSup_CHAN_D</t>
  </si>
  <si>
    <t>FanBase_Str_FIA_LIA_CHAN_FTR</t>
  </si>
  <si>
    <t>SPRING DESIGNATION</t>
  </si>
  <si>
    <t>091 20019 010</t>
  </si>
  <si>
    <t>MtrBase S4</t>
  </si>
  <si>
    <t>PerSteel S4</t>
  </si>
  <si>
    <t>Weight</t>
  </si>
  <si>
    <r>
      <t>MotorBase_Z</t>
    </r>
    <r>
      <rPr>
        <sz val="8"/>
        <rFont val="Arial"/>
        <family val="2"/>
      </rPr>
      <t>2</t>
    </r>
  </si>
  <si>
    <t>FanBase_Str_DOA_ANG_IsoHole_HD1</t>
  </si>
  <si>
    <t>HDWR_BOD</t>
  </si>
  <si>
    <t>HDWR_NOD</t>
  </si>
  <si>
    <t>Hardware Nominal Hole Dia</t>
  </si>
  <si>
    <t>Flat Washer
(ANSI A Narrow)
Outside Diameter</t>
  </si>
  <si>
    <t>ISO_TopNut_Plane_Loc</t>
  </si>
  <si>
    <t>FanBase_Str_FIA_LIA_CHAN_XLoc</t>
  </si>
  <si>
    <t>FanBase_Str_DOA_ANG_MTRBS_L_Add</t>
  </si>
  <si>
    <r>
      <t>IntRail_DOW_Z</t>
    </r>
    <r>
      <rPr>
        <sz val="8"/>
        <rFont val="Arial"/>
        <family val="2"/>
      </rPr>
      <t>2</t>
    </r>
  </si>
  <si>
    <t>IntRail DOW S1</t>
  </si>
  <si>
    <t>Motor</t>
  </si>
  <si>
    <t>"-", TYPEA, TYPEB, or TYPEC - Forces fan base to Type A, B or C regardless of fan size - STD = TypeA fan &lt;=222, TypeB fan &gt;222 and &lt;=365, TypeC fan &gt;365 - Default = "-"</t>
  </si>
  <si>
    <t>FanBase_Str_Inertia_Rebar_Zone3_ZLength</t>
  </si>
  <si>
    <t>FanBase_Str_Inertia_Rebar_Zone1_XArray_ZStart</t>
  </si>
  <si>
    <t>PLTS3_SL1</t>
  </si>
  <si>
    <t>InertiaPlateThkO</t>
  </si>
  <si>
    <t>1c-520n-Sb</t>
  </si>
  <si>
    <t xml:space="preserve">2d-160-Sb </t>
  </si>
  <si>
    <t>ISO_S4_BT</t>
  </si>
  <si>
    <t>ISO_S4_BHD</t>
  </si>
  <si>
    <t>Adjustment Bolt Diameter</t>
  </si>
  <si>
    <t>091 20019 014</t>
  </si>
  <si>
    <t>Twin City BAE DWDI Fan Data (Down Discharge)</t>
  </si>
  <si>
    <t>FAN_GC</t>
  </si>
  <si>
    <t>FAN_BAH_CL1/CL2</t>
  </si>
  <si>
    <t>FAN_G_CL1/CL2</t>
  </si>
  <si>
    <t>FAN_B_CL3</t>
  </si>
  <si>
    <t>FAN_HE_CL3</t>
  </si>
  <si>
    <t>FAN_DD</t>
  </si>
  <si>
    <t>200H</t>
  </si>
  <si>
    <t>165T</t>
  </si>
  <si>
    <t>300T</t>
  </si>
  <si>
    <t>FAN_DC_B_CL1/CL2</t>
  </si>
  <si>
    <t>FAN_HN_B_CL1/CL2</t>
  </si>
  <si>
    <t>222B</t>
  </si>
  <si>
    <t>270B</t>
  </si>
  <si>
    <t>Fan_Disch_X_Distance (F, FI, R, RI)</t>
  </si>
  <si>
    <t>FanBase_Str_DB_ANG_ZLoc</t>
  </si>
  <si>
    <t>GALV PRFF</t>
  </si>
  <si>
    <t>Sheet Products, Expanded or Textured</t>
  </si>
  <si>
    <t>FanBase_Str_DOW_INT_CHAN_L</t>
  </si>
  <si>
    <t>FanBase_Str_DOW_INT_CHAN_LBFT</t>
  </si>
  <si>
    <r>
      <t>MotorSupRail1_X</t>
    </r>
    <r>
      <rPr>
        <sz val="8"/>
        <rFont val="Arial"/>
        <family val="2"/>
      </rPr>
      <t>2</t>
    </r>
  </si>
  <si>
    <t>FanBase_Str_Inertia_PlateBeside_BtmFiller_ZDim</t>
  </si>
  <si>
    <t>FanBase_Str_Inertia_PlateBeside_BtmFiller_ZLoc</t>
  </si>
  <si>
    <t>FanBase_Str_Inertia_PlateBeside_BtmInvFiller_LB</t>
  </si>
  <si>
    <t>FanBase_Str_Inertia_Plate_X_Hole3_XLoc</t>
  </si>
  <si>
    <t>FanBase_Str_Inertia_Plate_X_Hole3_Suppresion</t>
  </si>
  <si>
    <t>INTERNAL FAN RAIL DIRECTION OF AIRFLOW</t>
  </si>
  <si>
    <t>IntMtrRail DOA S4</t>
  </si>
  <si>
    <r>
      <t>InertiaPlate_Zone2_Z</t>
    </r>
    <r>
      <rPr>
        <sz val="8"/>
        <rFont val="Arial"/>
        <family val="2"/>
      </rPr>
      <t>1</t>
    </r>
  </si>
  <si>
    <r>
      <t>InertiaConcrete_Zone2_Z</t>
    </r>
    <r>
      <rPr>
        <sz val="8"/>
        <rFont val="Arial"/>
        <family val="2"/>
      </rPr>
      <t>1</t>
    </r>
  </si>
  <si>
    <t>INERTIA REBAR ZONE 1 WEIGHT ADD</t>
  </si>
  <si>
    <t>TopDischTrans_X</t>
  </si>
  <si>
    <t>Weldment Model Data</t>
  </si>
  <si>
    <t>WLDMNT_MB4</t>
  </si>
  <si>
    <t>WLDMNT_IntRail_DOW_Zloc_BtmDisch</t>
  </si>
  <si>
    <t>fan dow hole spcg</t>
  </si>
  <si>
    <t>lia dow rail loc</t>
  </si>
  <si>
    <t>D11</t>
  </si>
  <si>
    <t>WLDMNT_IntRail_DOA_Rail1_Suppresion</t>
  </si>
  <si>
    <t>WLDMNT_FanHole_6_LHSuppresion_BBH</t>
  </si>
  <si>
    <t>17-9501</t>
  </si>
  <si>
    <t>364T</t>
  </si>
  <si>
    <t>324T</t>
  </si>
  <si>
    <t>102-006.xls</t>
  </si>
  <si>
    <t>008 02572 125</t>
  </si>
  <si>
    <t>008 02596 102</t>
  </si>
  <si>
    <t>1" 19-Ap-4</t>
  </si>
  <si>
    <t>Sheet,Perf,Al,40.3%,.050, 3003h14</t>
  </si>
  <si>
    <t>ALUS125A</t>
  </si>
  <si>
    <t>STLHR127A</t>
  </si>
  <si>
    <t>005 07113 014</t>
  </si>
  <si>
    <t>Msftwhite Paint</t>
  </si>
  <si>
    <t>005 06596 014</t>
  </si>
  <si>
    <t>Sheet, Expanded</t>
  </si>
  <si>
    <t>005 06145 012</t>
  </si>
  <si>
    <t>005 06145 016</t>
  </si>
  <si>
    <t>005 06160 001</t>
  </si>
  <si>
    <t>Grating,19-S-4,1h_.13thk ,Stainless Steel Grating</t>
  </si>
  <si>
    <t>SSTS029-</t>
  </si>
  <si>
    <t>Plate,Dia,304ss,.188</t>
  </si>
  <si>
    <t xml:space="preserve">Sheet,Exp_Mtl,Ss,304,9ga,1.5 Flattened </t>
  </si>
  <si>
    <t xml:space="preserve">Sheet,316lss, 12ga </t>
  </si>
  <si>
    <t>Sheet,Al_Text,3003h134,.080_Stucco</t>
  </si>
  <si>
    <t>1. All sheet or coil stock raw material will be calculated in Square Foot, (Width" X Length") / 144 = SQ. FT.</t>
  </si>
  <si>
    <t>X_ARRAY_OFFSET</t>
  </si>
  <si>
    <t>Y_ARRAY_QTY</t>
  </si>
  <si>
    <t>Thickness Outputs</t>
  </si>
  <si>
    <t>AMSR-2E STANDARD</t>
  </si>
  <si>
    <t>PLT_W</t>
  </si>
  <si>
    <t>PLT_SL2</t>
  </si>
  <si>
    <t>RED</t>
  </si>
  <si>
    <t>MOTORFRAME</t>
  </si>
  <si>
    <t>ISO_S2_BL</t>
  </si>
  <si>
    <t>Bolt Above Operating Height</t>
  </si>
  <si>
    <t>Base_Fan_Z_Location</t>
  </si>
  <si>
    <t>029 23800 103</t>
  </si>
  <si>
    <t>029 23800 107</t>
  </si>
  <si>
    <t xml:space="preserve">Revision Level : </t>
  </si>
  <si>
    <t>MAT_YC</t>
  </si>
  <si>
    <t>MAT_TYPE</t>
  </si>
  <si>
    <t>MAT_HLSZ</t>
  </si>
  <si>
    <t>Sheet Products, Corrugated</t>
  </si>
  <si>
    <t>LBS/FT</t>
  </si>
  <si>
    <t>STL_LBFT</t>
  </si>
  <si>
    <t>Steel, Angle</t>
  </si>
  <si>
    <t>1-1/2" x 1-1/2" x 1/4" Structural Angle</t>
  </si>
  <si>
    <t>Angle Blk 6 x 4 x .38 thk</t>
  </si>
  <si>
    <t>001-07578-000</t>
  </si>
  <si>
    <t>ALM TRK 42TB</t>
  </si>
  <si>
    <t>008 02331 010</t>
  </si>
  <si>
    <t xml:space="preserve">Extrusion,Frame,Inswing,2", YC, 204" L </t>
  </si>
  <si>
    <t>R80</t>
  </si>
  <si>
    <t>Channel Aluminum 12x11.82lb/Ft</t>
  </si>
  <si>
    <t>ISO_BHL</t>
  </si>
  <si>
    <t>ISO_S2_BHW</t>
  </si>
  <si>
    <t>ISO_S4_BHL</t>
  </si>
  <si>
    <t>LIA SPRING LOC</t>
  </si>
  <si>
    <t>FLOOR_CHAN_18</t>
  </si>
  <si>
    <t>391 20112 102</t>
  </si>
  <si>
    <t>MTRBS_Bstyle_Flange_W</t>
  </si>
  <si>
    <t>FanBase_Str_MtrSup_CHAN_L</t>
  </si>
  <si>
    <t>R19</t>
  </si>
  <si>
    <t>OPERATING HEIGHT</t>
  </si>
  <si>
    <t>SUPANG_WT</t>
  </si>
  <si>
    <t>Motor S3</t>
  </si>
  <si>
    <t>FIA/LIA Channel Data</t>
  </si>
  <si>
    <t>SUPANG_LB</t>
  </si>
  <si>
    <t>FanBase_Str_FIA_ANG_WT</t>
  </si>
  <si>
    <t>FanBase_Str_FIA_ANG_LB</t>
  </si>
  <si>
    <t>FanFace_to_StructBaseFace</t>
  </si>
  <si>
    <t>ISO_S4_XLoc</t>
  </si>
  <si>
    <t>INTERNAL RAIL DIRECTION OF WIDTH</t>
  </si>
  <si>
    <t>FanBase_Str_Inertia_BtmPlate_OutsideTollerance</t>
  </si>
  <si>
    <t>FanBase_Str_Inertia_Total_Plate_ZDim</t>
  </si>
  <si>
    <t>FanBase_Str_Inertia_Plate3_XDim</t>
  </si>
  <si>
    <t>FanBase_Str_Inertia_Plate2_ZDim</t>
  </si>
  <si>
    <t>FanBase_Str_Inertia_Rebar_Zone2_XArrayQty</t>
  </si>
  <si>
    <t>PLT_Upstream_SLI</t>
  </si>
  <si>
    <t>PLT_Dnstream_SLI</t>
  </si>
  <si>
    <t>PLTS2_SL1</t>
  </si>
  <si>
    <t>FanBase_Str_Inertia_Internal_DOA_ChannelSpace</t>
  </si>
  <si>
    <t>FanBase_Str_Inertia_Plate5_LB</t>
  </si>
  <si>
    <t>LH SPRING LOC</t>
  </si>
  <si>
    <t>029 23800 118</t>
  </si>
  <si>
    <t>029 23800 121</t>
  </si>
  <si>
    <t xml:space="preserve">2d-725-Sb  </t>
  </si>
  <si>
    <t>ISO_BHD</t>
  </si>
  <si>
    <t>ISO_HL</t>
  </si>
  <si>
    <t>ISO_S3_BT</t>
  </si>
  <si>
    <t>ISO_S3_BHD</t>
  </si>
  <si>
    <t>ISO_S2_ADJBD</t>
  </si>
  <si>
    <t>Twin City BAE DWDI Fan Data (Up Discharge)</t>
  </si>
  <si>
    <t>FAN_M</t>
  </si>
  <si>
    <t>FAN_Q</t>
  </si>
  <si>
    <t>FAN_H_CL1/CL2</t>
  </si>
  <si>
    <t>FAN_BoltHeadDia</t>
  </si>
  <si>
    <t>FAN_NutDia</t>
  </si>
  <si>
    <t>FAN_WH_DIA_Nominal</t>
  </si>
  <si>
    <t>FAN_A_CL3</t>
  </si>
  <si>
    <t>FAN_N_CL3</t>
  </si>
  <si>
    <t>FAN_INLET_FLG_W</t>
  </si>
  <si>
    <t>200T</t>
  </si>
  <si>
    <t>122B</t>
  </si>
  <si>
    <t>150B</t>
  </si>
  <si>
    <t>182B</t>
  </si>
  <si>
    <t>FAN_FRAME_TOP_Suppresion</t>
  </si>
  <si>
    <t>FIAtoLIA_Angle_Distance</t>
  </si>
  <si>
    <t>ALM GRATE</t>
  </si>
  <si>
    <t>FanBase_Str_DOW_INT_CHAN_ZLoc</t>
  </si>
  <si>
    <t>FanBase_Str_Inertia_Plate2_ZLoc</t>
  </si>
  <si>
    <t>FanBase_Str_Inertia_Plate_X_Hole_BtmFiller_StartPlane</t>
  </si>
  <si>
    <r>
      <t>IntFanRail_DOA_Z</t>
    </r>
    <r>
      <rPr>
        <sz val="8"/>
        <rFont val="Arial"/>
        <family val="2"/>
      </rPr>
      <t>1</t>
    </r>
  </si>
  <si>
    <r>
      <t>IntMtrRail_DOA_Z</t>
    </r>
    <r>
      <rPr>
        <sz val="8"/>
        <rFont val="Arial"/>
        <family val="2"/>
      </rPr>
      <t>1</t>
    </r>
  </si>
  <si>
    <t>Concrete Weight Total Zone1</t>
  </si>
  <si>
    <r>
      <t>InertiaRebar_Zone1_X</t>
    </r>
    <r>
      <rPr>
        <sz val="8"/>
        <rFont val="Arial"/>
        <family val="2"/>
      </rPr>
      <t>1</t>
    </r>
  </si>
  <si>
    <t>Plate2 S1</t>
  </si>
  <si>
    <t>TopDischTrans_Stiffener_RH_LH_L</t>
  </si>
  <si>
    <t>TopDischTrans_Eng_Hole_Dia</t>
  </si>
  <si>
    <t>TopDischTrans_Clr_Hole_Dia</t>
  </si>
  <si>
    <t>WLDMNT_ISOX</t>
  </si>
  <si>
    <t>WLDMNT_D4</t>
  </si>
  <si>
    <t>WLDMNT_F2</t>
  </si>
  <si>
    <t>WLDMNT_IntRail_DOA_Coping_Suppresion</t>
  </si>
  <si>
    <t>mtr sup rail mtr side overhang</t>
  </si>
  <si>
    <t>mtrbs dow hole spcg</t>
  </si>
  <si>
    <t>WLDMNT_IntRail_DOA_Rail1_BBH_FIA_Suppresion</t>
  </si>
  <si>
    <t>WLDMNT_FanHole_6_RHSuppresion_BH</t>
  </si>
  <si>
    <t>WLDMNT_FanHole_6_LHSuppresion_BH</t>
  </si>
  <si>
    <t>WLDMNT_FanHole_6_RHSuppresion_BBS</t>
  </si>
  <si>
    <t>Iso S1</t>
  </si>
  <si>
    <t>-, TYPEA, TYPEB, or TYPEC</t>
  </si>
  <si>
    <t>By</t>
  </si>
  <si>
    <t>284T</t>
  </si>
  <si>
    <t>MTR_D1</t>
  </si>
  <si>
    <t>MTR_E</t>
  </si>
  <si>
    <t>1/4 Hardware AB, B</t>
  </si>
  <si>
    <t>18-14 ga. (&gt;=.04 and &lt;=.09 thickness)</t>
  </si>
  <si>
    <t>3/8 Hardware</t>
  </si>
  <si>
    <t>1/4 Hardware - galv material</t>
  </si>
  <si>
    <t>28-20 ga. (&lt;.04 thickness)</t>
  </si>
  <si>
    <t>Engagement</t>
  </si>
  <si>
    <t>Metal Gauge</t>
  </si>
  <si>
    <t>Inventor Thickness Key_PK</t>
  </si>
  <si>
    <t>Plate, Diamond, AL</t>
  </si>
  <si>
    <t>001 07515 000</t>
  </si>
  <si>
    <t>8</t>
  </si>
  <si>
    <t>Plate,Steel,0.25</t>
  </si>
  <si>
    <t>.313</t>
  </si>
  <si>
    <t>48 X 96</t>
  </si>
  <si>
    <t xml:space="preserve">Plate,Dia,Hot-Rolled,.188 </t>
  </si>
  <si>
    <t>HRSD188-</t>
  </si>
  <si>
    <t>005 07115 022</t>
  </si>
  <si>
    <t>48 X Lg</t>
  </si>
  <si>
    <t>GLVP045A</t>
  </si>
  <si>
    <t>ALUP050A</t>
  </si>
  <si>
    <t>STRUCT GALV</t>
  </si>
  <si>
    <t>.120</t>
  </si>
  <si>
    <t>Sheet,Exp_Mtl,Glv,G90,9ga, 1.5 Flattened</t>
  </si>
  <si>
    <t>GLVS056E</t>
  </si>
  <si>
    <t>GLVS056A</t>
  </si>
  <si>
    <t>Galvanized Steel, Coil, XT Raceway</t>
  </si>
  <si>
    <t>GLVS045B</t>
  </si>
  <si>
    <t>.022</t>
  </si>
  <si>
    <t>005 07104 010</t>
  </si>
  <si>
    <t>005 07104 014</t>
  </si>
  <si>
    <t>FLOOR_CHAN_4</t>
  </si>
  <si>
    <t>ROOF_CHAN_4</t>
  </si>
  <si>
    <t>ROOF_CHAN_8</t>
  </si>
  <si>
    <t>RIGHT_HAND_CHAN_3</t>
  </si>
  <si>
    <t>AMSR-2D OFFSET</t>
  </si>
  <si>
    <t>Plate Part Numer</t>
  </si>
  <si>
    <t>Plate Asy Part Number (Plate &amp; 3/4-10x3 All-Thread Stubs)</t>
  </si>
  <si>
    <t>PLT_PH</t>
  </si>
  <si>
    <t>PLT_SW1</t>
  </si>
  <si>
    <t>Base_Fan_Y_Location</t>
  </si>
  <si>
    <t>STL_YC</t>
  </si>
  <si>
    <t>324 IN length</t>
  </si>
  <si>
    <t xml:space="preserve">Tubing 4 X 4 X .120           </t>
  </si>
  <si>
    <t>ALUT12M-</t>
  </si>
  <si>
    <t>ALUT14M-</t>
  </si>
  <si>
    <t>008 02330 010</t>
  </si>
  <si>
    <t xml:space="preserve">Extrusion,Door,2", YC, 204" L     </t>
  </si>
  <si>
    <t xml:space="preserve">Tube,Cu,.63od_.020thk         </t>
  </si>
  <si>
    <t>Alum, Tubing</t>
  </si>
  <si>
    <t>Tubing 1 x 1 x .065 304 SST</t>
  </si>
  <si>
    <t>ISO_S1_BHW</t>
  </si>
  <si>
    <t>ISO_S3_BHL</t>
  </si>
  <si>
    <t>Z - Location information only used if steel is oriented across the width of the unit.</t>
  </si>
  <si>
    <t>391 25728 000</t>
  </si>
  <si>
    <t>BESIDE or BEHIND</t>
  </si>
  <si>
    <t>FanBase_Str_MtrSup_CHAN_LBFT</t>
  </si>
  <si>
    <t>FanBase_Type</t>
  </si>
  <si>
    <t>MAXIMUM LOAD</t>
  </si>
  <si>
    <t>Total Load S3</t>
  </si>
  <si>
    <t>Fan S1</t>
  </si>
  <si>
    <t>Structural Fan Base Data Type A</t>
  </si>
  <si>
    <r>
      <t>MotorBase_X</t>
    </r>
    <r>
      <rPr>
        <sz val="8"/>
        <rFont val="Arial"/>
        <family val="2"/>
      </rPr>
      <t>2</t>
    </r>
  </si>
  <si>
    <t>Isolator Hole Data</t>
  </si>
  <si>
    <t>FanBase_Str_FIA_ANG_Lookup</t>
  </si>
  <si>
    <t>FanBase_Str_LIA_ANG_H</t>
  </si>
  <si>
    <t>FanBase_Str_LIA_ANG_D</t>
  </si>
  <si>
    <t>MTRBS_LockWasherDia</t>
  </si>
  <si>
    <t>MTR_HP</t>
  </si>
  <si>
    <t>FANWEIGHT</t>
  </si>
  <si>
    <t>Standard Fan Weights extracted from XML by MOM - Can be used as manual override for SQ purposes.</t>
  </si>
  <si>
    <t>MTR_Sheave_LB</t>
  </si>
  <si>
    <t>MTRBS_FlatWasherDia</t>
  </si>
  <si>
    <t>ISO_Tiedown_Bolt_Head_Dia</t>
  </si>
  <si>
    <t>ISO_S3_ZLoc</t>
  </si>
  <si>
    <t>B_MTR_Over_Max_Angle</t>
  </si>
  <si>
    <r>
      <t>IntRail_DOW_X</t>
    </r>
    <r>
      <rPr>
        <sz val="8"/>
        <rFont val="Arial"/>
        <family val="2"/>
      </rPr>
      <t>2</t>
    </r>
  </si>
  <si>
    <t>COG Calculations</t>
  </si>
  <si>
    <t>Fan</t>
  </si>
  <si>
    <t>FanBase_Str_IsoSup_ANG_S3_Gusset_Suppresion</t>
  </si>
  <si>
    <t>FanBase_Str_Inertia_Plate1_Suppresion</t>
  </si>
  <si>
    <t>FanBase_Str_Inertia_Rebar_Tollerance</t>
  </si>
  <si>
    <t>FanBase_Str_Inertia_Rebar_Zone1_ZArray_ZStart</t>
  </si>
  <si>
    <t>FanBase_Str_Inertia_Rebar_Zone2_XArrayDist</t>
  </si>
  <si>
    <t>PLTS1_SL1</t>
  </si>
  <si>
    <t>PLTS2_Designation</t>
  </si>
  <si>
    <t>PLTS4_SL2</t>
  </si>
  <si>
    <t>FanBase_Str_Inertia_Plate4_LB</t>
  </si>
  <si>
    <t xml:space="preserve">2d-230-Sb </t>
  </si>
  <si>
    <t>ISO_S2_BT</t>
  </si>
  <si>
    <t>ISO_TDBD</t>
  </si>
  <si>
    <t>ISO_S4_TDBD</t>
  </si>
  <si>
    <t>391 20112 106</t>
  </si>
  <si>
    <t>FAN_BAH</t>
  </si>
  <si>
    <t>FAN_J_CL2</t>
  </si>
  <si>
    <t>FAN_KSW_CL1</t>
  </si>
  <si>
    <t>FAN_KSD_CL3</t>
  </si>
  <si>
    <t>FAN_DX</t>
  </si>
  <si>
    <t>FAN_M_CL3</t>
  </si>
  <si>
    <t>FAN_HJ_CL1/CL2</t>
  </si>
  <si>
    <t>FAN_DC_T_CL1/CL2</t>
  </si>
  <si>
    <t>FAN_HN_T_CL1/CL2</t>
  </si>
  <si>
    <t>445B</t>
  </si>
  <si>
    <t>FanBase_Str_DOA_INT_ANG_LH_Location</t>
  </si>
  <si>
    <t>Down Blast Fan Angle Data</t>
  </si>
  <si>
    <t>FanBase_Str_DOA_INT_FAN_CHAN_Suppresion</t>
  </si>
  <si>
    <t>FanBase_Str_DOA_INT_FAN_CHAN_ZLoc</t>
  </si>
  <si>
    <t>ALM PRF</t>
  </si>
  <si>
    <t>GALV EXPA</t>
  </si>
  <si>
    <t>Sheet, Cloth</t>
  </si>
  <si>
    <t>FanBase_Str_Inertia_PlateBeside_BtmFiller_XDim</t>
  </si>
  <si>
    <t>FanBase_Str_Inertia_PlateBeside_BtmFiller_XLoc</t>
  </si>
  <si>
    <t>FanBase_Str_Inertia_Plate_X_Hole3_ArrayQty</t>
  </si>
  <si>
    <t>IntFanRail DOA S2</t>
  </si>
  <si>
    <t>Internal Mtr Rail DOA</t>
  </si>
  <si>
    <r>
      <t>InertiaPlate_Zone1_Z</t>
    </r>
    <r>
      <rPr>
        <sz val="8"/>
        <rFont val="Arial"/>
        <family val="2"/>
      </rPr>
      <t>1</t>
    </r>
  </si>
  <si>
    <r>
      <t>InertiaPlate_Zone2_X</t>
    </r>
    <r>
      <rPr>
        <sz val="8"/>
        <rFont val="Arial"/>
        <family val="2"/>
      </rPr>
      <t>1</t>
    </r>
  </si>
  <si>
    <r>
      <t>InertiaConcrete_Zone1_Z</t>
    </r>
    <r>
      <rPr>
        <sz val="8"/>
        <rFont val="Arial"/>
        <family val="2"/>
      </rPr>
      <t>1</t>
    </r>
  </si>
  <si>
    <r>
      <t>InertiaConcrete_Zone2_X</t>
    </r>
    <r>
      <rPr>
        <sz val="8"/>
        <rFont val="Arial"/>
        <family val="2"/>
      </rPr>
      <t>1</t>
    </r>
  </si>
  <si>
    <t>MtrSup2 S2</t>
  </si>
  <si>
    <t>Plate1 S1</t>
  </si>
  <si>
    <t>Rebar2 S4</t>
  </si>
  <si>
    <t>Concrete2 S4</t>
  </si>
  <si>
    <t>Fan_BtmDisch_Tolerance_Gap</t>
  </si>
  <si>
    <t>TopDischTrans_Stiffener_FIA_LIA_L</t>
  </si>
  <si>
    <t>WLDMNT_IntRail_DOA_XLoc</t>
  </si>
  <si>
    <t>WLDMNT_IntRail_DOA_Base6_RH_Suppresion</t>
  </si>
  <si>
    <t>WLDMNT_D8</t>
  </si>
  <si>
    <t>WLDMNT_F6</t>
  </si>
  <si>
    <t>VALUE</t>
  </si>
  <si>
    <t>ISOZ</t>
  </si>
  <si>
    <t>F3</t>
  </si>
  <si>
    <t>D1</t>
  </si>
  <si>
    <t>D5</t>
  </si>
  <si>
    <t>WLDMNT_Base4_FIA_Loc</t>
  </si>
  <si>
    <t>mtrbs doa lia hole loc</t>
  </si>
  <si>
    <t>Iso Plate S4</t>
  </si>
  <si>
    <t>BESIDE, BEHIND</t>
  </si>
  <si>
    <r>
      <t xml:space="preserve">Fan Class </t>
    </r>
    <r>
      <rPr>
        <b/>
        <sz val="10"/>
        <rFont val="Arial"/>
        <family val="2"/>
      </rPr>
      <t>1</t>
    </r>
    <r>
      <rPr>
        <sz val="10"/>
        <rFont val="Arial"/>
        <family val="2"/>
      </rPr>
      <t xml:space="preserve">, </t>
    </r>
    <r>
      <rPr>
        <b/>
        <sz val="10"/>
        <rFont val="Arial"/>
        <family val="2"/>
      </rPr>
      <t>2</t>
    </r>
    <r>
      <rPr>
        <sz val="10"/>
        <rFont val="Arial"/>
        <family val="2"/>
      </rPr>
      <t xml:space="preserve"> or </t>
    </r>
    <r>
      <rPr>
        <b/>
        <sz val="10"/>
        <rFont val="Arial"/>
        <family val="2"/>
      </rPr>
      <t>3</t>
    </r>
  </si>
  <si>
    <t>3/16 Rivet</t>
  </si>
  <si>
    <t>256T</t>
  </si>
  <si>
    <t>184T</t>
  </si>
  <si>
    <t>MTR_AB</t>
  </si>
  <si>
    <t>MTR_U</t>
  </si>
  <si>
    <t>8 ga. (&gt;= .14 thickness)</t>
  </si>
  <si>
    <t>0.136</t>
  </si>
  <si>
    <t>Title: Raw Material Part Numbers, Mapics Codes, Calculations And Others</t>
  </si>
  <si>
    <t>48 x 144</t>
  </si>
  <si>
    <t>ALUD250B</t>
  </si>
  <si>
    <t>48 X 120</t>
  </si>
  <si>
    <t>.080</t>
  </si>
  <si>
    <t>Sheet,Perf,Al,40.3%,.063, 3003h14</t>
  </si>
  <si>
    <t>008 02570 125</t>
  </si>
  <si>
    <t>20</t>
  </si>
  <si>
    <t>.040</t>
  </si>
  <si>
    <t>.055</t>
  </si>
  <si>
    <t>.044</t>
  </si>
  <si>
    <t>GLVPP045A</t>
  </si>
  <si>
    <t>.033</t>
  </si>
  <si>
    <t>GLVS126S</t>
  </si>
  <si>
    <t>GLVS070S</t>
  </si>
  <si>
    <t>.146</t>
  </si>
  <si>
    <t>GLVE146C</t>
  </si>
  <si>
    <t>Galvanized Steel</t>
  </si>
  <si>
    <t>Roll Form Coil</t>
  </si>
  <si>
    <t>2.491 X Lg</t>
  </si>
  <si>
    <t>24</t>
  </si>
  <si>
    <t>Stainless steel</t>
  </si>
  <si>
    <t>.048</t>
  </si>
  <si>
    <t>005 06146 020</t>
  </si>
  <si>
    <t>001 07514 000</t>
  </si>
  <si>
    <t>SSTD125-</t>
  </si>
  <si>
    <t>.135</t>
  </si>
  <si>
    <t xml:space="preserve">Sheet,Perf,304ss,40.3%,18ga </t>
  </si>
  <si>
    <t xml:space="preserve">Sheet,Perf,304ss,47%,18ga </t>
  </si>
  <si>
    <t xml:space="preserve">Sheet,316lss, 10ga </t>
  </si>
  <si>
    <t>005 07104 018</t>
  </si>
  <si>
    <t>Al,3105h14,.040, Stucco Emb Alum</t>
  </si>
  <si>
    <t>FLOOR CHANNELS</t>
  </si>
  <si>
    <t>FLOOR_CHAN_8</t>
  </si>
  <si>
    <t>ROOF_CHAN_11</t>
  </si>
  <si>
    <t>ROOF_CHAN_15</t>
  </si>
  <si>
    <t>RIGHT_HAND_CHAN_7</t>
  </si>
  <si>
    <t>LEFT_HAND_CHAN_4</t>
  </si>
  <si>
    <t>LEFT_HAND_CHAN_8</t>
  </si>
  <si>
    <t>LEFT_HAND_CHAN_10</t>
  </si>
  <si>
    <t>General</t>
  </si>
  <si>
    <t>AMSR-2D STANDARD</t>
  </si>
  <si>
    <t>PLT_OS</t>
  </si>
  <si>
    <t>ISO_S1_PartNumber</t>
  </si>
  <si>
    <t>ISO_S1_BL</t>
  </si>
  <si>
    <t>Isolator Designation</t>
  </si>
  <si>
    <t>ISO_BLT</t>
  </si>
  <si>
    <t>ISO_S4_BLT</t>
  </si>
  <si>
    <t>Fan_Start</t>
  </si>
  <si>
    <t>PLT_D</t>
  </si>
  <si>
    <t>Base_Fan_X_Location</t>
  </si>
  <si>
    <t>001-07517-000</t>
  </si>
  <si>
    <t xml:space="preserve">029 23800 110 </t>
  </si>
  <si>
    <t>6" x 8.2# Structural Channel</t>
  </si>
  <si>
    <t>001-07509-000</t>
  </si>
  <si>
    <t>1-1/4" x 1-1/4" x 1/4" Structural Angle</t>
  </si>
  <si>
    <t>Steel, AngleCoped</t>
  </si>
  <si>
    <t>001 07501 064</t>
  </si>
  <si>
    <t>Track,Fltr,Mid,W/2_Pre</t>
  </si>
  <si>
    <t>Track,Fltr,Top/Btm,W/4_Pre</t>
  </si>
  <si>
    <t>SST, Channel</t>
  </si>
  <si>
    <t>391 25727 000</t>
  </si>
  <si>
    <t>FanBase_Str_DOA_CHAN_Lookup</t>
  </si>
  <si>
    <t>001 08406 403</t>
  </si>
  <si>
    <t>SUPANG_PN</t>
  </si>
  <si>
    <t>SUPANG_FTR</t>
  </si>
  <si>
    <t>MtrBase S1</t>
  </si>
  <si>
    <r>
      <t>Fan_Z</t>
    </r>
    <r>
      <rPr>
        <sz val="8"/>
        <rFont val="Arial"/>
        <family val="2"/>
      </rPr>
      <t>2</t>
    </r>
  </si>
  <si>
    <t>FIA Angle Data</t>
  </si>
  <si>
    <t>FanBase_Str_LIA_ANG_L</t>
  </si>
  <si>
    <t>Bolt Outside Diameter</t>
  </si>
  <si>
    <t>3/8-16 UNC</t>
  </si>
  <si>
    <t>FanBase_Str_DOA_INT_ANG_H</t>
  </si>
  <si>
    <t>FanBase_Str_DOA_INT_ANG_D</t>
  </si>
  <si>
    <t>FanBase_Str_MIA_ANG_H</t>
  </si>
  <si>
    <t>FanBase_Str_MIA_ANG_D</t>
  </si>
  <si>
    <t>FanBase_Str_MIA_ANG_ZLoc</t>
  </si>
  <si>
    <t>FanBase_Str_IsoSup_ANG_Offset_S4_Loc</t>
  </si>
  <si>
    <t>FanBase_Str_IsoSup_ANG_Designation_S4_Loc</t>
  </si>
  <si>
    <t>FanBase_Str_FIA_CHAN_ZLoc</t>
  </si>
  <si>
    <t>FanBase_Str_IsoSup_ANG_STD_Offset</t>
  </si>
  <si>
    <t>FanBase_Str_Inertia_Total_Plate_XDim</t>
  </si>
  <si>
    <t>FanBase_Str_Inertia_Plate2_XDim</t>
  </si>
  <si>
    <t>FanBase_Str_Inertia_Rebar_Zone1_ZArrayDist</t>
  </si>
  <si>
    <t>FanBase_Str_Inertia_Rebar_Zone2_XArray_ZStart</t>
  </si>
  <si>
    <t>FanBase_Str_Inertia_Rebar_Zone2_ZArrayQty</t>
  </si>
  <si>
    <t>FanBase_Str_Inertia_Rebar_YLoc</t>
  </si>
  <si>
    <t>FanBase_Str_Inertia_Rebar_OffsetFromBtmOfBase</t>
  </si>
  <si>
    <t>PLTS4_Designation</t>
  </si>
  <si>
    <t>InertiaPlateThk</t>
  </si>
  <si>
    <t>FanBase_Str_Inertia_Plate3_LB</t>
  </si>
  <si>
    <t>001-08653-000</t>
  </si>
  <si>
    <t>Isolator_Deflection</t>
  </si>
  <si>
    <t>1c-50-Sb</t>
  </si>
  <si>
    <t xml:space="preserve">2d-845-Sb </t>
  </si>
  <si>
    <t>ISO_S1_BT</t>
  </si>
  <si>
    <t>ISO_S2_BHD</t>
  </si>
  <si>
    <t>ISO_TDBL</t>
  </si>
  <si>
    <t>ISO_S4_TDBL</t>
  </si>
  <si>
    <t>FAN_SD_CL3</t>
  </si>
  <si>
    <t>FAN_B</t>
  </si>
  <si>
    <t>FAN_KSW</t>
  </si>
  <si>
    <t>FAN_DX_CL3</t>
  </si>
  <si>
    <t>FAN_BAT</t>
  </si>
  <si>
    <t>FAN_BRG_SUP_W_CL2</t>
  </si>
  <si>
    <t>730H</t>
  </si>
  <si>
    <t>FAN_HN_B_CL3</t>
  </si>
  <si>
    <t>365B</t>
  </si>
  <si>
    <t>600B</t>
  </si>
  <si>
    <t>660B</t>
  </si>
  <si>
    <t>FanBase_Str_DB_ANG_FTR</t>
  </si>
  <si>
    <t>FanBase_Str_DB_ANG_HoleLoc_Plane</t>
  </si>
  <si>
    <t>PLTS4_OS</t>
  </si>
  <si>
    <t>FanBase_Str_DOA_INT_CHAN_Lookup</t>
  </si>
  <si>
    <t>FanBase_Str_MtrSup_CHAN_ZLoc</t>
  </si>
  <si>
    <t>GALV GRATE</t>
  </si>
  <si>
    <t>FanBase_Str_DOW_INT_CHAN_XLoc</t>
  </si>
  <si>
    <r>
      <t>MotorSupRail2_Z</t>
    </r>
    <r>
      <rPr>
        <sz val="8"/>
        <rFont val="Arial"/>
        <family val="2"/>
      </rPr>
      <t>1</t>
    </r>
  </si>
  <si>
    <t>FanBase_Str_DOW_INT_CHAN_Suppresion</t>
  </si>
  <si>
    <t>FanBase_Str_Inertia_Plate_X_Hole2_ArrayQty</t>
  </si>
  <si>
    <t>FanBase_Str_Inertia_Plate_Flange_SnglPlateNotch_Suppresion</t>
  </si>
  <si>
    <t>FanBase_Str_Inertia_Plate_X_Hole2_XLoc</t>
  </si>
  <si>
    <t>FanBase_Str_Inertia_Plate_X_Hole2_Suppresion</t>
  </si>
  <si>
    <r>
      <t>IntMtrRail_DOA_X</t>
    </r>
    <r>
      <rPr>
        <sz val="8"/>
        <rFont val="Arial"/>
        <family val="2"/>
      </rPr>
      <t>1</t>
    </r>
  </si>
  <si>
    <t>Internal Fan Rail DOA</t>
  </si>
  <si>
    <t>Inertia Plate Weight Total Zone2</t>
  </si>
  <si>
    <t>MtrSup1 S2</t>
  </si>
  <si>
    <t>Rebar1 S4</t>
  </si>
  <si>
    <t>Concrete1 S4</t>
  </si>
  <si>
    <t>TopDischTransThk</t>
  </si>
  <si>
    <t>TopDischTrans_Hole1_ArrayQty</t>
  </si>
  <si>
    <t>TopDischTrans_Stiffener_FIA_LIA_Hole1_ArrayQty</t>
  </si>
  <si>
    <t>WLDMNT_IntRail_DOA_L</t>
  </si>
  <si>
    <t>WLDMNT_IntRail_DOW_ZLoc</t>
  </si>
  <si>
    <t>WLDMNT_IntRail_DOW_Base4_Suppresion</t>
  </si>
  <si>
    <t>WLDMNT_IsoSupAng_ZLoc</t>
  </si>
  <si>
    <t>WLDMNT_MtrBaseHole_6_RHSuppresion_BS</t>
  </si>
  <si>
    <t>WLDMNT_MtrBaseHole_6_LHSuppresion_BS</t>
  </si>
  <si>
    <t>WLDMNT_MB1</t>
  </si>
  <si>
    <t>PART NO.</t>
  </si>
  <si>
    <t>MB4</t>
  </si>
  <si>
    <t>D9</t>
  </si>
  <si>
    <t>fan doa hole spcg</t>
  </si>
  <si>
    <t>18-9917</t>
  </si>
  <si>
    <t>D</t>
  </si>
  <si>
    <t>FanBase_Str_MtrSup_CHAN_Overhang_TypeC</t>
  </si>
  <si>
    <t>Revision</t>
  </si>
  <si>
    <t>spacing</t>
  </si>
  <si>
    <t>0.281</t>
  </si>
  <si>
    <t>Clearance</t>
  </si>
  <si>
    <t>Page: 102-006</t>
  </si>
  <si>
    <t xml:space="preserve">Plate,Dia,Alu,.25_3003 Bright </t>
  </si>
  <si>
    <t>Raised Lug</t>
  </si>
  <si>
    <t>ALUD125A</t>
  </si>
  <si>
    <t>008 02572 100</t>
  </si>
  <si>
    <t>ALUG100A</t>
  </si>
  <si>
    <t xml:space="preserve">Sheet,Perf,Al,40.3%,.080, 3003h14 </t>
  </si>
  <si>
    <t>.688</t>
  </si>
  <si>
    <t>008 02570 063</t>
  </si>
  <si>
    <t>008 02570 190</t>
  </si>
  <si>
    <t>STLPL250A</t>
  </si>
  <si>
    <t>.375</t>
  </si>
  <si>
    <t xml:space="preserve">Plate,Steel,0.313 </t>
  </si>
  <si>
    <t>005 07113 011</t>
  </si>
  <si>
    <t xml:space="preserve">Sheet,Hot-Rolled,14ga </t>
  </si>
  <si>
    <t>005 07110 014</t>
  </si>
  <si>
    <t>Champagne Paint</t>
  </si>
  <si>
    <t>13/16</t>
  </si>
  <si>
    <t>Galvanized Steel (Expanded/Flattened) 3/4 No. 9</t>
  </si>
  <si>
    <t>SSTS060-</t>
  </si>
  <si>
    <t>SSTG100A</t>
  </si>
  <si>
    <t>SST304PA</t>
  </si>
  <si>
    <t>SSTP048C</t>
  </si>
  <si>
    <t>005 06146 024</t>
  </si>
  <si>
    <t>SSTS188-</t>
  </si>
  <si>
    <t xml:space="preserve">Sheet,304lss,12ga </t>
  </si>
  <si>
    <t>FLOOR_CHAN_11</t>
  </si>
  <si>
    <t>FLOOR_CHAN_15</t>
  </si>
  <si>
    <t>UM</t>
  </si>
  <si>
    <t>391 25726 000</t>
  </si>
  <si>
    <t>Class 3 fans</t>
  </si>
  <si>
    <t>Spring Width Loc 2</t>
  </si>
  <si>
    <t>PLT_L</t>
  </si>
  <si>
    <t>PLT_SS</t>
  </si>
  <si>
    <t>OUTER SPRING COLOR</t>
  </si>
  <si>
    <t>YELLOW</t>
  </si>
  <si>
    <t>BLACK</t>
  </si>
  <si>
    <t>MTR_FRAME</t>
  </si>
  <si>
    <t>ISO_S4_OPHGT</t>
  </si>
  <si>
    <t>ISO_S3_BLT</t>
  </si>
  <si>
    <t xml:space="preserve">029 23800 106 </t>
  </si>
  <si>
    <t>ECN Number :</t>
  </si>
  <si>
    <t>MAT_DEST</t>
  </si>
  <si>
    <t>001 08405 003</t>
  </si>
  <si>
    <t>001 08405 010</t>
  </si>
  <si>
    <t>Steel, I-Beam</t>
  </si>
  <si>
    <t xml:space="preserve">I-Beam 3 X 5.7 Lb/Ft, R-18 Std     </t>
  </si>
  <si>
    <t>A36</t>
  </si>
  <si>
    <t>001 08570 000</t>
  </si>
  <si>
    <t>Tubing, Blk 3/4"x1 1/2"x.120</t>
  </si>
  <si>
    <t>Steel, Flat Bar</t>
  </si>
  <si>
    <t>ALM TRK 12TB</t>
  </si>
  <si>
    <t>ALM TRK 14TB</t>
  </si>
  <si>
    <t>008 02589 001</t>
  </si>
  <si>
    <t>Tubing, Alum, 0.75x1.50x0.125</t>
  </si>
  <si>
    <t>ISO_S2_BHL</t>
  </si>
  <si>
    <t>001-08408-003</t>
  </si>
  <si>
    <t>MTRBS_AR</t>
  </si>
  <si>
    <t>447T</t>
  </si>
  <si>
    <t>MTRBS_AdjBolt_Loc</t>
  </si>
  <si>
    <t>FanBase_Str_DOA_ANG_FTR</t>
  </si>
  <si>
    <t>FanBase_Str_DOA_INT_ANG_Suppresion</t>
  </si>
  <si>
    <t>FanBase_Str_CHAN_Suppresion</t>
  </si>
  <si>
    <t>AMSR-2E T1</t>
  </si>
  <si>
    <t>Angle Depth</t>
  </si>
  <si>
    <t>FanBase_Str_IsoSup_ANG_FTR</t>
  </si>
  <si>
    <t>FanBase_Str_IsoSup_ANG_HS</t>
  </si>
  <si>
    <t>091 20019 011</t>
  </si>
  <si>
    <t>PerSteel S1</t>
  </si>
  <si>
    <t>Base_X</t>
  </si>
  <si>
    <t>MTRBS_BoltHeadDia</t>
  </si>
  <si>
    <t>Min_Dist_HoleCtr_To_SteelWeb_DOA_Rail</t>
  </si>
  <si>
    <t>FanBase_Str_DOA_INT_ANG_L</t>
  </si>
  <si>
    <t>ISO_S2_ZLoc</t>
  </si>
  <si>
    <t>ISO_S3_XLoc</t>
  </si>
  <si>
    <t>C_MTR_MidPoint</t>
  </si>
  <si>
    <t>CENTER DISTANCE OUTPUTS</t>
  </si>
  <si>
    <t>CENTER_DISTANCE_MAX</t>
  </si>
  <si>
    <t>FanBase_Str_MIA_ANG_L</t>
  </si>
  <si>
    <t>FanBase_Str_MtrSup_CHAN_Std_Overhang</t>
  </si>
  <si>
    <t>IntRail DOW S2</t>
  </si>
  <si>
    <t>Motor Base</t>
  </si>
  <si>
    <t>Motor Support Rail</t>
  </si>
  <si>
    <t>FanBase_Str_IsoSup_ANG_Designation_S3_Loc</t>
  </si>
  <si>
    <t>FanBase_Str_IsoSup_ANG_S4_Gusset_Suppresion</t>
  </si>
  <si>
    <t>FanBase_Str_Inertia_Plate1_ZDim</t>
  </si>
  <si>
    <t xml:space="preserve">Spring CL Length Loc </t>
  </si>
  <si>
    <t>PLTS3_OS</t>
  </si>
  <si>
    <t>PLTS3_SL2</t>
  </si>
  <si>
    <t>PLTS4_SW1</t>
  </si>
  <si>
    <t>FanBase_Str_Inertia_Plate2_LB</t>
  </si>
  <si>
    <t>FanBase_Str_Inertia_Plate5_Suppresion</t>
  </si>
  <si>
    <t>DK YELLOW</t>
  </si>
  <si>
    <t>AMSR-1C OFFSET</t>
  </si>
  <si>
    <t>ISO_S1_BHD</t>
  </si>
  <si>
    <t>ISO_S4_ADJBD</t>
  </si>
  <si>
    <t>FAN_K_CL1/CL2</t>
  </si>
  <si>
    <t>FAN_KSD</t>
  </si>
  <si>
    <t>FAN_BH_NOM</t>
  </si>
  <si>
    <t>FAN_J</t>
  </si>
  <si>
    <t>FAN_KSL_CL1/CL2</t>
  </si>
  <si>
    <t>FAN_AH (DB Fans Only)</t>
  </si>
  <si>
    <t>FAN_BAW_CL3</t>
  </si>
  <si>
    <t>FAN_K_CL3</t>
  </si>
  <si>
    <t>FAN_WOD</t>
  </si>
  <si>
    <t>FAN_DX_CL1/CL2</t>
  </si>
  <si>
    <t>Bearing Data Dimensions</t>
  </si>
  <si>
    <t>FAN_DE</t>
  </si>
  <si>
    <t>730T</t>
  </si>
  <si>
    <t>FAN_DC_B_CL3</t>
  </si>
  <si>
    <t>245B</t>
  </si>
  <si>
    <t>FanBase_Str_DOA_ANG_ZLoc</t>
  </si>
  <si>
    <t>FanBase_Str_DOA_INT_ANG_RH_Location</t>
  </si>
  <si>
    <t>PLTS4_SS</t>
  </si>
  <si>
    <t>FanBase_Str_DOA_INT_MTR_CHAN_Suppresion</t>
  </si>
  <si>
    <t>FanBase_Str_DOA_INT_CHAN_LBFT</t>
  </si>
  <si>
    <t>FanBase_Str_DOA_INT_FAN_CHAN_XLoc</t>
  </si>
  <si>
    <t>FanBase_Str_DOA_INT_MTR_CHAN_ZLoc</t>
  </si>
  <si>
    <t>GALV PRFG</t>
  </si>
  <si>
    <t>ALMB DIA</t>
  </si>
  <si>
    <t>GALV CORA</t>
  </si>
  <si>
    <t>FanBase_Str_DOW_INT_CHAN_FTR</t>
  </si>
  <si>
    <t>FanBase_Str_Inertia_Plate1_ZLoc</t>
  </si>
  <si>
    <t>FanBase_Str_Inertia_Plate_X_Hole_Ind_Hole_Dia</t>
  </si>
  <si>
    <t>FanBase_Str_Inertia_Plate_X_Hole1_ArrayQty</t>
  </si>
  <si>
    <t>FanBase_Str_Inertia_Plate_X_Hole2_ArrayDist</t>
  </si>
  <si>
    <t>FanBase_Str_Inertia_Plate_Flange_IntFanNotch_Suppresion</t>
  </si>
  <si>
    <r>
      <t>IntFanRail_DOA_X</t>
    </r>
    <r>
      <rPr>
        <sz val="8"/>
        <rFont val="Arial"/>
        <family val="2"/>
      </rPr>
      <t>1</t>
    </r>
  </si>
  <si>
    <t>IntMtrRail DOA S1</t>
  </si>
  <si>
    <r>
      <t>InertiaRebar_Zone2_Z</t>
    </r>
    <r>
      <rPr>
        <sz val="8"/>
        <rFont val="Arial"/>
        <family val="2"/>
      </rPr>
      <t>2</t>
    </r>
  </si>
  <si>
    <t>INERTIA PLATE ZONE 2 WEIGHT ADD</t>
  </si>
  <si>
    <t>TopDischTrans_Roof_Clearance</t>
  </si>
  <si>
    <t>Top Discharge Transition Thickness Override - set to "-" when using defaults - Default = 16ga</t>
  </si>
  <si>
    <t>TopDischTrans_FIA_LIA_L</t>
  </si>
  <si>
    <t>TopDischTrans_Hole1_YLoc_Top</t>
  </si>
  <si>
    <t>TopDischTrans_Hole1_YLoc_Btm</t>
  </si>
  <si>
    <t>WLDMNT_IntRail_DOW_L</t>
  </si>
  <si>
    <t>WLDMNT_MB5</t>
  </si>
  <si>
    <t>WLDMNT_FanHole_Spacing_X</t>
  </si>
  <si>
    <t>WLDMNT_IntRail_DOA_Rail2_XLoc</t>
  </si>
  <si>
    <t>int doa rail1</t>
  </si>
  <si>
    <t>mtrbs doa hole spcg</t>
  </si>
  <si>
    <t>WLDMNT_IntRail_DOA_Rail1_BBH_LIA_Suppresion</t>
  </si>
  <si>
    <t>WLDMNT_FanHole_6_RHSuppresion_BBH</t>
  </si>
  <si>
    <t>1, 2</t>
  </si>
  <si>
    <t>BESIDE</t>
  </si>
  <si>
    <t>L</t>
  </si>
  <si>
    <t>Description</t>
  </si>
  <si>
    <t>-</t>
  </si>
  <si>
    <t>#8 Hardware</t>
  </si>
  <si>
    <t>12 ga and up (&gt;.09 thickness)</t>
  </si>
  <si>
    <t>Material description</t>
  </si>
  <si>
    <t>008 02596 103</t>
  </si>
  <si>
    <t>XT</t>
  </si>
  <si>
    <t>1</t>
  </si>
  <si>
    <t>G90</t>
  </si>
  <si>
    <t>005 07119 500</t>
  </si>
  <si>
    <t>005 07108 125</t>
  </si>
  <si>
    <t>005 07108 012</t>
  </si>
  <si>
    <t>Sheet, HR</t>
  </si>
  <si>
    <t>005 07110 116</t>
  </si>
  <si>
    <t>R1045</t>
  </si>
  <si>
    <t>Aluminum Sheet (perf)</t>
  </si>
  <si>
    <t>R1190</t>
  </si>
  <si>
    <t>005 06145 020</t>
  </si>
  <si>
    <t>005 06145 024</t>
  </si>
  <si>
    <t>R52</t>
  </si>
  <si>
    <t>SSTS048-</t>
  </si>
  <si>
    <t>SST304G</t>
  </si>
  <si>
    <t>005 07120 011</t>
  </si>
  <si>
    <t>SSTE120-</t>
  </si>
  <si>
    <t>005 07116 016</t>
  </si>
  <si>
    <t>SSTS024-</t>
  </si>
  <si>
    <t>005 06146 188</t>
  </si>
  <si>
    <t>INPUTS</t>
  </si>
  <si>
    <t>PLT_T</t>
  </si>
  <si>
    <t>DK BLUE</t>
  </si>
  <si>
    <t>Base Length</t>
  </si>
  <si>
    <t>Base Width</t>
  </si>
  <si>
    <t>ISO_BW</t>
  </si>
  <si>
    <t>ISO_S2_BLT</t>
  </si>
  <si>
    <t>029 23800 111</t>
  </si>
  <si>
    <t>MAT_KEYT</t>
  </si>
  <si>
    <t>001 08407 200</t>
  </si>
  <si>
    <t>extru. Al.</t>
  </si>
  <si>
    <t>ALM TRK 14M</t>
  </si>
  <si>
    <t>ALM TRK 42M</t>
  </si>
  <si>
    <t>008 02588 001</t>
  </si>
  <si>
    <t>Copper, Tube</t>
  </si>
  <si>
    <t>007 09019 025</t>
  </si>
  <si>
    <t>Channel Aluminum 10x8.36 Lb/Ft</t>
  </si>
  <si>
    <t>ISO_S1_BHL</t>
  </si>
  <si>
    <t>FLOOR_CHAN_19</t>
  </si>
  <si>
    <t>391 20112 103</t>
  </si>
  <si>
    <t>Isolator Location Dimensions</t>
  </si>
  <si>
    <t>FanBase_Str_FIA_LIA_CHAN_Lookup</t>
  </si>
  <si>
    <t>AMSR-2D T1</t>
  </si>
  <si>
    <t>Angle Thickness</t>
  </si>
  <si>
    <t>SUPANG_DESG</t>
  </si>
  <si>
    <r>
      <t>Motor_Z</t>
    </r>
    <r>
      <rPr>
        <sz val="8"/>
        <rFont val="Arial"/>
        <family val="2"/>
      </rPr>
      <t>1</t>
    </r>
  </si>
  <si>
    <t>FanBase_Str_LIA_ANG_HoleLoc_Plane</t>
  </si>
  <si>
    <t>Min_Isolator_CntrDist_DOA</t>
  </si>
  <si>
    <t>FanBase_Str_DOA_ANG_IsoHole_HD2</t>
  </si>
  <si>
    <t>FanBase_Str_FIA_ANG_FTR</t>
  </si>
  <si>
    <t>HDWR_BH</t>
  </si>
  <si>
    <t>Helical Spring Lock Washer
(ANSI Regular)
Outside Diameter</t>
  </si>
  <si>
    <t>Standard Motor Weights extracted from XML by MOM - Can be used as manual override for SQ purposes. Edit manual (section 003) contains documentation on motor weights</t>
  </si>
  <si>
    <t>MTRBS_NutDia</t>
  </si>
  <si>
    <t>B_MTR_Default</t>
  </si>
  <si>
    <t>FanBase_Str_MtrSup_CHAN_L_Add</t>
  </si>
  <si>
    <t>FanBase_Str_IsoSup_ANG_Offset_S3_Loc</t>
  </si>
  <si>
    <t>FanBase_Str_Inertia_Rebar_Zone3_ZDim</t>
  </si>
  <si>
    <t>FanBase_Str_Inertia_Rebar_Spacing</t>
  </si>
  <si>
    <t>FanBase_Str_Inertia_Rebar_Zone1_XArrayDist</t>
  </si>
  <si>
    <t>FanBase_Str_Inertia_Rebar_Zone2_ZArray_ZStart</t>
  </si>
  <si>
    <t>PLT_SWI</t>
  </si>
  <si>
    <t>PLTS3_SS</t>
  </si>
  <si>
    <t>PLTS3_SW1</t>
  </si>
  <si>
    <t>PLTS2_SL2</t>
  </si>
  <si>
    <t>FanBase_Str_Inertia_Rebar_Zone3_LB</t>
  </si>
  <si>
    <t>FanBase_Str_Inertia_Plate1_LB</t>
  </si>
  <si>
    <t>029 23800 115</t>
  </si>
  <si>
    <t>BLUE</t>
  </si>
  <si>
    <t>1c-100-Sb</t>
  </si>
  <si>
    <t>2d-1320n-Sb</t>
  </si>
  <si>
    <t>Housing Length</t>
  </si>
  <si>
    <t>ISO_S3_TDBD</t>
  </si>
  <si>
    <t>15-8548</t>
  </si>
  <si>
    <t>FAN_HE</t>
  </si>
  <si>
    <t>FAN_N</t>
  </si>
  <si>
    <t>FAN_KSL</t>
  </si>
  <si>
    <t>FAN_GC_CL3</t>
  </si>
  <si>
    <t>FAN_WW</t>
  </si>
  <si>
    <t>542H</t>
  </si>
  <si>
    <t>FanBase_Str_DB_ANG_Lookup</t>
  </si>
  <si>
    <t>FanBase_Str_MtrSup_CHAN_XLoc</t>
  </si>
  <si>
    <t>ALM PRFA</t>
  </si>
  <si>
    <t>GLVC040A</t>
  </si>
  <si>
    <t>STL DIA HR</t>
  </si>
  <si>
    <t>DOA_INT_MTR_CHAN_to_MTRBS_Hole</t>
  </si>
  <si>
    <r>
      <t>MotorSupRail2_X</t>
    </r>
    <r>
      <rPr>
        <sz val="8"/>
        <rFont val="Arial"/>
        <family val="2"/>
      </rPr>
      <t>1</t>
    </r>
  </si>
  <si>
    <t>FanBase_Str_Inertia_PlateBeside_BtmFiller_LB</t>
  </si>
  <si>
    <t>FanBase_Str_Inertia_PlateBeside_BtmInvFiller_ZDim</t>
  </si>
  <si>
    <t>FanBase_Str_Inertia_PlateBeside_BtmInvFiller_ZLoc</t>
  </si>
  <si>
    <t>FanBase_Str_Inertia_Plate_X_Hole1_PlateBeside_Btm_Suppresion</t>
  </si>
  <si>
    <t>FanBase_Str_Inertia_Rebar_Zone2_XDim_Hole_Calc</t>
  </si>
  <si>
    <t>Rebar Weight Total Zone1</t>
  </si>
  <si>
    <r>
      <t>InertiaPlate_Zone1_X</t>
    </r>
    <r>
      <rPr>
        <sz val="8"/>
        <rFont val="Arial"/>
        <family val="2"/>
      </rPr>
      <t>1</t>
    </r>
  </si>
  <si>
    <r>
      <t>InertiaConcrete_Zone1_X</t>
    </r>
    <r>
      <rPr>
        <sz val="8"/>
        <rFont val="Arial"/>
        <family val="2"/>
      </rPr>
      <t>1</t>
    </r>
  </si>
  <si>
    <t>Plate2 S2</t>
  </si>
  <si>
    <t>Rebar2 S1</t>
  </si>
  <si>
    <t>Concrete2 S1</t>
  </si>
  <si>
    <t>TopDischTransThkO</t>
  </si>
  <si>
    <t>122 to 600 Class 1 &amp; 2 182 to 600 Class 3</t>
  </si>
  <si>
    <t>WLDMNT_Base_W</t>
  </si>
  <si>
    <t>WLDMNT_IntRail_DOW_XLoc</t>
  </si>
  <si>
    <t>WLDMNT_FanHole_Dia</t>
  </si>
  <si>
    <t>WLDMNT_MtrBaseHole_Dia</t>
  </si>
  <si>
    <t>WLDMNT_MtrBaseHole_6_LHSuppresion_BH</t>
  </si>
  <si>
    <t>WLDMNT_IsoHole_ZLoc</t>
  </si>
  <si>
    <t>WLDMNT_D1</t>
  </si>
  <si>
    <t>WLDMNT_D5</t>
  </si>
  <si>
    <t>WLDMNT_F3</t>
  </si>
  <si>
    <t>WLDMNT_IsoSupAng_XLoc</t>
  </si>
  <si>
    <t>1, 2, 3</t>
  </si>
  <si>
    <t>215T</t>
  </si>
  <si>
    <t>MTR_D2</t>
  </si>
  <si>
    <t>MTR_BW</t>
  </si>
  <si>
    <t>BASELINE</t>
  </si>
  <si>
    <t>28 ga - 14 ga (&lt;=.09 thickness)</t>
  </si>
  <si>
    <t>Indicator holes</t>
  </si>
  <si>
    <t>5/16 Hardware D,F,G&amp;T</t>
  </si>
  <si>
    <t>Design Thickness (Ref)</t>
  </si>
  <si>
    <t>008 02572 188</t>
  </si>
  <si>
    <t>1"High</t>
  </si>
  <si>
    <t>ALUP050B</t>
  </si>
  <si>
    <t>ALUS080A</t>
  </si>
  <si>
    <t xml:space="preserve">Sheet,Al,3003h14,.050         </t>
  </si>
  <si>
    <t>ALUS040A</t>
  </si>
  <si>
    <t>Corrugated</t>
  </si>
  <si>
    <t xml:space="preserve">Sheet,Hot-Rolled,12ga </t>
  </si>
  <si>
    <t>005 02901 000</t>
  </si>
  <si>
    <t>GLVP028A</t>
  </si>
  <si>
    <t>005 07115 016</t>
  </si>
  <si>
    <t xml:space="preserve">Sheet,Perf,Glv,40.3%,18ga </t>
  </si>
  <si>
    <t>9</t>
  </si>
  <si>
    <t>005 06579 000</t>
  </si>
  <si>
    <t>GLVS126-</t>
  </si>
  <si>
    <t>GLVS056B</t>
  </si>
  <si>
    <t>Sheet,Exp_Mtl,304ss,11ga, .75 flattened #9</t>
  </si>
  <si>
    <t xml:space="preserve">Sheet,Perf,304ss,40.3%,16ga </t>
  </si>
  <si>
    <t>SSLS105-</t>
  </si>
  <si>
    <t>005 07104 022</t>
  </si>
  <si>
    <t>Embossed AL</t>
  </si>
  <si>
    <t>Z_LOCATION</t>
  </si>
  <si>
    <t>FLOOR_CHAN_1</t>
  </si>
  <si>
    <t>FLOOR_CHAN_5</t>
  </si>
  <si>
    <t>ROOF CHANNELS</t>
  </si>
  <si>
    <t>ROOF_CHAN_1</t>
  </si>
  <si>
    <t>ROOF_CHAN_5</t>
  </si>
  <si>
    <t>ROOF_CHAN_9</t>
  </si>
  <si>
    <t>RIGHT_HAND_CHAN_4</t>
  </si>
  <si>
    <t>LEFT_HAND_CHAN_1</t>
  </si>
  <si>
    <t>WH_DIA_Nominal</t>
  </si>
  <si>
    <t>PLT_SW2</t>
  </si>
  <si>
    <t>SPRING RATE, LB/IN</t>
  </si>
  <si>
    <t>ISO_S1_OPHGT</t>
  </si>
  <si>
    <t>ISO_S1_BLT</t>
  </si>
  <si>
    <t>MAT_LOOKUP</t>
  </si>
  <si>
    <t>MAT_GRP</t>
  </si>
  <si>
    <t>STL GALV PPC</t>
  </si>
  <si>
    <t>STL_GRP</t>
  </si>
  <si>
    <t>STL_H</t>
  </si>
  <si>
    <t>STL_D</t>
  </si>
  <si>
    <t>STL_UMSR</t>
  </si>
  <si>
    <t>Steel, Channel</t>
  </si>
  <si>
    <t>IN</t>
  </si>
  <si>
    <t>001-07638-000</t>
  </si>
  <si>
    <t>001 08406 200</t>
  </si>
  <si>
    <t xml:space="preserve">Tubing 1 X 1 X .065           </t>
  </si>
  <si>
    <t>Track,Fltr,Top/Btm,W/2_Pre</t>
  </si>
  <si>
    <t>Extrusion,Frame,Tb,Inswing,3", YC, 204" Lg</t>
  </si>
  <si>
    <t xml:space="preserve">Tubing,Cu,.25dia              </t>
  </si>
  <si>
    <t>008 02595 001</t>
  </si>
  <si>
    <t>IN Length</t>
  </si>
  <si>
    <t>Alum, Channel</t>
  </si>
  <si>
    <t>Base Hole Loc Width</t>
  </si>
  <si>
    <t>X - Location information only used if steel is oriented in direction of airflow.</t>
  </si>
  <si>
    <t>MTRBS_E</t>
  </si>
  <si>
    <t>MTRBS_DBOLT_D</t>
  </si>
  <si>
    <t>MTRBS_DBOLT_L</t>
  </si>
  <si>
    <t>MTRBS_AdjBolt_ArrayDist</t>
  </si>
  <si>
    <t>MTR_Y_Location</t>
  </si>
  <si>
    <t>Angle Blk 4 x 3 x .38 thk</t>
  </si>
  <si>
    <t>FanBase_Str_DOA_CHAN_FTR</t>
  </si>
  <si>
    <t>SUPANG_HS</t>
  </si>
  <si>
    <t>Total Load S4</t>
  </si>
  <si>
    <t>Individual Component Loads</t>
  </si>
  <si>
    <t>Fan S2</t>
  </si>
  <si>
    <t>Motor S4</t>
  </si>
  <si>
    <t>Motor Sup Rail Channel Data</t>
  </si>
  <si>
    <t>FanBase_Str_DOA_ANG_Lookup</t>
  </si>
  <si>
    <r>
      <t>Fan_X</t>
    </r>
    <r>
      <rPr>
        <sz val="8"/>
        <rFont val="Arial"/>
        <family val="2"/>
      </rPr>
      <t>2</t>
    </r>
  </si>
  <si>
    <t>FanBase_Str_DOA_ANG_L_Calculation (actual)</t>
  </si>
  <si>
    <t>LIA Angle Data</t>
  </si>
  <si>
    <t>FanBase_Str_LIA_ANG_Lookup</t>
  </si>
  <si>
    <t>Hardware Description</t>
  </si>
  <si>
    <t>HDWR_FWOD</t>
  </si>
  <si>
    <t>FanBase_Str_DOA_INT_ANG_FTR</t>
  </si>
  <si>
    <t>MotorHand</t>
  </si>
  <si>
    <t>C_MTR_MAX</t>
  </si>
  <si>
    <t>FAN_X_LOCATION</t>
  </si>
  <si>
    <t>L or R (Left or Right looking at air entering side of fan with airflow at your back)</t>
  </si>
  <si>
    <t>FanBase_Str_IsoSup_ANG_Offset_S2_Loc</t>
  </si>
  <si>
    <t>FanBase_Str_IsoSup_ANG_Designation_S2_Loc</t>
  </si>
  <si>
    <t>TYPE A</t>
  </si>
  <si>
    <t>FanBase_Str_Inertia_Plate1_XDim</t>
  </si>
  <si>
    <t>FanBase_Str_Inertia_Rebar_Zone1_XArray_XStart</t>
  </si>
  <si>
    <t>FanBase_Str_Inertia_Rebar_Zone3_XArray_ZStart</t>
  </si>
  <si>
    <t>FanBase_Str_Inertia_Rebar_Zone3_Suppresion</t>
  </si>
  <si>
    <t>PLTS1_SL2</t>
  </si>
  <si>
    <t>FanBase_Str_Inertia_Rebar_Zone2_LB</t>
  </si>
  <si>
    <t>FanBase_Str_Inertia_Rebar_Lookup</t>
  </si>
  <si>
    <t>FanBase_Str_Inertia_Plate_Thk</t>
  </si>
  <si>
    <t>RH SPRING LOC</t>
  </si>
  <si>
    <t>029 23800 119</t>
  </si>
  <si>
    <t>1c-370-Sb</t>
  </si>
  <si>
    <t>2d-1435n-Sb</t>
  </si>
  <si>
    <t>Tie Down Bolt Loc</t>
  </si>
  <si>
    <t>ISO_S3_TDBL</t>
  </si>
  <si>
    <t>FAN_MAX_T_FRAME_CL1</t>
  </si>
  <si>
    <t>FAN_J_CL3</t>
  </si>
  <si>
    <t>FAN_KSW_CL2</t>
  </si>
  <si>
    <t>FAN_P_CL1</t>
  </si>
  <si>
    <t>FAN_BH_CL1/CL2</t>
  </si>
  <si>
    <t>FAN_M_CL1/CL2</t>
  </si>
  <si>
    <t>FAN_LockWasherDia</t>
  </si>
  <si>
    <t>FAN_GB_CL3</t>
  </si>
  <si>
    <t>135H</t>
  </si>
  <si>
    <t>402H</t>
  </si>
  <si>
    <t>490H</t>
  </si>
  <si>
    <t>542T</t>
  </si>
  <si>
    <t>165B</t>
  </si>
  <si>
    <t>300B</t>
  </si>
  <si>
    <t>PLTS2_OS</t>
  </si>
  <si>
    <t>PLTS2_SS</t>
  </si>
  <si>
    <t>Min_Dist_FanMntHole_to_FIA/LIA_Rail</t>
  </si>
  <si>
    <t>GALV EXPB</t>
  </si>
  <si>
    <t>Cloth, Hdw, Glv, .5 x .5 x .04</t>
  </si>
  <si>
    <t>MOTOR SUPPORT RAIL 1</t>
  </si>
  <si>
    <r>
      <t>MotorSupRail1_Z</t>
    </r>
    <r>
      <rPr>
        <sz val="8"/>
        <rFont val="Arial"/>
        <family val="2"/>
      </rPr>
      <t>1</t>
    </r>
  </si>
  <si>
    <t>FanBase_Str_Inertia_PlateBeside_Btm_ZDim</t>
  </si>
  <si>
    <t>FanBase_Str_Inertia_Plate_X_Hole1_XLoc</t>
  </si>
  <si>
    <t>IntFanRail DOA S3</t>
  </si>
  <si>
    <t>Concrete Weight Total Zone2</t>
  </si>
  <si>
    <r>
      <t>InertiaRebar_Zone2_X</t>
    </r>
    <r>
      <rPr>
        <sz val="8"/>
        <rFont val="Arial"/>
        <family val="2"/>
      </rPr>
      <t>2</t>
    </r>
  </si>
  <si>
    <t>MtrSup2 S3</t>
  </si>
  <si>
    <t>Plate1 S2</t>
  </si>
  <si>
    <t>TopDischTrans_Thk</t>
  </si>
  <si>
    <t>TopDischTrans_Corner_Clearance</t>
  </si>
  <si>
    <t>WLDMNT_MtrBaseHole_4_RHSuppresion_BS</t>
  </si>
  <si>
    <t>WLDMNT_MtrBaseHole_4_LHSuppresion_BS</t>
  </si>
  <si>
    <t>QTY</t>
  </si>
  <si>
    <t>D2</t>
  </si>
  <si>
    <t>D6</t>
  </si>
  <si>
    <t>WLDMNT_IntRail_DOA_Rail2_Loc</t>
  </si>
  <si>
    <t>WLDMNT_MtrBaseHole_6_RHSuppresion_BH</t>
  </si>
  <si>
    <t>WLDMNT_D9</t>
  </si>
  <si>
    <t>mtrbs dow hole loc rh</t>
  </si>
  <si>
    <t>Iso S2</t>
  </si>
  <si>
    <t>Iso Plate S1</t>
  </si>
  <si>
    <t>F, FI, R, RI, T, TI, B, BI</t>
  </si>
  <si>
    <t>143T</t>
  </si>
  <si>
    <t>MTR_R</t>
  </si>
  <si>
    <t>12 ga - 10 ga (&gt;.09 and &lt; .14)</t>
  </si>
  <si>
    <t>0.344</t>
  </si>
  <si>
    <t>5/16 Hardware</t>
  </si>
  <si>
    <t>0.140</t>
  </si>
  <si>
    <t>#6 Hardware</t>
  </si>
  <si>
    <t>Active Product "YC"</t>
  </si>
  <si>
    <t>Mapics Part Number</t>
  </si>
  <si>
    <t>Staggered Centers</t>
  </si>
  <si>
    <t>.125</t>
  </si>
  <si>
    <t>Plate,Dia,Al,.100_3003</t>
  </si>
  <si>
    <t>14</t>
  </si>
  <si>
    <t>.063</t>
  </si>
  <si>
    <t>008 02573 050</t>
  </si>
  <si>
    <t>10</t>
  </si>
  <si>
    <t xml:space="preserve">Sheet,Al,3003h14,.080         </t>
  </si>
  <si>
    <t>.190</t>
  </si>
  <si>
    <t>.034</t>
  </si>
  <si>
    <t>005 07119 188</t>
  </si>
  <si>
    <t>5/16</t>
  </si>
  <si>
    <t>STLPL313A</t>
  </si>
  <si>
    <t>.070</t>
  </si>
  <si>
    <t xml:space="preserve">Plate,Dia,Hot-Rolled,14ga </t>
  </si>
  <si>
    <t xml:space="preserve">Sheet,Hot-Rolled,11ga </t>
  </si>
  <si>
    <t>P-Paint</t>
  </si>
  <si>
    <t>.056</t>
  </si>
  <si>
    <t>GLVPP056A</t>
  </si>
  <si>
    <t>.045</t>
  </si>
  <si>
    <t>GLVPP045B</t>
  </si>
  <si>
    <t>GLVP039D</t>
  </si>
  <si>
    <t>3/4" wide diamond</t>
  </si>
  <si>
    <t>GLVS070-</t>
  </si>
  <si>
    <t>001 07591 467</t>
  </si>
  <si>
    <t>STL GALV2</t>
  </si>
  <si>
    <t>001 07591 667</t>
  </si>
  <si>
    <t>GLVS034-</t>
  </si>
  <si>
    <t>GLVS022-</t>
  </si>
  <si>
    <t>304</t>
  </si>
  <si>
    <t>Plate, SST</t>
  </si>
  <si>
    <t>005 07107 125</t>
  </si>
  <si>
    <t>005 06146 010</t>
  </si>
  <si>
    <t>Sheet, Expanded, SST</t>
  </si>
  <si>
    <t>SSTD188-</t>
  </si>
  <si>
    <t>Plate,304ss,.188</t>
  </si>
  <si>
    <t>.165</t>
  </si>
  <si>
    <t>Sheet, AL, Emb</t>
  </si>
  <si>
    <t>FLOOR_CHAN_9</t>
  </si>
  <si>
    <t>ROOF_CHAN_12</t>
  </si>
  <si>
    <t>RIGHT_HAND_CHAN_8</t>
  </si>
  <si>
    <t>LEFT_HAND_CHAN_5</t>
  </si>
  <si>
    <t>LEFT_HAND_CHAN_9</t>
  </si>
  <si>
    <t>Inside Width</t>
  </si>
  <si>
    <t>NO</t>
  </si>
  <si>
    <t>YES</t>
  </si>
  <si>
    <t>PLT_SH</t>
  </si>
  <si>
    <t>Isolator Plate Data</t>
  </si>
  <si>
    <t>JCI SPRING P/N</t>
  </si>
  <si>
    <t>GRAY/DK BROWN</t>
  </si>
  <si>
    <t xml:space="preserve">029 23800 101 </t>
  </si>
  <si>
    <t>STL GALV PPG</t>
  </si>
  <si>
    <t>Sheet Products, Perforated</t>
  </si>
  <si>
    <t>Sheet Products, Diamond Tread Plate</t>
  </si>
  <si>
    <t>Plate Products, Solid</t>
  </si>
  <si>
    <t>STL_PNUM</t>
  </si>
  <si>
    <t>008 02579 001</t>
  </si>
  <si>
    <t>008 02587 001</t>
  </si>
  <si>
    <t>007-05770-000</t>
  </si>
  <si>
    <t>001-07530-008</t>
  </si>
  <si>
    <t>SST, Tubing</t>
  </si>
  <si>
    <t>001-08409-004</t>
  </si>
  <si>
    <t>MOTORHAND</t>
  </si>
  <si>
    <t>MTRBS_AO</t>
  </si>
  <si>
    <t>FanBase_Type_ForcedO</t>
  </si>
  <si>
    <t>FanBase_Str_LIA_ANG_ZLoc</t>
  </si>
  <si>
    <t>MTR_Behind_Z_Location</t>
  </si>
  <si>
    <t>FanBase_Str_IsoSup_ANG_Suppresion</t>
  </si>
  <si>
    <t>DOA Angle Data</t>
  </si>
  <si>
    <r>
      <t>Motor_X</t>
    </r>
    <r>
      <rPr>
        <sz val="8"/>
        <rFont val="Arial"/>
        <family val="2"/>
      </rPr>
      <t>1</t>
    </r>
  </si>
  <si>
    <t>001 08406 404</t>
  </si>
  <si>
    <t>FanBase_Str_LIA_ANG_FTR</t>
  </si>
  <si>
    <t>HDWR_NH</t>
  </si>
  <si>
    <t>5/8-11 UNC</t>
  </si>
  <si>
    <t>3/4-10 UNC</t>
  </si>
  <si>
    <t>ISO_S1_ZLoc</t>
  </si>
  <si>
    <t>ISO_S2_XLoc</t>
  </si>
  <si>
    <t>D_Calculated_Angle</t>
  </si>
  <si>
    <t>FanBase_Str_MIA_ANG_HoleLoc_Plane</t>
  </si>
  <si>
    <t>FanBase_Str_IsoSup_ANG_Offset_S1_Loc</t>
  </si>
  <si>
    <t>FanBase_Str_IsoSup_ANG_Designation_S1_Loc</t>
  </si>
  <si>
    <t>FanBase_Str_Inertia_Rebar_Zone3_XDim</t>
  </si>
  <si>
    <t>FanBase_Str_Inertia_Plate4_Suppresion</t>
  </si>
  <si>
    <t>FanBase_Str_Inertia_Rebar_Zone1_ZArray_XStart</t>
  </si>
  <si>
    <t>FanBase_Str_Inertia_Rebar_Zone3_XArrayQty</t>
  </si>
  <si>
    <t>FanBase_Str_Inertia_Rebar_Zone3_ZArray_ZStart</t>
  </si>
  <si>
    <t>FanBase_Str_Inertia_Plate_FlangeH</t>
  </si>
  <si>
    <t>PLTS1_OS</t>
  </si>
  <si>
    <t>PLTS1_SS</t>
  </si>
  <si>
    <t>PLTS2_SW1</t>
  </si>
  <si>
    <t>FanBase_Str_Inertia_Rebar_Zone1_LB</t>
  </si>
  <si>
    <t>FanBase_Str_Inertia_Plate_GA</t>
  </si>
  <si>
    <t>ISOLATORDEFLECTION</t>
  </si>
  <si>
    <t>Tie Down Bolt Diameter</t>
  </si>
  <si>
    <t>ISO_S1_ADJBD</t>
  </si>
  <si>
    <t>AMSR-1C T1</t>
  </si>
  <si>
    <t>FAN_SD</t>
  </si>
  <si>
    <t>FAN_N_CL1/CL2</t>
  </si>
  <si>
    <t>FAN_FlatWasherDia</t>
  </si>
  <si>
    <t>FAN_BAH_CL3</t>
  </si>
  <si>
    <t>FAN_BRG_SUP_W</t>
  </si>
  <si>
    <t>FAN_BRG_DIA</t>
  </si>
  <si>
    <t>330H</t>
  </si>
  <si>
    <t>135T</t>
  </si>
  <si>
    <t>402T</t>
  </si>
  <si>
    <t>490T</t>
  </si>
  <si>
    <t>200B</t>
  </si>
  <si>
    <t>Segment Length</t>
  </si>
  <si>
    <t>FanBase_Str_DB_ANG_D</t>
  </si>
  <si>
    <t>FanBase_Str_DOA_CHAN_Suppresion</t>
  </si>
  <si>
    <t>FanBase_Str_DOA_INT_CHAN_FTR</t>
  </si>
  <si>
    <t>FanBase_Str_DOA_INT_MTR_CHAN_XLoc</t>
  </si>
  <si>
    <t>FanBase_Str_Inertia_PlateBeside_BtmInvFiller_XDim</t>
  </si>
  <si>
    <t>FanBase_Str_Inertia_PlateBeside_BtmInvFiller_XLoc</t>
  </si>
  <si>
    <t>FanBase_Str_Inertia_PlateBeside_Btm_ZLoc</t>
  </si>
  <si>
    <t>FanBase_Str_Inertia_Plate_X_Hole1_Suppresion</t>
  </si>
  <si>
    <r>
      <t>InertiaRebar_Zone1_Z</t>
    </r>
    <r>
      <rPr>
        <sz val="8"/>
        <rFont val="Arial"/>
        <family val="2"/>
      </rPr>
      <t>2</t>
    </r>
  </si>
  <si>
    <t>Rebar1 S1</t>
  </si>
  <si>
    <t>Concrete1 S1</t>
  </si>
  <si>
    <t>TopDischTrans_Z_Loc</t>
  </si>
  <si>
    <t>WLDMNT_Base_L</t>
  </si>
  <si>
    <t>WLDMNT_Base_H</t>
  </si>
  <si>
    <t>WLDMNT_Base4_FIA_FlngD</t>
  </si>
  <si>
    <t>WLDMNT_MtrBaseHole_Spacing_Z</t>
  </si>
  <si>
    <t>WLDMNT_MtrBaseHole_ZLoc</t>
  </si>
  <si>
    <t>WLDMNT_IsoHole_XLoc</t>
  </si>
  <si>
    <t>WLDMNT_MB2</t>
  </si>
  <si>
    <t>F4</t>
  </si>
  <si>
    <t>MB1</t>
  </si>
  <si>
    <t>MB5</t>
  </si>
  <si>
    <t>WLDMNT_IntRail_DOA_Rail1_Loc</t>
  </si>
  <si>
    <t>WLDMNT_IntRail_DOA_Rail1_XLoc</t>
  </si>
  <si>
    <t>fan dow hole loc rh</t>
  </si>
  <si>
    <t>mtrbs doa fia hole loc</t>
  </si>
  <si>
    <t>A</t>
  </si>
  <si>
    <t>FIXED WEIGHT CALC ISSUES ON TYPE A BASES</t>
  </si>
  <si>
    <t>19-10292</t>
  </si>
  <si>
    <t>Date</t>
  </si>
  <si>
    <t>MTR_V</t>
  </si>
  <si>
    <t>0.188</t>
  </si>
  <si>
    <t>0.562</t>
  </si>
  <si>
    <t>Edit Manual</t>
  </si>
  <si>
    <t>60 X 144</t>
  </si>
  <si>
    <t>ALUD100A</t>
  </si>
  <si>
    <t>ALUE060A</t>
  </si>
  <si>
    <t>18</t>
  </si>
  <si>
    <t>Sheet, AL</t>
  </si>
  <si>
    <t>38.5 X 120</t>
  </si>
  <si>
    <t>Mild</t>
  </si>
  <si>
    <t>.096</t>
  </si>
  <si>
    <t xml:space="preserve">Sheet,Hot-Rolled,10ga </t>
  </si>
  <si>
    <t>Hot-Rolled</t>
  </si>
  <si>
    <t>005 07113 012</t>
  </si>
  <si>
    <t>Hot Dip</t>
  </si>
  <si>
    <t>1" 19-W-4</t>
  </si>
  <si>
    <t xml:space="preserve">Sheet,Perf,Glv,40.3%,16ga </t>
  </si>
  <si>
    <t>008 02316 001</t>
  </si>
  <si>
    <t>005 06596 012</t>
  </si>
  <si>
    <t>GLVS097S</t>
  </si>
  <si>
    <t>Galvanized Steel (Expanded/Flattened) 1-1/2 No. 9</t>
  </si>
  <si>
    <t>Sheet, G90</t>
  </si>
  <si>
    <t>005 06145 010</t>
  </si>
  <si>
    <t>G40</t>
  </si>
  <si>
    <t>005 06146 014</t>
  </si>
  <si>
    <t>SST304</t>
  </si>
  <si>
    <t>005 06146 018</t>
  </si>
  <si>
    <t>1" 19-S-4</t>
  </si>
  <si>
    <t>005 06146 250</t>
  </si>
  <si>
    <t xml:space="preserve">Plate,304ss,.25 </t>
  </si>
  <si>
    <t>SSTS135-</t>
  </si>
  <si>
    <t>005 07114 016</t>
  </si>
  <si>
    <t xml:space="preserve">Sheet,Perf,304ss,51%,16ga </t>
  </si>
  <si>
    <t>SST304PB</t>
  </si>
  <si>
    <t>Sheet,316lss, 20ga</t>
  </si>
  <si>
    <t>SSLS029-</t>
  </si>
  <si>
    <t>ALUE080A</t>
  </si>
  <si>
    <t>ALUE040A</t>
  </si>
  <si>
    <t>Notes:</t>
  </si>
  <si>
    <t>2. Conversions to Pounds or Sheets will be setup in Mapics as a (1 to X) product structure relationship</t>
  </si>
  <si>
    <t>FLOOR_CHAN_12</t>
  </si>
  <si>
    <t>Value</t>
  </si>
  <si>
    <t>MaterialStyle</t>
  </si>
  <si>
    <t>Side BH to Shell Clearance</t>
  </si>
  <si>
    <t>Plate Length</t>
  </si>
  <si>
    <t>JCI MAXIMUM LOAD RANGE</t>
  </si>
  <si>
    <t>ISO_BL</t>
  </si>
  <si>
    <t>ISO_S4_PartNumber</t>
  </si>
  <si>
    <t xml:space="preserve">029 23800 105 </t>
  </si>
  <si>
    <t>STL GALV PPW</t>
  </si>
  <si>
    <t>001 08405 004</t>
  </si>
  <si>
    <t>2" x 2" x 1/4" Structural Angle</t>
  </si>
  <si>
    <t>2" x 2" x 1/4" Structural Angle, Coped Both Ends</t>
  </si>
  <si>
    <t>008 02578 001</t>
  </si>
  <si>
    <t>Extrusion,Frame,Tb,Inswing,2", YC, 204"</t>
  </si>
  <si>
    <t>008 02586 001</t>
  </si>
  <si>
    <t>Steel, Stainless, Shapes</t>
  </si>
  <si>
    <t>FLOOR_CHAN_16</t>
  </si>
  <si>
    <t>MTRBS_BT</t>
  </si>
  <si>
    <t>MTRBS_Bstyle_Block_W</t>
  </si>
  <si>
    <t>MTRBS_Z_Location</t>
  </si>
  <si>
    <t>FanBase_Str_DOA_CHAN_WT</t>
  </si>
  <si>
    <t>FanBase_Str_DOA_CHAN_LB</t>
  </si>
  <si>
    <t>FanBase_Str_DOA_ANG_H</t>
  </si>
  <si>
    <t>FanBase_Str_DOA_ANG_D</t>
  </si>
  <si>
    <t>FanBase_Str_LIA_CHAN_ZLoc</t>
  </si>
  <si>
    <t>AMSR-2E T2</t>
  </si>
  <si>
    <t>FanBase_Str_IsoSup_ANG_L</t>
  </si>
  <si>
    <t>FanBase_Str_IsoSup_ANG_H</t>
  </si>
  <si>
    <t>FanBase_Str_IsoSup_ANG_D</t>
  </si>
  <si>
    <t>MTRBS_LB</t>
  </si>
  <si>
    <t>FanBase_Str_IsoSup_ANG_HL</t>
  </si>
  <si>
    <t>091 20019 012</t>
  </si>
  <si>
    <t>MtrBase S2</t>
  </si>
  <si>
    <t>PerSteel S2</t>
  </si>
  <si>
    <r>
      <t>MotorBase_Z</t>
    </r>
    <r>
      <rPr>
        <sz val="8"/>
        <rFont val="Arial"/>
        <family val="2"/>
      </rPr>
      <t>1</t>
    </r>
  </si>
  <si>
    <t>FanBase_Str_DOA_ANG_IsoHole_STLOC</t>
  </si>
  <si>
    <t>FanBase_Str_DOA_INT_ANG_Lookup</t>
  </si>
  <si>
    <t>FanBase_Str_MtrSup_CHAN_L_Calculation (actual)</t>
  </si>
  <si>
    <r>
      <t>IntRail_DOW_Z</t>
    </r>
    <r>
      <rPr>
        <sz val="8"/>
        <rFont val="Arial"/>
        <family val="2"/>
      </rPr>
      <t>1</t>
    </r>
  </si>
  <si>
    <t>IntRail DOW S3</t>
  </si>
  <si>
    <t>Weight Values</t>
  </si>
  <si>
    <t>FanBase_Str_Inertia_Rebar_Zone2_ZDim</t>
  </si>
  <si>
    <t>FanBase_Str_Inertia_Rebar_Zone2_XArray_XStart</t>
  </si>
  <si>
    <t>PLTS1_SW1</t>
  </si>
  <si>
    <t>PLTS4_SW2</t>
  </si>
  <si>
    <t>ISO_S4_HL</t>
  </si>
  <si>
    <t>ISO_S2_TDBD</t>
  </si>
  <si>
    <t>FAN_BH</t>
  </si>
  <si>
    <t>FAN_G</t>
  </si>
  <si>
    <t>FAN_K</t>
  </si>
  <si>
    <t>FAN_GA</t>
  </si>
  <si>
    <t>FAN_GA_CL3</t>
  </si>
  <si>
    <t>FAN_H_CL3</t>
  </si>
  <si>
    <t>FAN_KSL_CL3</t>
  </si>
  <si>
    <t>FAN_BAT_CL3</t>
  </si>
  <si>
    <t>FAN_BRG_SUP_W_CL3</t>
  </si>
  <si>
    <t>222H</t>
  </si>
  <si>
    <t>270H</t>
  </si>
  <si>
    <t>330T</t>
  </si>
  <si>
    <t>FanBase_Str_DB_ANG_L</t>
  </si>
  <si>
    <t>FanBase_Str_DB_ANG_H</t>
  </si>
  <si>
    <t>GALV PRFD</t>
  </si>
  <si>
    <t>GALV PRFH</t>
  </si>
  <si>
    <r>
      <t>MotorSupRail1_X</t>
    </r>
    <r>
      <rPr>
        <sz val="8"/>
        <rFont val="Arial"/>
        <family val="2"/>
      </rPr>
      <t>1</t>
    </r>
  </si>
  <si>
    <t>FanBase_Str_Inertia_Plate_Flange_IntFanNotch_XLoc</t>
  </si>
  <si>
    <t>FanBase_Str_Inertia_PlateBeside_BtmFiller_Suppresion</t>
  </si>
  <si>
    <t>IntMtrRail DOA S2</t>
  </si>
  <si>
    <r>
      <t>InertiaPlate_Zone2_Z</t>
    </r>
    <r>
      <rPr>
        <sz val="8"/>
        <rFont val="Arial"/>
        <family val="2"/>
      </rPr>
      <t>2</t>
    </r>
  </si>
  <si>
    <r>
      <t>InertiaConcrete_Zone2_Z</t>
    </r>
    <r>
      <rPr>
        <sz val="8"/>
        <rFont val="Arial"/>
        <family val="2"/>
      </rPr>
      <t>2</t>
    </r>
  </si>
  <si>
    <t>INERTIA PLATE ZONE 1 WEIGHT ADD</t>
  </si>
  <si>
    <t>MtrSup1 S3</t>
  </si>
  <si>
    <t>TopDischTrans_Stiffener_FIA_LIA_Hole1_ArrayDist</t>
  </si>
  <si>
    <t>TopDischTrans_Stiffener_RH_LH_Hole1_ZLoc</t>
  </si>
  <si>
    <t>TopDischTrans_Y_Loc</t>
  </si>
  <si>
    <t>TopDischTrans_Z</t>
  </si>
  <si>
    <t>WLDMNT_IntRail_DOA_Base4_LH_Suppresion</t>
  </si>
  <si>
    <t>WLDMNT_Base6_DOA_Suppresion</t>
  </si>
  <si>
    <t>int doa rail2</t>
  </si>
  <si>
    <t>WLDMNT_D10</t>
  </si>
  <si>
    <t>WLDMNT_MB6</t>
  </si>
  <si>
    <t>int btm disch dow rail</t>
  </si>
  <si>
    <t>CHANGED ISOLATOR PLATE FROM PURCHASED TO MANUFACTURED/ADDED WELDMENT</t>
  </si>
  <si>
    <t>QTY:</t>
  </si>
  <si>
    <t>E</t>
  </si>
  <si>
    <t>FAN</t>
  </si>
  <si>
    <t>326T</t>
  </si>
  <si>
    <t>MTR_BL</t>
  </si>
  <si>
    <t>MTR_C</t>
  </si>
  <si>
    <t>5/16 Hardware AB,B</t>
  </si>
  <si>
    <t>Mat'l Group</t>
  </si>
  <si>
    <t>N/A</t>
  </si>
  <si>
    <t>ALUD125B</t>
  </si>
  <si>
    <t>3/16</t>
  </si>
  <si>
    <t>ALUD188A</t>
  </si>
  <si>
    <t>Flattened</t>
  </si>
  <si>
    <t xml:space="preserve">Sheet,Al,3003h14,.063         </t>
  </si>
  <si>
    <t xml:space="preserve">Sheet,Al,3003h14,.190         </t>
  </si>
  <si>
    <t>STLPL500A</t>
  </si>
  <si>
    <t>005 07119 250</t>
  </si>
  <si>
    <t>HRSD126-</t>
  </si>
  <si>
    <t xml:space="preserve">Plate,Dia,Hot-Rolled,12ga </t>
  </si>
  <si>
    <t>HRSD070-</t>
  </si>
  <si>
    <t>005 07110 117</t>
  </si>
  <si>
    <t>Galvanized Steel (perf)</t>
  </si>
  <si>
    <t>GLVP044B</t>
  </si>
  <si>
    <t>005 06145 014</t>
  </si>
  <si>
    <t>Channel,Rf,16ga,Glv,6.67w_Flat, YC 4" Housing Channel</t>
  </si>
  <si>
    <t>005 06145 018</t>
  </si>
  <si>
    <t>Sheet, SST</t>
  </si>
  <si>
    <t>SSTS075-</t>
  </si>
  <si>
    <t>SSTS035-</t>
  </si>
  <si>
    <t>SST304D</t>
  </si>
  <si>
    <t>SSTL105-</t>
  </si>
  <si>
    <t>Sheet,316lss, 16ga</t>
  </si>
  <si>
    <t>Sheet,316lss, 18ga</t>
  </si>
  <si>
    <t>THIS BOX IS OUTPUT ONLY … DO NOT USE AS INPUTS</t>
  </si>
  <si>
    <t>Inside_Width</t>
  </si>
  <si>
    <t>Motor Frame Size</t>
  </si>
  <si>
    <t>ul</t>
  </si>
  <si>
    <t xml:space="preserve">029 23800 109 </t>
  </si>
  <si>
    <t>MAT_UMSR</t>
  </si>
  <si>
    <t>MAT_STG</t>
  </si>
  <si>
    <t>Channel 3 X 4.1 Lb/Ft,R-18 Std</t>
  </si>
  <si>
    <t>3" x 5.0# Structural Channel</t>
  </si>
  <si>
    <t>Channel 5 X 6.7 Lb/Ft,R-18 Std</t>
  </si>
  <si>
    <t>001 08405 008</t>
  </si>
  <si>
    <t>A36 HRS</t>
  </si>
  <si>
    <t>008 02329 010</t>
  </si>
  <si>
    <t xml:space="preserve">Track,Fltr,Hi-Eff,Top/Btm, 2" Pre, Rigid/Bag Final </t>
  </si>
  <si>
    <t>008 02577 001</t>
  </si>
  <si>
    <t>008 02585 001</t>
  </si>
  <si>
    <t>008 02593 001</t>
  </si>
  <si>
    <t xml:space="preserve">Channel,304ss,6_8.3#/Ft, Flange Width = 1.9"    </t>
  </si>
  <si>
    <t>001-07520-000</t>
  </si>
  <si>
    <t>391 20112 104</t>
  </si>
  <si>
    <t>MTRBS_Y_Location</t>
  </si>
  <si>
    <t>MTR_Hand</t>
  </si>
  <si>
    <t>FanBase_Str_MtrSup_CHAN_WT</t>
  </si>
  <si>
    <t>FanBase_Str_MtrSup_CHAN_LB</t>
  </si>
  <si>
    <t>FanBase_Str_FIA_LIA_CHAN_L</t>
  </si>
  <si>
    <t>FanBase_Str_FIA_LIA_CHAN_H</t>
  </si>
  <si>
    <t>FanBase_Str_FIA_LIA_CHAN_D</t>
  </si>
  <si>
    <t>FanBase_Str_DOA_CHAN_H</t>
  </si>
  <si>
    <t>FanBase_Str_DOA_CHAN_D</t>
  </si>
  <si>
    <t>FanBase_Str_DOA_ANG_L</t>
  </si>
  <si>
    <t>FanBase_Str_DOA_ANG_WT</t>
  </si>
  <si>
    <t>FanBase_Str_DOA_ANG_LB</t>
  </si>
  <si>
    <t>Structural Fan Base Data Type B &amp; C</t>
  </si>
  <si>
    <t>AMSR-2D T2</t>
  </si>
  <si>
    <t>MTR_LB</t>
  </si>
  <si>
    <t>SUPANG_HD1</t>
  </si>
  <si>
    <t>Hole Diameter 1</t>
  </si>
  <si>
    <t>Motor S1</t>
  </si>
  <si>
    <t>DOA Channel Data</t>
  </si>
  <si>
    <t>FanBase_Str_DOA_ANG_IsoHole_HS</t>
  </si>
  <si>
    <t>Hex Nut Heavy
Height/Thickness</t>
  </si>
  <si>
    <t>MOTORWEIGHT</t>
  </si>
  <si>
    <t>DOA Internal Angle Data</t>
  </si>
  <si>
    <t>ISO_S1_XLoc</t>
  </si>
  <si>
    <t>lb.</t>
  </si>
  <si>
    <t>FanBase_Str_Inertia_MaxPlate_XDim</t>
  </si>
  <si>
    <t>FanBase_Str_Inertia_Rebar_Zone3_ZArrayQty</t>
  </si>
  <si>
    <t xml:space="preserve">Spring CL Width Loc </t>
  </si>
  <si>
    <t>PLTS1_Designation</t>
  </si>
  <si>
    <t>PLTS3_SW2</t>
  </si>
  <si>
    <t>FanBase_Str_Inertia_Plate5_ZDim</t>
  </si>
  <si>
    <t>1 or 2 - Default = 2</t>
  </si>
  <si>
    <t>029 23800 116</t>
  </si>
  <si>
    <t>2e-2050-Sb</t>
  </si>
  <si>
    <t>ISO_BT</t>
  </si>
  <si>
    <t>ISO_S3_HL</t>
  </si>
  <si>
    <t>ISO_S2_TDBL</t>
  </si>
  <si>
    <t>FAN_HJ</t>
  </si>
  <si>
    <t>FAN_LB</t>
  </si>
  <si>
    <t>150H</t>
  </si>
  <si>
    <t>Fan_Disch_X_Distance (T, TI, B, BI)</t>
  </si>
  <si>
    <t>FanBase_Str_DOA_INT_ANG_HoleLoc_Plane</t>
  </si>
  <si>
    <t>FanBase_Str_DB_ANG_Suppresion</t>
  </si>
  <si>
    <t>ALM PRFB</t>
  </si>
  <si>
    <t>Galv</t>
  </si>
  <si>
    <t>FanBase_Str_Inertia_Plate5_ZLoc</t>
  </si>
  <si>
    <t>FanBase_Str_Inertia_PlateBeside_Btm_XDim</t>
  </si>
  <si>
    <r>
      <t>IntFanRail_DOA_Z</t>
    </r>
    <r>
      <rPr>
        <sz val="8"/>
        <rFont val="Arial"/>
        <family val="2"/>
      </rPr>
      <t>2</t>
    </r>
  </si>
  <si>
    <r>
      <t>IntMtrRail_DOA_Z</t>
    </r>
    <r>
      <rPr>
        <sz val="8"/>
        <rFont val="Arial"/>
        <family val="2"/>
      </rPr>
      <t>2</t>
    </r>
  </si>
  <si>
    <t>Rebar Weight Total Zone2</t>
  </si>
  <si>
    <r>
      <t>InertiaRebar_Zone1_X</t>
    </r>
    <r>
      <rPr>
        <sz val="8"/>
        <rFont val="Arial"/>
        <family val="2"/>
      </rPr>
      <t>2</t>
    </r>
  </si>
  <si>
    <t>Plate2 S3</t>
  </si>
  <si>
    <t>TopDischTrans_Roof_Overlap</t>
  </si>
  <si>
    <t>TopDischTrans_Stiffener_ArrayQty</t>
  </si>
  <si>
    <t>Location of "Base" fan in X direction (across width of unit). Dim is from RH origin plane (RH side of IW of unit) to center of Fan Discharge
Default = 0 - Default value centers fan discharge in IW of unit</t>
  </si>
  <si>
    <t>WLDMNT_MtrBaseHole_XLoc</t>
  </si>
  <si>
    <t>WLDMNT_MtrBaseHole_4_LHSuppresion_BH</t>
  </si>
  <si>
    <t>WLDMNT_ISOZ</t>
  </si>
  <si>
    <t>WLDMNT_D2</t>
  </si>
  <si>
    <t>WLDMNT_D6</t>
  </si>
  <si>
    <t>HOLE</t>
  </si>
  <si>
    <t>WLDMNT_IntRail_DOA_Base4_BS_Suppresion</t>
  </si>
  <si>
    <t>WLDMNT_MtrBaseHole_4_RHSuppresion_BH</t>
  </si>
  <si>
    <t>ADDED QTY OUTPUT TO LOAD CALC TAB FOR ISO PLATES</t>
  </si>
  <si>
    <t>FIXED TOP TRANSITION HEIGHT CALC</t>
  </si>
  <si>
    <t>L, R</t>
  </si>
  <si>
    <t>19-9893</t>
  </si>
  <si>
    <t>254T</t>
  </si>
  <si>
    <t>.100</t>
  </si>
  <si>
    <t>Plate,Dia,Alu,.188_3003 Bright</t>
  </si>
  <si>
    <t>Grating,19-Ap-4,1h_.13thk,Aluminum Grating</t>
  </si>
  <si>
    <t>ALUP080A</t>
  </si>
  <si>
    <t>008 02574 080</t>
  </si>
  <si>
    <t>ALUS063A</t>
  </si>
  <si>
    <t>.500</t>
  </si>
  <si>
    <t>48 x 120</t>
  </si>
  <si>
    <t xml:space="preserve">48 x 120 </t>
  </si>
  <si>
    <t>HR</t>
  </si>
  <si>
    <t>STLHR097A</t>
  </si>
  <si>
    <t xml:space="preserve">Sheet,Pre-Paint,Gray,16ga </t>
  </si>
  <si>
    <t>GLVP039A</t>
  </si>
  <si>
    <t>GLVP055A</t>
  </si>
  <si>
    <t>005 07115 020</t>
  </si>
  <si>
    <t>GLVS056C</t>
  </si>
  <si>
    <t>12.62 X Lg</t>
  </si>
  <si>
    <t>SSTS250-</t>
  </si>
  <si>
    <t>SSTP060A</t>
  </si>
  <si>
    <t>SST304L</t>
  </si>
  <si>
    <t>SST316L</t>
  </si>
  <si>
    <t>005 07104 012</t>
  </si>
  <si>
    <t>005 07104 016</t>
  </si>
  <si>
    <t>SSLS060-</t>
  </si>
  <si>
    <t>FLOOR_CHAN_2</t>
  </si>
  <si>
    <t>FLOOR_CHAN_6</t>
  </si>
  <si>
    <t>ROOF_CHAN_2</t>
  </si>
  <si>
    <t>ROOF_CHAN_6</t>
  </si>
  <si>
    <t>Y_ARRAY_OFFSET</t>
  </si>
  <si>
    <t>RIGHT_HAND_CHAN_1</t>
  </si>
  <si>
    <t>RIGHT_HAND_CHAN_5</t>
  </si>
  <si>
    <t>RIGHT_HAND_CHAN_10</t>
  </si>
  <si>
    <t>LEFT_HAND_CHAN_2</t>
  </si>
  <si>
    <t>Inside Height</t>
  </si>
  <si>
    <t>Material Style</t>
  </si>
  <si>
    <t>NOMINAL DEFLECTION, INCHES</t>
  </si>
  <si>
    <t>NONE</t>
  </si>
  <si>
    <t>TAN</t>
  </si>
  <si>
    <t>ISO_OPHGT</t>
  </si>
  <si>
    <t>INERTIA</t>
  </si>
  <si>
    <t>ISO_S3_OPHGT</t>
  </si>
  <si>
    <t>Height</t>
  </si>
  <si>
    <t>Web/Wall Thickness</t>
  </si>
  <si>
    <t>Depth</t>
  </si>
  <si>
    <t>Flange Thickness/ Radius</t>
  </si>
  <si>
    <t>STL_LOOKUP</t>
  </si>
  <si>
    <t xml:space="preserve">I-Beam 4 X 7.7 Lb/Ft,R-18 Std </t>
  </si>
  <si>
    <t>Aluminum, Extruded, Shapes</t>
  </si>
  <si>
    <t>Alum, Extrude, Track</t>
  </si>
  <si>
    <t>ALUT42TB</t>
  </si>
  <si>
    <t>008 02584 001</t>
  </si>
  <si>
    <t>Extrusion,Tb,Door,3", YC, 204" L</t>
  </si>
  <si>
    <t>008 02592 001</t>
  </si>
  <si>
    <t>MTRBS_F</t>
  </si>
  <si>
    <t>MTRBS_X_Location</t>
  </si>
  <si>
    <t>FanBase_Str_MtrSup_CHAN_FTR</t>
  </si>
  <si>
    <t>FanBase_Str_DOA_CHAN_L</t>
  </si>
  <si>
    <t>MTR_Beside_Z_Location</t>
  </si>
  <si>
    <t>MTR_Behind_X_Location</t>
  </si>
  <si>
    <t>FanBase_Str_ANG_Suppresion</t>
  </si>
  <si>
    <t>Angle Height</t>
  </si>
  <si>
    <t>Hole Spacing</t>
  </si>
  <si>
    <t>Angle Length</t>
  </si>
  <si>
    <t>Hole Location</t>
  </si>
  <si>
    <t>SUPANG_HL</t>
  </si>
  <si>
    <t>FanBase_Str_IsoSup_ANG_HD1</t>
  </si>
  <si>
    <t>Total Load S1</t>
  </si>
  <si>
    <t>Fan S3</t>
  </si>
  <si>
    <r>
      <t>MotorBase_X</t>
    </r>
    <r>
      <rPr>
        <sz val="8"/>
        <rFont val="Arial"/>
        <family val="2"/>
      </rPr>
      <t>1</t>
    </r>
  </si>
  <si>
    <t>MIN_T_FRAME</t>
  </si>
  <si>
    <t>D_Max_Angle</t>
  </si>
  <si>
    <t>B_Total_Used_ADJ_Length</t>
  </si>
  <si>
    <t>C_Total_Used_ADJ_Length</t>
  </si>
  <si>
    <t>FanBase_Str_MIA_ANG_WT</t>
  </si>
  <si>
    <t>FanBase_Str_MIA_ANG_LB</t>
  </si>
  <si>
    <r>
      <t>IntRail_DOW_X</t>
    </r>
    <r>
      <rPr>
        <sz val="8"/>
        <rFont val="Arial"/>
        <family val="2"/>
      </rPr>
      <t>1</t>
    </r>
  </si>
  <si>
    <t>MOTOR</t>
  </si>
  <si>
    <t>Internal Rail DOW</t>
  </si>
  <si>
    <t>TYPE B</t>
  </si>
  <si>
    <t>FanBase_Str_Inertia_Rebar_Zone1_ZDim</t>
  </si>
  <si>
    <t>FanBase_Str_Inertia_Rebar_Zone2_XDim</t>
  </si>
  <si>
    <t>FanBase_Str_Inertia_Rebar_Zone2_ZArray_XStart</t>
  </si>
  <si>
    <t>FanBase_Str_Inertia_Rebar_Zone2_Suppresion</t>
  </si>
  <si>
    <t>PLTS3_Designation</t>
  </si>
  <si>
    <t>ISO_S2_HL</t>
  </si>
  <si>
    <t>391 25728 100</t>
  </si>
  <si>
    <t>FAN_MAX_T_FRAME_CL2</t>
  </si>
  <si>
    <t>FAN_ND</t>
  </si>
  <si>
    <t>FAN_HN</t>
  </si>
  <si>
    <t>FAN_KSW_CL3</t>
  </si>
  <si>
    <t>FAN_KSD_CL1</t>
  </si>
  <si>
    <t>FAN_P_CL2</t>
  </si>
  <si>
    <t>FAN_A_CL1/CL2</t>
  </si>
  <si>
    <t>FAN_GA_CL1/CL2</t>
  </si>
  <si>
    <t>FAN_Q_CL1/CL2</t>
  </si>
  <si>
    <t>FAN_G_CL3</t>
  </si>
  <si>
    <t>FAN_HJ_CL3</t>
  </si>
  <si>
    <t>FAN_BRG_W</t>
  </si>
  <si>
    <t>122H</t>
  </si>
  <si>
    <t>182H</t>
  </si>
  <si>
    <t>222T</t>
  </si>
  <si>
    <t>270T</t>
  </si>
  <si>
    <t>730B</t>
  </si>
  <si>
    <t>FAN_BRG_SUP_T</t>
  </si>
  <si>
    <t>FanBase_Str_DOA_INT_CHAN_WT</t>
  </si>
  <si>
    <t>FanBase_Str_DOA_INT_CHAN_LB</t>
  </si>
  <si>
    <t>FanBase_Str_FIA_LIA_CHAN_Loc_Plane</t>
  </si>
  <si>
    <t>ALM SHT</t>
  </si>
  <si>
    <t>005 07112 041</t>
  </si>
  <si>
    <t>FanBase_Str_DOA_INT_MTR_CHAN_Coping_Suppresion</t>
  </si>
  <si>
    <t>MOTOR SUPPORT RAIL 2</t>
  </si>
  <si>
    <t>FanBase_Str_Inertia_Plate_Qty</t>
  </si>
  <si>
    <t>FanBase_Str_Inertia_Plate_Flange_BtmDischNotch_Suppresion</t>
  </si>
  <si>
    <t>FanBase_Str_Inertia_Plate_X_Hole3_ArrayDist</t>
  </si>
  <si>
    <t>IntFanRail DOA S4</t>
  </si>
  <si>
    <r>
      <t>InertiaPlate_Zone1_Z</t>
    </r>
    <r>
      <rPr>
        <sz val="8"/>
        <rFont val="Arial"/>
        <family val="2"/>
      </rPr>
      <t>2</t>
    </r>
  </si>
  <si>
    <r>
      <t>InertiaPlate_Zone2_X</t>
    </r>
    <r>
      <rPr>
        <sz val="8"/>
        <rFont val="Arial"/>
        <family val="2"/>
      </rPr>
      <t>2</t>
    </r>
  </si>
  <si>
    <r>
      <t>InertiaConcrete_Zone1_Z</t>
    </r>
    <r>
      <rPr>
        <sz val="8"/>
        <rFont val="Arial"/>
        <family val="2"/>
      </rPr>
      <t>2</t>
    </r>
  </si>
  <si>
    <r>
      <t>InertiaConcrete_Zone2_X</t>
    </r>
    <r>
      <rPr>
        <sz val="8"/>
        <rFont val="Arial"/>
        <family val="2"/>
      </rPr>
      <t>2</t>
    </r>
  </si>
  <si>
    <t>Plate1 S3</t>
  </si>
  <si>
    <t>Rebar2 S2</t>
  </si>
  <si>
    <t>Concrete2 S2</t>
  </si>
  <si>
    <t>TopDischTrans_Stiffener_RH_LH_Hole1_ArrayDist</t>
  </si>
  <si>
    <t>WLDMNT_F4</t>
  </si>
  <si>
    <t>F1</t>
  </si>
  <si>
    <t>ISOX</t>
  </si>
  <si>
    <t>D3</t>
  </si>
  <si>
    <t>WLDMNT_FanHole_ZLoc</t>
  </si>
  <si>
    <t>fan doa hole loc fia</t>
  </si>
  <si>
    <t>fan doa hole loc lia</t>
  </si>
  <si>
    <t>int 4" dow mtr rail</t>
  </si>
  <si>
    <t>All Thread Part Number</t>
  </si>
  <si>
    <t>021-19602-000</t>
  </si>
  <si>
    <t>Iso S3</t>
  </si>
  <si>
    <t>Iso Plate S2</t>
  </si>
  <si>
    <t>G</t>
  </si>
  <si>
    <t>23-11407</t>
  </si>
  <si>
    <t>Fixed weldment D11 calc (excel calcs B163)</t>
  </si>
  <si>
    <t>FanBase_Str_MtrSup_CHAN_Overhang_TypeB</t>
  </si>
  <si>
    <t>SHAFT DIAMETERS</t>
  </si>
  <si>
    <t>MOTOR_SHAFT_DIAMETER</t>
  </si>
  <si>
    <t>FAN_SHAFT_DIAMETER</t>
  </si>
  <si>
    <t>H</t>
  </si>
  <si>
    <t>Added new named cells FAN_SHAFT_DIAMETER and MOTOR_SHAFT_DIAMETER to Center Distance tab as MOM outputs for belt guard and sheave sizing.</t>
  </si>
  <si>
    <t>NSC</t>
  </si>
  <si>
    <t>24-11646</t>
  </si>
  <si>
    <t>Added part #'s to "Isolator Plate" tab &amp; updated iLogic in the iProperties rules in plate assy's.</t>
  </si>
  <si>
    <t>JAB</t>
  </si>
  <si>
    <t>25-11734</t>
  </si>
  <si>
    <t>I</t>
  </si>
  <si>
    <t>BASELINE, SEISMIC</t>
  </si>
  <si>
    <t>AMSR-1C OFFSET SM</t>
  </si>
  <si>
    <t>391-25728-101</t>
  </si>
  <si>
    <t>391 20112 107</t>
  </si>
  <si>
    <t>AMSR-2D OFFSET SM</t>
  </si>
  <si>
    <t>391-25728-102</t>
  </si>
  <si>
    <t>391 20112 108</t>
  </si>
  <si>
    <t>391-01106-001</t>
  </si>
  <si>
    <t>391-01106-002</t>
  </si>
  <si>
    <t>391-01106-003</t>
  </si>
  <si>
    <t>391-01106-004</t>
  </si>
  <si>
    <t>391-01106-005</t>
  </si>
  <si>
    <t>391-01106-006</t>
  </si>
  <si>
    <t>391-01106-007</t>
  </si>
  <si>
    <t>391-01106-008</t>
  </si>
  <si>
    <t>091-01095-001</t>
  </si>
  <si>
    <t>391-01094-001</t>
  </si>
  <si>
    <t>091-01095-002</t>
  </si>
  <si>
    <t>391-01094-002</t>
  </si>
  <si>
    <t>091-01095-003</t>
  </si>
  <si>
    <t>391-01094-003</t>
  </si>
  <si>
    <t>091-01095-004</t>
  </si>
  <si>
    <t>391-01094-004</t>
  </si>
  <si>
    <t>091-01095-005</t>
  </si>
  <si>
    <t>391-01094-005</t>
  </si>
  <si>
    <t>091-01095-006</t>
  </si>
  <si>
    <t>391-01094-006</t>
  </si>
  <si>
    <t>091-01095-007</t>
  </si>
  <si>
    <t>391-01094-007</t>
  </si>
  <si>
    <t>091-01095-008</t>
  </si>
  <si>
    <t>391-01094-008</t>
  </si>
  <si>
    <t>091-01095-009</t>
  </si>
  <si>
    <t>391-01094-009</t>
  </si>
  <si>
    <t>091-01095-010</t>
  </si>
  <si>
    <t>391-01094-010</t>
  </si>
  <si>
    <t>091-01095-011</t>
  </si>
  <si>
    <t>391-01094-011</t>
  </si>
  <si>
    <t>091-01095-012</t>
  </si>
  <si>
    <t>391-01094-012</t>
  </si>
  <si>
    <t>091-01095-013</t>
  </si>
  <si>
    <t>391-01094-013</t>
  </si>
  <si>
    <t>091-01095-014</t>
  </si>
  <si>
    <t>391-01094-014</t>
  </si>
  <si>
    <t>091-01095-015</t>
  </si>
  <si>
    <t>391-01094-015</t>
  </si>
  <si>
    <t>091-01095-016</t>
  </si>
  <si>
    <t>391-01094-016</t>
  </si>
  <si>
    <t>3</t>
  </si>
  <si>
    <t>0</t>
  </si>
  <si>
    <t>000</t>
  </si>
  <si>
    <t>0000000</t>
  </si>
  <si>
    <t>See "Isolator Plate" tab</t>
  </si>
  <si>
    <t>021-37034-001</t>
  </si>
  <si>
    <t>021-37035-001</t>
  </si>
  <si>
    <t>SEISMIC</t>
  </si>
  <si>
    <t>091-01110-001</t>
  </si>
  <si>
    <t>091-01110-002</t>
  </si>
  <si>
    <t>091-01110-003</t>
  </si>
  <si>
    <t>091-01110-004</t>
  </si>
  <si>
    <t>091-01110-005</t>
  </si>
  <si>
    <t>091-01110-006</t>
  </si>
  <si>
    <t>091-01110-007</t>
  </si>
  <si>
    <t>091-01110-008</t>
  </si>
  <si>
    <t>S1_PLATE_ASY</t>
  </si>
  <si>
    <t>S2_PLATE_ASY</t>
  </si>
  <si>
    <t>S3_PLATE_ASY</t>
  </si>
  <si>
    <t>S4_PLATE_ASY</t>
  </si>
  <si>
    <t>STL GALV, SST304</t>
  </si>
  <si>
    <t>3STL GALV</t>
  </si>
  <si>
    <t>005 06145 003</t>
  </si>
  <si>
    <t>GLVS250-</t>
  </si>
  <si>
    <t>J</t>
  </si>
  <si>
    <t>Updated Fan shaft diameter values to exact multiples of 1/32" in the "Fan Data"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</si>
</sst>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00"/>
    <numFmt numFmtId="165" formatCode="0.000_);[Red]\(0.000\)"/>
    <numFmt numFmtId="166" formatCode="0.0"/>
    <numFmt numFmtId="167" formatCode="0.00000"/>
    <numFmt numFmtId="168" formatCode="dd\-mmm\-yy_)"/>
    <numFmt numFmtId="169" formatCode="#,##0.000"/>
    <numFmt numFmtId="170" formatCode="0.0000"/>
  </numFmts>
  <fonts count="47" x14ac:knownFonts="1">
    <font>
      <sz val="10"/>
      <color theme="1"/>
      <name val="Arial"/>
      <family val="2"/>
    </font>
    <font>
      <sz val="12"/>
      <color theme="1"/>
      <name val="Arial"/>
      <family val="2"/>
    </font>
    <font>
      <sz val="12"/>
      <color theme="0"/>
      <name val="Arial"/>
      <family val="2"/>
    </font>
    <font>
      <sz val="12"/>
      <color rgb="FF9C0006"/>
      <name val="Arial"/>
      <family val="2"/>
    </font>
    <font>
      <b/>
      <sz val="12"/>
      <color rgb="FFFA7D00"/>
      <name val="Arial"/>
      <family val="2"/>
    </font>
    <font>
      <b/>
      <sz val="12"/>
      <color theme="0"/>
      <name val="Arial"/>
      <family val="2"/>
    </font>
    <font>
      <sz val="10"/>
      <name val="Arial"/>
      <family val="2"/>
    </font>
    <font>
      <i/>
      <sz val="12"/>
      <color rgb="FF7F7F7F"/>
      <name val="Arial"/>
      <family val="2"/>
    </font>
    <font>
      <sz val="12"/>
      <color rgb="FF006100"/>
      <name val="Arial"/>
      <family val="2"/>
    </font>
    <font>
      <b/>
      <sz val="15"/>
      <color theme="3"/>
      <name val="Arial"/>
      <family val="2"/>
    </font>
    <font>
      <b/>
      <sz val="13"/>
      <color theme="3"/>
      <name val="Arial"/>
      <family val="2"/>
    </font>
    <font>
      <b/>
      <sz val="11"/>
      <color theme="3"/>
      <name val="Arial"/>
      <family val="2"/>
    </font>
    <font>
      <u/>
      <sz val="10"/>
      <color indexed="12"/>
      <name val="Arial"/>
      <family val="2"/>
    </font>
    <font>
      <sz val="12"/>
      <color rgb="FF3F3F76"/>
      <name val="Arial"/>
      <family val="2"/>
    </font>
    <font>
      <sz val="12"/>
      <color rgb="FFFA7D00"/>
      <name val="Arial"/>
      <family val="2"/>
    </font>
    <font>
      <sz val="12"/>
      <color rgb="FF9C6500"/>
      <name val="Arial"/>
      <family val="2"/>
    </font>
    <font>
      <sz val="12"/>
      <color theme="1"/>
      <name val="Calibri"/>
      <family val="2"/>
      <scheme val="minor"/>
    </font>
    <font>
      <sz val="11"/>
      <color theme="1"/>
      <name val="Calibri"/>
      <family val="2"/>
      <scheme val="minor"/>
    </font>
    <font>
      <sz val="14"/>
      <color theme="1"/>
      <name val="Calibri"/>
      <family val="2"/>
    </font>
    <font>
      <sz val="12"/>
      <name val="Arial"/>
      <family val="2"/>
    </font>
    <font>
      <b/>
      <sz val="12"/>
      <color rgb="FF3F3F3F"/>
      <name val="Arial"/>
      <family val="2"/>
    </font>
    <font>
      <b/>
      <sz val="18"/>
      <color theme="3"/>
      <name val="Cambria"/>
      <family val="2"/>
      <scheme val="major"/>
    </font>
    <font>
      <b/>
      <sz val="12"/>
      <color theme="1"/>
      <name val="Arial"/>
      <family val="2"/>
    </font>
    <font>
      <sz val="12"/>
      <color rgb="FFFF0000"/>
      <name val="Arial"/>
      <family val="2"/>
    </font>
    <font>
      <sz val="10"/>
      <color indexed="8"/>
      <name val="Arial"/>
      <family val="2"/>
    </font>
    <font>
      <sz val="11"/>
      <name val="Calibri"/>
      <family val="2"/>
      <scheme val="minor"/>
    </font>
    <font>
      <b/>
      <sz val="10"/>
      <color theme="1"/>
      <name val="Arial"/>
      <family val="2"/>
    </font>
    <font>
      <b/>
      <sz val="18"/>
      <color theme="1"/>
      <name val="Arial"/>
      <family val="2"/>
    </font>
    <font>
      <b/>
      <sz val="10"/>
      <name val="Arial"/>
      <family val="2"/>
    </font>
    <font>
      <b/>
      <sz val="10"/>
      <color indexed="8"/>
      <name val="Arial"/>
      <family val="2"/>
    </font>
    <font>
      <sz val="10"/>
      <color rgb="FFFF0000"/>
      <name val="Arial"/>
      <family val="2"/>
    </font>
    <font>
      <sz val="10"/>
      <color theme="0"/>
      <name val="Arial"/>
      <family val="2"/>
    </font>
    <font>
      <b/>
      <sz val="12"/>
      <color theme="1"/>
      <name val="Calibri"/>
      <family val="2"/>
    </font>
    <font>
      <sz val="9"/>
      <name val="Calibri"/>
      <family val="2"/>
      <scheme val="minor"/>
    </font>
    <font>
      <b/>
      <sz val="12"/>
      <color indexed="8"/>
      <name val="Arial"/>
      <family val="2"/>
    </font>
    <font>
      <b/>
      <sz val="19"/>
      <color rgb="FFFF0000"/>
      <name val="Arial"/>
      <family val="2"/>
    </font>
    <font>
      <sz val="19"/>
      <color theme="1"/>
      <name val="Arial"/>
      <family val="2"/>
    </font>
    <font>
      <b/>
      <sz val="16"/>
      <name val="Arial"/>
      <family val="2"/>
    </font>
    <font>
      <sz val="14"/>
      <name val="Arial"/>
      <family val="2"/>
    </font>
    <font>
      <b/>
      <sz val="12"/>
      <color rgb="FFFF0000"/>
      <name val="Arial"/>
      <family val="2"/>
    </font>
    <font>
      <b/>
      <sz val="14"/>
      <name val="Arial"/>
      <family val="2"/>
    </font>
    <font>
      <sz val="11"/>
      <color rgb="FFFF0000"/>
      <name val="Calibri"/>
      <family val="2"/>
    </font>
    <font>
      <b/>
      <sz val="14"/>
      <color theme="1"/>
      <name val="Arial"/>
      <family val="2"/>
    </font>
    <font>
      <sz val="10"/>
      <color indexed="8"/>
      <name val="Courier New"/>
      <family val="3"/>
    </font>
    <font>
      <sz val="8"/>
      <name val="Arial"/>
      <family val="2"/>
    </font>
    <font>
      <b/>
      <sz val="10"/>
      <color rgb="FF000000"/>
      <name val="Arial"/>
      <family val="2"/>
    </font>
    <font>
      <sz val="10"/>
      <color rgb="FF000000"/>
      <name val="Arial"/>
      <family val="2"/>
    </font>
  </fonts>
  <fills count="50">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C99"/>
        <bgColor indexed="64"/>
      </patternFill>
    </fill>
    <fill>
      <patternFill patternType="solid">
        <fgColor rgb="FFFFEB9C"/>
        <bgColor indexed="64"/>
      </patternFill>
    </fill>
    <fill>
      <patternFill patternType="solid">
        <fgColor rgb="FFFFFFCC"/>
        <bgColor indexed="64"/>
      </patternFill>
    </fill>
    <fill>
      <patternFill patternType="solid">
        <fgColor theme="0" tint="-0.3499252296517838"/>
        <bgColor indexed="64"/>
      </patternFill>
    </fill>
    <fill>
      <patternFill patternType="solid">
        <fgColor theme="0" tint="-0.14993743705557422"/>
        <bgColor indexed="64"/>
      </patternFill>
    </fill>
    <fill>
      <patternFill patternType="solid">
        <fgColor indexed="9"/>
        <bgColor indexed="64"/>
      </patternFill>
    </fill>
    <fill>
      <patternFill patternType="solid">
        <fgColor indexed="47"/>
        <bgColor indexed="64"/>
      </patternFill>
    </fill>
    <fill>
      <patternFill patternType="solid">
        <fgColor rgb="FF92D050"/>
        <bgColor indexed="64"/>
      </patternFill>
    </fill>
    <fill>
      <patternFill patternType="solid">
        <fgColor rgb="FF00B0F0"/>
        <bgColor indexed="64"/>
      </patternFill>
    </fill>
    <fill>
      <patternFill patternType="solid">
        <fgColor rgb="FF99FF99"/>
        <bgColor indexed="64"/>
      </patternFill>
    </fill>
    <fill>
      <patternFill patternType="solid">
        <fgColor theme="3" tint="0.59999389629810485"/>
        <bgColor indexed="64"/>
      </patternFill>
    </fill>
    <fill>
      <patternFill patternType="solid">
        <fgColor theme="2" tint="-0.749992370372631"/>
        <bgColor indexed="64"/>
      </patternFill>
    </fill>
    <fill>
      <patternFill patternType="solid">
        <fgColor theme="3" tint="0.39997558519241921"/>
        <bgColor indexed="64"/>
      </patternFill>
    </fill>
    <fill>
      <patternFill patternType="solid">
        <fgColor indexed="44"/>
        <bgColor indexed="64"/>
      </patternFill>
    </fill>
    <fill>
      <patternFill patternType="solid">
        <fgColor rgb="FF00B050"/>
        <bgColor indexed="64"/>
      </patternFill>
    </fill>
    <fill>
      <patternFill patternType="solid">
        <fgColor rgb="FFFFFF00"/>
        <bgColor indexed="64"/>
      </patternFill>
    </fill>
    <fill>
      <patternFill patternType="solid">
        <fgColor theme="6" tint="-0.24991607409894101"/>
        <bgColor indexed="64"/>
      </patternFill>
    </fill>
    <fill>
      <patternFill patternType="solid">
        <fgColor rgb="FFFFC000"/>
        <bgColor indexed="64"/>
      </patternFill>
    </fill>
    <fill>
      <patternFill patternType="solid">
        <fgColor rgb="FFFFFF00"/>
        <bgColor rgb="FF000000"/>
      </patternFill>
    </fill>
    <fill>
      <patternFill patternType="solid">
        <fgColor theme="0"/>
        <bgColor indexed="64"/>
      </patternFill>
    </fill>
  </fills>
  <borders count="10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double">
        <color indexed="64"/>
      </left>
      <right style="double">
        <color indexed="64"/>
      </right>
      <top style="thin">
        <color indexed="64"/>
      </top>
      <bottom style="thin">
        <color indexed="64"/>
      </bottom>
      <diagonal/>
    </border>
    <border>
      <left/>
      <right/>
      <top style="medium">
        <color indexed="64"/>
      </top>
      <bottom style="medium">
        <color indexed="64"/>
      </bottom>
      <diagonal/>
    </border>
    <border>
      <left/>
      <right/>
      <top/>
      <bottom style="double">
        <color indexed="64"/>
      </bottom>
      <diagonal/>
    </border>
    <border>
      <left style="double">
        <color indexed="64"/>
      </left>
      <right style="double">
        <color indexed="64"/>
      </right>
      <top/>
      <bottom style="thin">
        <color indexed="64"/>
      </bottom>
      <diagonal/>
    </border>
    <border>
      <left/>
      <right style="thin">
        <color indexed="64"/>
      </right>
      <top style="medium">
        <color indexed="64"/>
      </top>
      <bottom style="thin">
        <color indexed="64"/>
      </bottom>
      <diagonal/>
    </border>
    <border>
      <left style="double">
        <color indexed="64"/>
      </left>
      <right style="double">
        <color indexed="64"/>
      </right>
      <top style="thin">
        <color indexed="64"/>
      </top>
      <bottom style="double">
        <color indexed="64"/>
      </bottom>
      <diagonal/>
    </border>
    <border>
      <left/>
      <right/>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style="double">
        <color indexed="64"/>
      </left>
      <right style="double">
        <color indexed="64"/>
      </right>
      <top style="double">
        <color indexed="64"/>
      </top>
      <bottom style="thin">
        <color indexed="64"/>
      </bottom>
      <diagonal/>
    </border>
    <border>
      <left style="medium">
        <color indexed="64"/>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style="thin">
        <color indexed="64"/>
      </left>
      <right style="medium">
        <color indexed="64"/>
      </right>
      <top style="medium">
        <color indexed="64"/>
      </top>
      <bottom style="medium">
        <color indexed="64"/>
      </bottom>
      <diagonal/>
    </border>
    <border>
      <left style="double">
        <color indexed="64"/>
      </left>
      <right style="double">
        <color indexed="64"/>
      </right>
      <top style="double">
        <color indexed="64"/>
      </top>
      <bottom/>
      <diagonal/>
    </border>
    <border>
      <left style="thin">
        <color indexed="64"/>
      </left>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top style="double">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double">
        <color indexed="64"/>
      </left>
      <right style="double">
        <color indexed="64"/>
      </right>
      <top/>
      <bottom style="double">
        <color indexed="64"/>
      </bottom>
      <diagonal/>
    </border>
    <border>
      <left style="double">
        <color indexed="64"/>
      </left>
      <right/>
      <top/>
      <bottom/>
      <diagonal/>
    </border>
    <border>
      <left/>
      <right/>
      <top style="thin">
        <color indexed="64"/>
      </top>
      <bottom style="thin">
        <color indexed="64"/>
      </bottom>
      <diagonal/>
    </border>
    <border>
      <left style="double">
        <color indexed="64"/>
      </left>
      <right/>
      <top/>
      <bottom style="double">
        <color indexed="64"/>
      </bottom>
      <diagonal/>
    </border>
    <border>
      <left style="thin">
        <color indexed="64"/>
      </left>
      <right style="thin">
        <color indexed="64"/>
      </right>
      <top/>
      <bottom style="medium">
        <color indexed="64"/>
      </bottom>
      <diagonal/>
    </border>
    <border>
      <left style="double">
        <color indexed="64"/>
      </left>
      <right style="double">
        <color indexed="64"/>
      </right>
      <top/>
      <bottom/>
      <diagonal/>
    </border>
    <border>
      <left/>
      <right/>
      <top/>
      <bottom style="thin">
        <color indexed="64"/>
      </bottom>
      <diagonal/>
    </border>
    <border>
      <left/>
      <right style="thin">
        <color indexed="64"/>
      </right>
      <top style="medium">
        <color indexed="64"/>
      </top>
      <bottom style="medium">
        <color indexed="64"/>
      </bottom>
      <diagonal/>
    </border>
    <border>
      <left/>
      <right/>
      <top style="medium">
        <color indexed="64"/>
      </top>
      <bottom style="thin">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right style="double">
        <color indexed="64"/>
      </right>
      <top/>
      <bottom style="double">
        <color indexed="64"/>
      </bottom>
      <diagonal/>
    </border>
    <border>
      <left style="medium">
        <color indexed="64"/>
      </left>
      <right style="medium">
        <color indexed="64"/>
      </right>
      <top style="medium">
        <color indexed="64"/>
      </top>
      <bottom/>
      <diagonal/>
    </border>
    <border>
      <left style="thin">
        <color theme="1"/>
      </left>
      <right style="medium">
        <color theme="1"/>
      </right>
      <top style="thin">
        <color theme="1"/>
      </top>
      <bottom style="thin">
        <color theme="1"/>
      </bottom>
      <diagonal/>
    </border>
    <border>
      <left style="medium">
        <color indexed="64"/>
      </left>
      <right/>
      <top/>
      <bottom style="medium">
        <color indexed="64"/>
      </bottom>
      <diagonal/>
    </border>
    <border>
      <left/>
      <right/>
      <top style="thin">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bottom/>
      <diagonal/>
    </border>
    <border>
      <left/>
      <right style="double">
        <color indexed="64"/>
      </right>
      <top/>
      <bottom/>
      <diagonal/>
    </border>
    <border>
      <left style="medium">
        <color indexed="64"/>
      </left>
      <right/>
      <top/>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style="medium">
        <color indexed="64"/>
      </top>
      <bottom/>
      <diagonal/>
    </border>
    <border>
      <left style="medium">
        <color theme="1"/>
      </left>
      <right style="thin">
        <color theme="1"/>
      </right>
      <top style="thin">
        <color theme="1"/>
      </top>
      <bottom style="medium">
        <color theme="1"/>
      </bottom>
      <diagonal/>
    </border>
    <border>
      <left style="medium">
        <color theme="1"/>
      </left>
      <right style="thin">
        <color theme="1"/>
      </right>
      <top style="thin">
        <color theme="1"/>
      </top>
      <bottom style="thin">
        <color theme="1"/>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theme="1"/>
      </left>
      <right style="medium">
        <color theme="1"/>
      </right>
      <top style="thin">
        <color theme="1"/>
      </top>
      <bottom style="medium">
        <color theme="1"/>
      </bottom>
      <diagonal/>
    </border>
    <border>
      <left style="medium">
        <color indexed="64"/>
      </left>
      <right/>
      <top style="thin">
        <color indexed="64"/>
      </top>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double">
        <color indexed="64"/>
      </left>
      <right/>
      <top style="thin">
        <color indexed="64"/>
      </top>
      <bottom style="thin">
        <color indexed="64"/>
      </bottom>
      <diagonal/>
    </border>
    <border>
      <left style="double">
        <color indexed="64"/>
      </left>
      <right/>
      <top style="double">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double">
        <color indexed="64"/>
      </left>
      <right/>
      <top style="thin">
        <color indexed="64"/>
      </top>
      <bottom style="double">
        <color indexed="64"/>
      </bottom>
      <diagonal/>
    </border>
    <border>
      <left style="medium">
        <color theme="1"/>
      </left>
      <right style="thin">
        <color theme="1"/>
      </right>
      <top style="medium">
        <color theme="1"/>
      </top>
      <bottom style="thin">
        <color theme="1"/>
      </bottom>
      <diagonal/>
    </border>
    <border>
      <left style="medium">
        <color indexed="64"/>
      </left>
      <right/>
      <top style="thin">
        <color indexed="64"/>
      </top>
      <bottom style="medium">
        <color indexed="64"/>
      </bottom>
      <diagonal/>
    </border>
    <border>
      <left style="medium">
        <color theme="1"/>
      </left>
      <right style="thin">
        <color theme="1"/>
      </right>
      <top/>
      <bottom style="thin">
        <color theme="1"/>
      </bottom>
      <diagonal/>
    </border>
    <border>
      <left style="thin">
        <color theme="1"/>
      </left>
      <right style="medium">
        <color theme="1"/>
      </right>
      <top/>
      <bottom style="thin">
        <color theme="1"/>
      </bottom>
      <diagonal/>
    </border>
    <border>
      <left/>
      <right style="double">
        <color indexed="64"/>
      </right>
      <top style="double">
        <color indexed="64"/>
      </top>
      <bottom style="double">
        <color indexed="64"/>
      </bottom>
      <diagonal/>
    </border>
    <border>
      <left style="double">
        <color indexed="64"/>
      </left>
      <right style="double">
        <color indexed="64"/>
      </right>
      <top style="thin">
        <color indexed="64"/>
      </top>
      <bottom/>
      <diagonal/>
    </border>
    <border>
      <left style="thin">
        <color theme="1"/>
      </left>
      <right style="medium">
        <color theme="1"/>
      </right>
      <top style="medium">
        <color theme="1"/>
      </top>
      <bottom style="thin">
        <color theme="1"/>
      </bottom>
      <diagonal/>
    </border>
    <border>
      <left style="medium">
        <color indexed="64"/>
      </left>
      <right/>
      <top/>
      <bottom style="thin">
        <color indexed="64"/>
      </bottom>
      <diagonal/>
    </border>
    <border>
      <left/>
      <right style="medium">
        <color indexed="64"/>
      </right>
      <top/>
      <bottom/>
      <diagonal/>
    </border>
    <border>
      <left/>
      <right style="double">
        <color indexed="64"/>
      </right>
      <top style="double">
        <color indexed="64"/>
      </top>
      <bottom/>
      <diagonal/>
    </border>
    <border>
      <left style="double">
        <color indexed="64"/>
      </left>
      <right/>
      <top style="double">
        <color indexed="64"/>
      </top>
      <bottom style="double">
        <color indexed="64"/>
      </bottom>
      <diagonal/>
    </border>
    <border>
      <left/>
      <right style="thin">
        <color indexed="64"/>
      </right>
      <top/>
      <bottom style="medium">
        <color indexed="64"/>
      </bottom>
      <diagonal/>
    </border>
  </borders>
  <cellStyleXfs count="58">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3" fillId="26" borderId="0" applyNumberFormat="0" applyBorder="0" applyAlignment="0" applyProtection="0"/>
    <xf numFmtId="0" fontId="4" fillId="27" borderId="1" applyNumberFormat="0" applyAlignment="0" applyProtection="0"/>
    <xf numFmtId="0" fontId="5" fillId="28" borderId="2"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7" fillId="0" borderId="0" applyNumberFormat="0" applyFill="0" applyBorder="0" applyAlignment="0" applyProtection="0"/>
    <xf numFmtId="0" fontId="8" fillId="29"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3" fillId="30" borderId="1" applyNumberFormat="0" applyAlignment="0" applyProtection="0"/>
    <xf numFmtId="0" fontId="14" fillId="0" borderId="6" applyNumberFormat="0" applyFill="0" applyAlignment="0" applyProtection="0"/>
    <xf numFmtId="0" fontId="15" fillId="31" borderId="0" applyNumberFormat="0" applyBorder="0" applyAlignment="0" applyProtection="0"/>
    <xf numFmtId="0" fontId="6" fillId="0" borderId="0"/>
    <xf numFmtId="0" fontId="6" fillId="0" borderId="0"/>
    <xf numFmtId="0" fontId="6" fillId="0" borderId="0"/>
    <xf numFmtId="0" fontId="6" fillId="0" borderId="0"/>
    <xf numFmtId="0" fontId="16" fillId="0" borderId="0"/>
    <xf numFmtId="0" fontId="17" fillId="0" borderId="0"/>
    <xf numFmtId="0" fontId="6" fillId="0" borderId="0"/>
    <xf numFmtId="0" fontId="18" fillId="0" borderId="0"/>
    <xf numFmtId="0" fontId="6" fillId="0" borderId="0"/>
    <xf numFmtId="0" fontId="19" fillId="0" borderId="0"/>
    <xf numFmtId="0" fontId="1" fillId="32" borderId="7" applyNumberFormat="0" applyFont="0" applyAlignment="0" applyProtection="0"/>
    <xf numFmtId="0" fontId="20" fillId="27" borderId="8" applyNumberFormat="0" applyAlignment="0" applyProtection="0"/>
    <xf numFmtId="0" fontId="21" fillId="0" borderId="0" applyNumberFormat="0" applyFill="0" applyBorder="0" applyAlignment="0" applyProtection="0"/>
    <xf numFmtId="0" fontId="22" fillId="0" borderId="9" applyNumberFormat="0" applyFill="0" applyAlignment="0" applyProtection="0"/>
    <xf numFmtId="0" fontId="23" fillId="0" borderId="0" applyNumberFormat="0" applyFill="0" applyBorder="0" applyAlignment="0" applyProtection="0"/>
  </cellStyleXfs>
  <cellXfs count="1014">
    <xf numFmtId="0" fontId="0" fillId="0" borderId="0" xfId="0"/>
    <xf numFmtId="2" fontId="6" fillId="33" borderId="10" xfId="0" applyNumberFormat="1" applyFont="1" applyFill="1" applyBorder="1" applyAlignment="1">
      <alignment horizontal="center"/>
    </xf>
    <xf numFmtId="2" fontId="6" fillId="34" borderId="10" xfId="0" applyNumberFormat="1" applyFont="1" applyFill="1" applyBorder="1" applyAlignment="1">
      <alignment horizontal="center"/>
    </xf>
    <xf numFmtId="2" fontId="6" fillId="0" borderId="11" xfId="0" applyNumberFormat="1" applyFont="1" applyBorder="1" applyAlignment="1">
      <alignment horizontal="center"/>
    </xf>
    <xf numFmtId="2" fontId="6" fillId="33" borderId="11" xfId="0" applyNumberFormat="1" applyFont="1" applyFill="1" applyBorder="1" applyAlignment="1">
      <alignment horizontal="center"/>
    </xf>
    <xf numFmtId="2" fontId="6" fillId="34" borderId="12" xfId="0" applyNumberFormat="1" applyFont="1" applyFill="1" applyBorder="1" applyAlignment="1">
      <alignment horizontal="center"/>
    </xf>
    <xf numFmtId="2" fontId="6" fillId="33" borderId="12" xfId="0" applyNumberFormat="1" applyFont="1" applyFill="1" applyBorder="1" applyAlignment="1">
      <alignment horizontal="center"/>
    </xf>
    <xf numFmtId="2" fontId="6" fillId="0" borderId="12" xfId="0" applyNumberFormat="1" applyFont="1" applyBorder="1" applyAlignment="1">
      <alignment horizontal="center"/>
    </xf>
    <xf numFmtId="2" fontId="6" fillId="0" borderId="13" xfId="0" applyNumberFormat="1" applyFont="1" applyBorder="1" applyAlignment="1">
      <alignment horizontal="center"/>
    </xf>
    <xf numFmtId="2" fontId="6" fillId="34" borderId="11" xfId="0" applyNumberFormat="1" applyFont="1" applyFill="1" applyBorder="1" applyAlignment="1">
      <alignment horizontal="center"/>
    </xf>
    <xf numFmtId="2" fontId="6" fillId="0" borderId="14" xfId="0" applyNumberFormat="1" applyFont="1" applyBorder="1" applyAlignment="1">
      <alignment horizontal="center"/>
    </xf>
    <xf numFmtId="2" fontId="6" fillId="34" borderId="13" xfId="0" applyNumberFormat="1" applyFont="1" applyFill="1" applyBorder="1" applyAlignment="1">
      <alignment horizontal="center"/>
    </xf>
    <xf numFmtId="49" fontId="24" fillId="0" borderId="15" xfId="0" applyNumberFormat="1" applyFont="1" applyBorder="1" applyAlignment="1">
      <alignment horizontal="center" vertical="top"/>
    </xf>
    <xf numFmtId="0" fontId="25" fillId="19" borderId="0" xfId="0" applyFont="1" applyFill="1" applyAlignment="1">
      <alignment horizontal="center" wrapText="1"/>
    </xf>
    <xf numFmtId="164" fontId="6" fillId="0" borderId="12" xfId="43" applyNumberFormat="1" applyBorder="1" applyAlignment="1">
      <alignment horizontal="center"/>
    </xf>
    <xf numFmtId="0" fontId="6" fillId="0" borderId="0" xfId="0" applyFont="1"/>
    <xf numFmtId="2" fontId="6" fillId="0" borderId="10" xfId="0" applyNumberFormat="1" applyFont="1" applyBorder="1" applyAlignment="1">
      <alignment horizontal="center"/>
    </xf>
    <xf numFmtId="0" fontId="6" fillId="0" borderId="17" xfId="0" applyFont="1" applyBorder="1"/>
    <xf numFmtId="164" fontId="6" fillId="0" borderId="12" xfId="0" applyNumberFormat="1" applyFont="1" applyBorder="1" applyAlignment="1">
      <alignment horizontal="center" vertical="center"/>
    </xf>
    <xf numFmtId="0" fontId="6" fillId="0" borderId="12" xfId="43" applyBorder="1"/>
    <xf numFmtId="49" fontId="24" fillId="0" borderId="18" xfId="0" applyNumberFormat="1" applyFont="1" applyBorder="1" applyAlignment="1">
      <alignment horizontal="center" vertical="top"/>
    </xf>
    <xf numFmtId="0" fontId="6" fillId="0" borderId="17" xfId="43" applyBorder="1" applyAlignment="1">
      <alignment horizontal="center"/>
    </xf>
    <xf numFmtId="164" fontId="6" fillId="0" borderId="11" xfId="0" applyNumberFormat="1" applyFont="1" applyBorder="1" applyAlignment="1">
      <alignment horizontal="center"/>
    </xf>
    <xf numFmtId="0" fontId="6" fillId="0" borderId="0" xfId="0" applyFont="1" applyAlignment="1">
      <alignment horizontal="center"/>
    </xf>
    <xf numFmtId="164" fontId="6" fillId="33" borderId="11" xfId="0" applyNumberFormat="1" applyFont="1" applyFill="1" applyBorder="1" applyAlignment="1">
      <alignment horizontal="center"/>
    </xf>
    <xf numFmtId="164" fontId="6" fillId="0" borderId="12" xfId="0" applyNumberFormat="1" applyFont="1" applyBorder="1" applyAlignment="1">
      <alignment horizontal="center"/>
    </xf>
    <xf numFmtId="164" fontId="6" fillId="33" borderId="10" xfId="0" applyNumberFormat="1" applyFont="1" applyFill="1" applyBorder="1" applyAlignment="1">
      <alignment horizontal="center"/>
    </xf>
    <xf numFmtId="2" fontId="6" fillId="0" borderId="19" xfId="0" applyNumberFormat="1" applyFont="1" applyBorder="1" applyAlignment="1">
      <alignment horizontal="center"/>
    </xf>
    <xf numFmtId="49" fontId="24" fillId="0" borderId="20" xfId="0" applyNumberFormat="1" applyFont="1" applyBorder="1" applyAlignment="1">
      <alignment horizontal="center" vertical="top"/>
    </xf>
    <xf numFmtId="164" fontId="6" fillId="0" borderId="0" xfId="43" applyNumberFormat="1" applyAlignment="1">
      <alignment horizontal="center"/>
    </xf>
    <xf numFmtId="164" fontId="6" fillId="34" borderId="10" xfId="0" applyNumberFormat="1" applyFont="1" applyFill="1" applyBorder="1" applyAlignment="1">
      <alignment horizontal="center"/>
    </xf>
    <xf numFmtId="164" fontId="6" fillId="33" borderId="12" xfId="0" applyNumberFormat="1" applyFont="1" applyFill="1" applyBorder="1" applyAlignment="1">
      <alignment horizontal="center"/>
    </xf>
    <xf numFmtId="164" fontId="6" fillId="34" borderId="12" xfId="0" applyNumberFormat="1" applyFont="1" applyFill="1" applyBorder="1" applyAlignment="1">
      <alignment horizontal="center"/>
    </xf>
    <xf numFmtId="0" fontId="6" fillId="0" borderId="15" xfId="43" applyBorder="1" applyAlignment="1">
      <alignment horizontal="center"/>
    </xf>
    <xf numFmtId="164" fontId="6" fillId="0" borderId="10" xfId="0" applyNumberFormat="1" applyFont="1" applyBorder="1" applyAlignment="1">
      <alignment horizontal="center" vertical="center"/>
    </xf>
    <xf numFmtId="164" fontId="6" fillId="0" borderId="13" xfId="0" applyNumberFormat="1" applyFont="1" applyBorder="1" applyAlignment="1">
      <alignment horizontal="center"/>
    </xf>
    <xf numFmtId="0" fontId="28" fillId="35" borderId="22" xfId="0" applyFont="1" applyFill="1" applyBorder="1" applyAlignment="1">
      <alignment horizontal="center" vertical="center" wrapText="1"/>
    </xf>
    <xf numFmtId="2" fontId="6" fillId="33" borderId="23" xfId="0" applyNumberFormat="1" applyFont="1" applyFill="1" applyBorder="1" applyAlignment="1">
      <alignment horizontal="center"/>
    </xf>
    <xf numFmtId="2" fontId="6" fillId="34" borderId="19" xfId="0" applyNumberFormat="1" applyFont="1" applyFill="1" applyBorder="1" applyAlignment="1">
      <alignment horizontal="center"/>
    </xf>
    <xf numFmtId="2" fontId="6" fillId="34" borderId="24" xfId="0" applyNumberFormat="1" applyFont="1" applyFill="1" applyBorder="1" applyAlignment="1">
      <alignment horizontal="center"/>
    </xf>
    <xf numFmtId="2" fontId="6" fillId="33" borderId="24" xfId="0" applyNumberFormat="1" applyFont="1" applyFill="1" applyBorder="1" applyAlignment="1">
      <alignment horizontal="center"/>
    </xf>
    <xf numFmtId="2" fontId="6" fillId="33" borderId="25" xfId="0" applyNumberFormat="1" applyFont="1" applyFill="1" applyBorder="1" applyAlignment="1">
      <alignment horizontal="center"/>
    </xf>
    <xf numFmtId="2" fontId="6" fillId="0" borderId="26" xfId="0" applyNumberFormat="1" applyFont="1" applyBorder="1" applyAlignment="1">
      <alignment horizontal="center"/>
    </xf>
    <xf numFmtId="2" fontId="6" fillId="34" borderId="23" xfId="0" applyNumberFormat="1" applyFont="1" applyFill="1" applyBorder="1" applyAlignment="1">
      <alignment horizontal="center"/>
    </xf>
    <xf numFmtId="2" fontId="6" fillId="0" borderId="23" xfId="0" applyNumberFormat="1" applyFont="1" applyBorder="1" applyAlignment="1">
      <alignment horizontal="center"/>
    </xf>
    <xf numFmtId="0" fontId="6" fillId="0" borderId="12" xfId="43" applyBorder="1" applyAlignment="1">
      <alignment horizontal="center"/>
    </xf>
    <xf numFmtId="49" fontId="24" fillId="0" borderId="27" xfId="0" applyNumberFormat="1" applyFont="1" applyBorder="1" applyAlignment="1">
      <alignment horizontal="center" vertical="top"/>
    </xf>
    <xf numFmtId="0" fontId="6" fillId="36" borderId="0" xfId="0" applyFont="1" applyFill="1" applyAlignment="1">
      <alignment horizontal="center" wrapText="1"/>
    </xf>
    <xf numFmtId="0" fontId="6" fillId="36" borderId="0" xfId="0" applyFont="1" applyFill="1" applyAlignment="1">
      <alignment horizontal="center"/>
    </xf>
    <xf numFmtId="164" fontId="6" fillId="0" borderId="15" xfId="43" applyNumberFormat="1" applyBorder="1" applyAlignment="1">
      <alignment horizontal="center"/>
    </xf>
    <xf numFmtId="2" fontId="6" fillId="0" borderId="25" xfId="0" applyNumberFormat="1" applyFont="1" applyBorder="1" applyAlignment="1">
      <alignment horizontal="center"/>
    </xf>
    <xf numFmtId="0" fontId="6" fillId="0" borderId="17" xfId="0" applyFont="1" applyBorder="1" applyAlignment="1">
      <alignment horizontal="center"/>
    </xf>
    <xf numFmtId="0" fontId="6" fillId="37" borderId="22" xfId="0" applyFont="1" applyFill="1" applyBorder="1" applyAlignment="1">
      <alignment horizontal="center" textRotation="90"/>
    </xf>
    <xf numFmtId="164" fontId="6" fillId="34" borderId="13" xfId="0" applyNumberFormat="1" applyFont="1" applyFill="1" applyBorder="1" applyAlignment="1">
      <alignment horizontal="center"/>
    </xf>
    <xf numFmtId="2" fontId="6" fillId="34" borderId="25" xfId="0" applyNumberFormat="1" applyFont="1" applyFill="1" applyBorder="1" applyAlignment="1">
      <alignment horizontal="center"/>
    </xf>
    <xf numFmtId="164" fontId="6" fillId="34" borderId="11" xfId="0" applyNumberFormat="1" applyFont="1" applyFill="1" applyBorder="1" applyAlignment="1">
      <alignment horizontal="center"/>
    </xf>
    <xf numFmtId="164" fontId="6" fillId="0" borderId="11" xfId="43" applyNumberFormat="1" applyBorder="1" applyAlignment="1">
      <alignment horizontal="center" vertical="center"/>
    </xf>
    <xf numFmtId="164" fontId="6" fillId="0" borderId="14" xfId="0" applyNumberFormat="1" applyFont="1" applyBorder="1" applyAlignment="1">
      <alignment horizontal="center"/>
    </xf>
    <xf numFmtId="164" fontId="6" fillId="0" borderId="14" xfId="0" applyNumberFormat="1" applyFont="1" applyBorder="1" applyAlignment="1">
      <alignment horizontal="center" vertical="center"/>
    </xf>
    <xf numFmtId="49" fontId="24" fillId="0" borderId="27" xfId="43" applyNumberFormat="1" applyFont="1" applyBorder="1" applyAlignment="1">
      <alignment horizontal="center"/>
    </xf>
    <xf numFmtId="0" fontId="26" fillId="0" borderId="22" xfId="0" applyFont="1" applyBorder="1" applyAlignment="1">
      <alignment horizontal="center" vertical="center"/>
    </xf>
    <xf numFmtId="164" fontId="24" fillId="0" borderId="15" xfId="43" applyNumberFormat="1" applyFont="1" applyBorder="1" applyAlignment="1">
      <alignment horizontal="center"/>
    </xf>
    <xf numFmtId="0" fontId="0" fillId="0" borderId="22" xfId="0" applyBorder="1" applyAlignment="1">
      <alignment horizontal="center"/>
    </xf>
    <xf numFmtId="0" fontId="6" fillId="38" borderId="22" xfId="0" applyFont="1" applyFill="1" applyBorder="1" applyAlignment="1">
      <alignment horizontal="center" textRotation="90"/>
    </xf>
    <xf numFmtId="0" fontId="6" fillId="0" borderId="15" xfId="0" applyFont="1" applyBorder="1" applyAlignment="1">
      <alignment horizontal="center"/>
    </xf>
    <xf numFmtId="49" fontId="24" fillId="0" borderId="15" xfId="0" applyNumberFormat="1" applyFont="1" applyBorder="1" applyAlignment="1">
      <alignment horizontal="left" vertical="top"/>
    </xf>
    <xf numFmtId="164" fontId="6" fillId="39" borderId="12" xfId="43" applyNumberFormat="1" applyFill="1" applyBorder="1" applyAlignment="1">
      <alignment horizontal="center"/>
    </xf>
    <xf numFmtId="164" fontId="6" fillId="0" borderId="17" xfId="43" applyNumberFormat="1" applyBorder="1" applyAlignment="1">
      <alignment horizontal="center"/>
    </xf>
    <xf numFmtId="164" fontId="0" fillId="0" borderId="28" xfId="46" applyNumberFormat="1" applyFont="1" applyBorder="1" applyAlignment="1">
      <alignment horizontal="center"/>
    </xf>
    <xf numFmtId="0" fontId="6" fillId="39" borderId="12" xfId="43" applyFill="1" applyBorder="1"/>
    <xf numFmtId="49" fontId="24" fillId="0" borderId="15" xfId="43" applyNumberFormat="1" applyFont="1" applyBorder="1" applyAlignment="1">
      <alignment horizontal="center"/>
    </xf>
    <xf numFmtId="164" fontId="24" fillId="0" borderId="27" xfId="43" applyNumberFormat="1" applyFont="1" applyBorder="1" applyAlignment="1">
      <alignment horizontal="center"/>
    </xf>
    <xf numFmtId="0" fontId="6" fillId="0" borderId="0" xfId="43" applyAlignment="1">
      <alignment horizontal="center"/>
    </xf>
    <xf numFmtId="0" fontId="6" fillId="0" borderId="20" xfId="43" applyBorder="1" applyAlignment="1">
      <alignment horizontal="center"/>
    </xf>
    <xf numFmtId="49" fontId="24" fillId="0" borderId="20" xfId="43" applyNumberFormat="1" applyFont="1" applyBorder="1" applyAlignment="1">
      <alignment horizontal="center"/>
    </xf>
    <xf numFmtId="0" fontId="6" fillId="0" borderId="0" xfId="43"/>
    <xf numFmtId="164" fontId="6" fillId="0" borderId="10" xfId="48" applyNumberFormat="1" applyFont="1" applyBorder="1" applyAlignment="1">
      <alignment horizontal="center"/>
    </xf>
    <xf numFmtId="49" fontId="24" fillId="0" borderId="18" xfId="0" applyNumberFormat="1" applyFont="1" applyBorder="1" applyAlignment="1">
      <alignment horizontal="left" vertical="top"/>
    </xf>
    <xf numFmtId="0" fontId="6" fillId="19" borderId="0" xfId="0" applyFont="1" applyFill="1" applyAlignment="1">
      <alignment horizontal="center"/>
    </xf>
    <xf numFmtId="0" fontId="6" fillId="19" borderId="0" xfId="0" applyFont="1" applyFill="1" applyAlignment="1">
      <alignment horizontal="center" wrapText="1"/>
    </xf>
    <xf numFmtId="0" fontId="6" fillId="0" borderId="0" xfId="43" applyAlignment="1">
      <alignment horizontal="left"/>
    </xf>
    <xf numFmtId="164" fontId="0" fillId="0" borderId="0" xfId="48" applyNumberFormat="1" applyFont="1" applyAlignment="1">
      <alignment horizontal="center"/>
    </xf>
    <xf numFmtId="0" fontId="6" fillId="0" borderId="17" xfId="43" applyBorder="1"/>
    <xf numFmtId="164" fontId="24" fillId="0" borderId="20" xfId="43" applyNumberFormat="1" applyFont="1" applyBorder="1" applyAlignment="1">
      <alignment horizontal="center"/>
    </xf>
    <xf numFmtId="164" fontId="0" fillId="0" borderId="30" xfId="46" applyNumberFormat="1" applyFont="1" applyBorder="1" applyAlignment="1">
      <alignment horizontal="center"/>
    </xf>
    <xf numFmtId="0" fontId="0" fillId="0" borderId="12" xfId="0" applyBorder="1"/>
    <xf numFmtId="0" fontId="6" fillId="0" borderId="31" xfId="43" applyBorder="1" applyAlignment="1">
      <alignment horizontal="center"/>
    </xf>
    <xf numFmtId="0" fontId="26" fillId="0" borderId="32" xfId="46" applyFont="1" applyBorder="1" applyAlignment="1">
      <alignment horizontal="center"/>
    </xf>
    <xf numFmtId="0" fontId="6" fillId="0" borderId="22" xfId="0" applyFont="1" applyBorder="1" applyAlignment="1">
      <alignment horizontal="center" textRotation="90"/>
    </xf>
    <xf numFmtId="0" fontId="0" fillId="14" borderId="0" xfId="0" applyFill="1"/>
    <xf numFmtId="0" fontId="28" fillId="0" borderId="33" xfId="48" applyFont="1" applyBorder="1" applyAlignment="1">
      <alignment horizontal="center" wrapText="1"/>
    </xf>
    <xf numFmtId="0" fontId="6" fillId="0" borderId="34" xfId="43" applyBorder="1" applyAlignment="1">
      <alignment horizontal="left" vertical="center"/>
    </xf>
    <xf numFmtId="164" fontId="6" fillId="0" borderId="10" xfId="0" applyNumberFormat="1" applyFont="1" applyBorder="1" applyAlignment="1">
      <alignment horizontal="center"/>
    </xf>
    <xf numFmtId="49" fontId="6" fillId="0" borderId="0" xfId="43" applyNumberFormat="1"/>
    <xf numFmtId="0" fontId="6" fillId="0" borderId="27" xfId="43" applyBorder="1" applyAlignment="1">
      <alignment horizontal="center"/>
    </xf>
    <xf numFmtId="164" fontId="6" fillId="0" borderId="12" xfId="48" applyNumberFormat="1" applyFont="1" applyBorder="1" applyAlignment="1">
      <alignment horizontal="center"/>
    </xf>
    <xf numFmtId="0" fontId="6" fillId="0" borderId="12" xfId="46" applyBorder="1"/>
    <xf numFmtId="49" fontId="24" fillId="0" borderId="15" xfId="0" applyNumberFormat="1" applyFont="1" applyBorder="1" applyAlignment="1">
      <alignment horizontal="center" vertical="center"/>
    </xf>
    <xf numFmtId="0" fontId="29" fillId="0" borderId="35" xfId="46" applyFont="1" applyBorder="1" applyAlignment="1">
      <alignment horizontal="center" vertical="center"/>
    </xf>
    <xf numFmtId="0" fontId="28" fillId="0" borderId="22" xfId="48" applyFont="1" applyBorder="1" applyAlignment="1">
      <alignment horizontal="center" vertical="center" wrapText="1"/>
    </xf>
    <xf numFmtId="49" fontId="29" fillId="0" borderId="36" xfId="43" applyNumberFormat="1" applyFont="1" applyBorder="1" applyAlignment="1">
      <alignment horizontal="center" vertical="center" wrapText="1"/>
    </xf>
    <xf numFmtId="0" fontId="0" fillId="0" borderId="37" xfId="0" applyBorder="1" applyAlignment="1">
      <alignment horizontal="center"/>
    </xf>
    <xf numFmtId="0" fontId="29" fillId="0" borderId="38" xfId="43" applyFont="1" applyBorder="1" applyAlignment="1">
      <alignment horizontal="center"/>
    </xf>
    <xf numFmtId="0" fontId="30" fillId="0" borderId="0" xfId="43" applyFont="1" applyAlignment="1">
      <alignment horizontal="left"/>
    </xf>
    <xf numFmtId="0" fontId="26" fillId="0" borderId="31" xfId="0" applyFont="1" applyBorder="1" applyAlignment="1">
      <alignment horizontal="center" vertical="center"/>
    </xf>
    <xf numFmtId="0" fontId="29" fillId="0" borderId="38" xfId="46" applyFont="1" applyBorder="1" applyAlignment="1">
      <alignment horizontal="center" vertical="center"/>
    </xf>
    <xf numFmtId="49" fontId="29" fillId="0" borderId="36" xfId="46" applyNumberFormat="1" applyFont="1" applyBorder="1" applyAlignment="1">
      <alignment horizontal="center" vertical="center" wrapText="1"/>
    </xf>
    <xf numFmtId="0" fontId="26" fillId="0" borderId="37" xfId="0" applyFont="1" applyBorder="1" applyAlignment="1">
      <alignment horizontal="center" vertical="center"/>
    </xf>
    <xf numFmtId="2" fontId="6" fillId="33" borderId="40" xfId="0" applyNumberFormat="1" applyFont="1" applyFill="1" applyBorder="1" applyAlignment="1">
      <alignment horizontal="center"/>
    </xf>
    <xf numFmtId="2" fontId="6" fillId="0" borderId="41" xfId="0" applyNumberFormat="1" applyFont="1" applyBorder="1" applyAlignment="1">
      <alignment horizontal="center"/>
    </xf>
    <xf numFmtId="164" fontId="0" fillId="0" borderId="42" xfId="46" applyNumberFormat="1" applyFont="1" applyBorder="1" applyAlignment="1">
      <alignment horizontal="center"/>
    </xf>
    <xf numFmtId="2" fontId="6" fillId="0" borderId="43" xfId="0" applyNumberFormat="1" applyFont="1" applyBorder="1" applyAlignment="1">
      <alignment horizontal="center"/>
    </xf>
    <xf numFmtId="2" fontId="6" fillId="33" borderId="44" xfId="0" applyNumberFormat="1" applyFont="1" applyFill="1" applyBorder="1" applyAlignment="1">
      <alignment horizontal="center"/>
    </xf>
    <xf numFmtId="0" fontId="0" fillId="0" borderId="0" xfId="48" applyFont="1" applyAlignment="1">
      <alignment horizontal="center"/>
    </xf>
    <xf numFmtId="164" fontId="6" fillId="0" borderId="13" xfId="48" applyNumberFormat="1" applyFont="1" applyBorder="1" applyAlignment="1">
      <alignment horizontal="center"/>
    </xf>
    <xf numFmtId="2" fontId="6" fillId="34" borderId="45" xfId="0" applyNumberFormat="1" applyFont="1" applyFill="1" applyBorder="1" applyAlignment="1">
      <alignment horizontal="center"/>
    </xf>
    <xf numFmtId="2" fontId="6" fillId="0" borderId="46" xfId="0" applyNumberFormat="1" applyFont="1" applyBorder="1" applyAlignment="1">
      <alignment horizontal="center"/>
    </xf>
    <xf numFmtId="2" fontId="6" fillId="0" borderId="40" xfId="0" applyNumberFormat="1" applyFont="1" applyBorder="1" applyAlignment="1">
      <alignment horizontal="center"/>
    </xf>
    <xf numFmtId="2" fontId="6" fillId="0" borderId="47" xfId="0" applyNumberFormat="1" applyFont="1" applyBorder="1" applyAlignment="1">
      <alignment horizontal="center"/>
    </xf>
    <xf numFmtId="49" fontId="24" fillId="0" borderId="20" xfId="0" applyNumberFormat="1" applyFont="1" applyBorder="1" applyAlignment="1">
      <alignment horizontal="left" vertical="top"/>
    </xf>
    <xf numFmtId="2" fontId="6" fillId="33" borderId="47" xfId="0" applyNumberFormat="1" applyFont="1" applyFill="1" applyBorder="1" applyAlignment="1">
      <alignment horizontal="center"/>
    </xf>
    <xf numFmtId="2" fontId="6" fillId="34" borderId="34" xfId="0" applyNumberFormat="1" applyFont="1" applyFill="1" applyBorder="1" applyAlignment="1">
      <alignment horizontal="center"/>
    </xf>
    <xf numFmtId="2" fontId="6" fillId="33" borderId="34" xfId="0" applyNumberFormat="1" applyFont="1" applyFill="1" applyBorder="1" applyAlignment="1">
      <alignment horizontal="center"/>
    </xf>
    <xf numFmtId="0" fontId="0" fillId="40" borderId="0" xfId="0" applyFill="1"/>
    <xf numFmtId="164" fontId="6" fillId="0" borderId="11" xfId="48" applyNumberFormat="1" applyFont="1" applyBorder="1" applyAlignment="1">
      <alignment horizontal="center"/>
    </xf>
    <xf numFmtId="49" fontId="24" fillId="0" borderId="15" xfId="43" applyNumberFormat="1" applyFont="1" applyBorder="1"/>
    <xf numFmtId="2" fontId="6" fillId="34" borderId="48" xfId="0" applyNumberFormat="1" applyFont="1" applyFill="1" applyBorder="1" applyAlignment="1">
      <alignment horizontal="center"/>
    </xf>
    <xf numFmtId="2" fontId="6" fillId="33" borderId="46" xfId="0" applyNumberFormat="1" applyFont="1" applyFill="1" applyBorder="1" applyAlignment="1">
      <alignment horizontal="center"/>
    </xf>
    <xf numFmtId="2" fontId="6" fillId="33" borderId="48" xfId="0" applyNumberFormat="1" applyFont="1" applyFill="1" applyBorder="1" applyAlignment="1">
      <alignment horizontal="center"/>
    </xf>
    <xf numFmtId="2" fontId="6" fillId="34" borderId="49" xfId="0" applyNumberFormat="1" applyFont="1" applyFill="1" applyBorder="1" applyAlignment="1">
      <alignment horizontal="center"/>
    </xf>
    <xf numFmtId="2" fontId="6" fillId="0" borderId="34" xfId="0" applyNumberFormat="1" applyFont="1" applyBorder="1" applyAlignment="1">
      <alignment horizontal="center"/>
    </xf>
    <xf numFmtId="2" fontId="6" fillId="34" borderId="44" xfId="0" applyNumberFormat="1" applyFont="1" applyFill="1" applyBorder="1" applyAlignment="1">
      <alignment horizontal="center"/>
    </xf>
    <xf numFmtId="2" fontId="6" fillId="34" borderId="40" xfId="0" applyNumberFormat="1" applyFont="1" applyFill="1" applyBorder="1" applyAlignment="1">
      <alignment horizontal="center"/>
    </xf>
    <xf numFmtId="2" fontId="6" fillId="0" borderId="45" xfId="0" applyNumberFormat="1" applyFont="1" applyBorder="1" applyAlignment="1">
      <alignment horizontal="center"/>
    </xf>
    <xf numFmtId="49" fontId="24" fillId="0" borderId="27" xfId="0" applyNumberFormat="1" applyFont="1" applyBorder="1" applyAlignment="1">
      <alignment horizontal="center" vertical="center"/>
    </xf>
    <xf numFmtId="0" fontId="6" fillId="0" borderId="18" xfId="0" applyFont="1" applyBorder="1" applyAlignment="1">
      <alignment horizontal="center"/>
    </xf>
    <xf numFmtId="0" fontId="30" fillId="0" borderId="0" xfId="43" applyFont="1" applyAlignment="1">
      <alignment horizontal="center"/>
    </xf>
    <xf numFmtId="164" fontId="30" fillId="0" borderId="0" xfId="43" applyNumberFormat="1" applyFont="1" applyAlignment="1">
      <alignment horizontal="center"/>
    </xf>
    <xf numFmtId="49" fontId="24" fillId="0" borderId="18" xfId="43" applyNumberFormat="1" applyFont="1" applyBorder="1" applyAlignment="1">
      <alignment horizontal="center"/>
    </xf>
    <xf numFmtId="49" fontId="6" fillId="0" borderId="0" xfId="0" applyNumberFormat="1" applyFont="1" applyAlignment="1">
      <alignment horizontal="center" vertical="top"/>
    </xf>
    <xf numFmtId="49" fontId="24" fillId="0" borderId="27" xfId="0" applyNumberFormat="1" applyFont="1" applyBorder="1" applyAlignment="1">
      <alignment horizontal="left" vertical="top"/>
    </xf>
    <xf numFmtId="164" fontId="6" fillId="0" borderId="40" xfId="43" applyNumberFormat="1" applyBorder="1" applyAlignment="1">
      <alignment horizontal="center"/>
    </xf>
    <xf numFmtId="0" fontId="6" fillId="0" borderId="15" xfId="43" applyBorder="1"/>
    <xf numFmtId="0" fontId="25" fillId="19" borderId="0" xfId="0" applyFont="1" applyFill="1" applyAlignment="1">
      <alignment wrapText="1"/>
    </xf>
    <xf numFmtId="0" fontId="0" fillId="42" borderId="0" xfId="0" applyFill="1"/>
    <xf numFmtId="2" fontId="6" fillId="0" borderId="49" xfId="0" applyNumberFormat="1" applyFont="1" applyBorder="1" applyAlignment="1">
      <alignment horizontal="center"/>
    </xf>
    <xf numFmtId="0" fontId="6" fillId="0" borderId="35" xfId="0" applyFont="1" applyBorder="1"/>
    <xf numFmtId="0" fontId="32" fillId="0" borderId="12" xfId="50" applyFont="1" applyBorder="1" applyAlignment="1">
      <alignment horizontal="center"/>
    </xf>
    <xf numFmtId="49" fontId="24" fillId="0" borderId="36" xfId="0" applyNumberFormat="1" applyFont="1" applyBorder="1" applyAlignment="1">
      <alignment horizontal="center" vertical="top"/>
    </xf>
    <xf numFmtId="0" fontId="28" fillId="0" borderId="0" xfId="43" applyFont="1"/>
    <xf numFmtId="49" fontId="24" fillId="0" borderId="0" xfId="0" applyNumberFormat="1" applyFont="1" applyAlignment="1">
      <alignment vertical="top"/>
    </xf>
    <xf numFmtId="0" fontId="0" fillId="19" borderId="0" xfId="0" applyFill="1"/>
    <xf numFmtId="49" fontId="6" fillId="0" borderId="0" xfId="0" applyNumberFormat="1" applyFont="1" applyAlignment="1">
      <alignment vertical="top"/>
    </xf>
    <xf numFmtId="49" fontId="24" fillId="0" borderId="50" xfId="43" applyNumberFormat="1" applyFont="1" applyBorder="1" applyAlignment="1">
      <alignment horizontal="center"/>
    </xf>
    <xf numFmtId="0" fontId="6" fillId="0" borderId="35" xfId="46" applyBorder="1"/>
    <xf numFmtId="164" fontId="6" fillId="34" borderId="51" xfId="0" applyNumberFormat="1" applyFont="1" applyFill="1" applyBorder="1" applyAlignment="1">
      <alignment horizontal="center"/>
    </xf>
    <xf numFmtId="164" fontId="6" fillId="33" borderId="52" xfId="0" applyNumberFormat="1" applyFont="1" applyFill="1" applyBorder="1" applyAlignment="1">
      <alignment horizontal="center"/>
    </xf>
    <xf numFmtId="2" fontId="6" fillId="0" borderId="52" xfId="0" applyNumberFormat="1" applyFont="1" applyBorder="1" applyAlignment="1">
      <alignment horizontal="center"/>
    </xf>
    <xf numFmtId="2" fontId="6" fillId="0" borderId="51" xfId="0" applyNumberFormat="1" applyFont="1" applyBorder="1" applyAlignment="1">
      <alignment horizontal="center"/>
    </xf>
    <xf numFmtId="0" fontId="6" fillId="0" borderId="17" xfId="0" applyFont="1" applyBorder="1" applyAlignment="1">
      <alignment vertical="center"/>
    </xf>
    <xf numFmtId="2" fontId="6" fillId="34" borderId="52" xfId="0" applyNumberFormat="1" applyFont="1" applyFill="1" applyBorder="1" applyAlignment="1">
      <alignment horizontal="center"/>
    </xf>
    <xf numFmtId="167" fontId="24" fillId="0" borderId="15" xfId="0" applyNumberFormat="1" applyFont="1" applyBorder="1" applyAlignment="1">
      <alignment horizontal="center" vertical="top"/>
    </xf>
    <xf numFmtId="164" fontId="6" fillId="34" borderId="53" xfId="0" applyNumberFormat="1" applyFont="1" applyFill="1" applyBorder="1" applyAlignment="1">
      <alignment horizontal="center"/>
    </xf>
    <xf numFmtId="2" fontId="6" fillId="34" borderId="54" xfId="0" applyNumberFormat="1" applyFont="1" applyFill="1" applyBorder="1" applyAlignment="1">
      <alignment horizontal="center"/>
    </xf>
    <xf numFmtId="0" fontId="6" fillId="0" borderId="45" xfId="43" applyBorder="1" applyAlignment="1">
      <alignment horizontal="left" vertical="center"/>
    </xf>
    <xf numFmtId="49" fontId="24" fillId="0" borderId="36" xfId="43" applyNumberFormat="1" applyFont="1" applyBorder="1" applyAlignment="1">
      <alignment horizontal="center"/>
    </xf>
    <xf numFmtId="164" fontId="6" fillId="0" borderId="39" xfId="0" applyNumberFormat="1" applyFont="1" applyBorder="1" applyAlignment="1">
      <alignment horizontal="center"/>
    </xf>
    <xf numFmtId="49" fontId="24" fillId="0" borderId="0" xfId="43" applyNumberFormat="1" applyFont="1"/>
    <xf numFmtId="164" fontId="6" fillId="33" borderId="53" xfId="0" applyNumberFormat="1" applyFont="1" applyFill="1" applyBorder="1" applyAlignment="1">
      <alignment horizontal="center"/>
    </xf>
    <xf numFmtId="164" fontId="6" fillId="0" borderId="23" xfId="43" applyNumberFormat="1" applyBorder="1" applyAlignment="1">
      <alignment horizontal="center"/>
    </xf>
    <xf numFmtId="2" fontId="6" fillId="34" borderId="51" xfId="0" applyNumberFormat="1" applyFont="1" applyFill="1" applyBorder="1" applyAlignment="1">
      <alignment horizontal="center"/>
    </xf>
    <xf numFmtId="164" fontId="6" fillId="33" borderId="51" xfId="0" applyNumberFormat="1" applyFont="1" applyFill="1" applyBorder="1" applyAlignment="1">
      <alignment horizontal="center"/>
    </xf>
    <xf numFmtId="2" fontId="33" fillId="0" borderId="13" xfId="0" applyNumberFormat="1" applyFont="1" applyBorder="1" applyAlignment="1">
      <alignment horizontal="center"/>
    </xf>
    <xf numFmtId="2" fontId="6" fillId="33" borderId="51" xfId="0" applyNumberFormat="1" applyFont="1" applyFill="1" applyBorder="1" applyAlignment="1">
      <alignment horizontal="center"/>
    </xf>
    <xf numFmtId="2" fontId="6" fillId="34" borderId="53" xfId="0" applyNumberFormat="1" applyFont="1" applyFill="1" applyBorder="1" applyAlignment="1">
      <alignment horizontal="center"/>
    </xf>
    <xf numFmtId="2" fontId="6" fillId="34" borderId="47" xfId="0" applyNumberFormat="1" applyFont="1" applyFill="1" applyBorder="1" applyAlignment="1">
      <alignment horizontal="center"/>
    </xf>
    <xf numFmtId="2" fontId="6" fillId="33" borderId="52" xfId="0" applyNumberFormat="1" applyFont="1" applyFill="1" applyBorder="1" applyAlignment="1">
      <alignment horizontal="center"/>
    </xf>
    <xf numFmtId="2" fontId="6" fillId="33" borderId="53" xfId="0" applyNumberFormat="1" applyFont="1" applyFill="1" applyBorder="1" applyAlignment="1">
      <alignment horizontal="center"/>
    </xf>
    <xf numFmtId="164" fontId="6" fillId="34" borderId="54" xfId="0" applyNumberFormat="1" applyFont="1" applyFill="1" applyBorder="1" applyAlignment="1">
      <alignment horizontal="center"/>
    </xf>
    <xf numFmtId="0" fontId="6" fillId="0" borderId="20" xfId="0" applyFont="1" applyBorder="1" applyAlignment="1">
      <alignment horizontal="center"/>
    </xf>
    <xf numFmtId="164" fontId="6" fillId="0" borderId="51" xfId="0" applyNumberFormat="1" applyFont="1" applyBorder="1" applyAlignment="1">
      <alignment horizontal="center"/>
    </xf>
    <xf numFmtId="164" fontId="6" fillId="0" borderId="52" xfId="0" applyNumberFormat="1" applyFont="1" applyBorder="1" applyAlignment="1">
      <alignment horizontal="center"/>
    </xf>
    <xf numFmtId="0" fontId="6" fillId="0" borderId="27" xfId="0" applyFont="1" applyBorder="1" applyAlignment="1">
      <alignment horizontal="center"/>
    </xf>
    <xf numFmtId="49" fontId="24" fillId="0" borderId="17" xfId="43" applyNumberFormat="1" applyFont="1" applyBorder="1" applyAlignment="1">
      <alignment horizontal="center"/>
    </xf>
    <xf numFmtId="0" fontId="6" fillId="0" borderId="35" xfId="43" applyBorder="1" applyAlignment="1">
      <alignment horizontal="center"/>
    </xf>
    <xf numFmtId="164" fontId="0" fillId="0" borderId="55" xfId="46" applyNumberFormat="1" applyFont="1" applyBorder="1" applyAlignment="1">
      <alignment horizontal="center"/>
    </xf>
    <xf numFmtId="49" fontId="24" fillId="0" borderId="27" xfId="43" applyNumberFormat="1" applyFont="1" applyBorder="1"/>
    <xf numFmtId="49" fontId="24" fillId="0" borderId="0" xfId="43" applyNumberFormat="1" applyFont="1" applyAlignment="1">
      <alignment horizontal="center"/>
    </xf>
    <xf numFmtId="164" fontId="6" fillId="0" borderId="20" xfId="43" applyNumberFormat="1" applyBorder="1" applyAlignment="1">
      <alignment horizontal="center"/>
    </xf>
    <xf numFmtId="0" fontId="6" fillId="0" borderId="44" xfId="43" applyBorder="1" applyAlignment="1">
      <alignment horizontal="left" vertical="center"/>
    </xf>
    <xf numFmtId="0" fontId="0" fillId="0" borderId="12" xfId="50" applyFont="1" applyBorder="1" applyAlignment="1">
      <alignment horizontal="center"/>
    </xf>
    <xf numFmtId="164" fontId="0" fillId="0" borderId="56" xfId="46" applyNumberFormat="1" applyFont="1" applyBorder="1" applyAlignment="1">
      <alignment horizontal="center"/>
    </xf>
    <xf numFmtId="164" fontId="6" fillId="0" borderId="0" xfId="43" applyNumberFormat="1"/>
    <xf numFmtId="0" fontId="6" fillId="0" borderId="12" xfId="48" applyFont="1" applyBorder="1" applyAlignment="1">
      <alignment horizontal="center"/>
    </xf>
    <xf numFmtId="0" fontId="6" fillId="0" borderId="35" xfId="43" applyBorder="1"/>
    <xf numFmtId="0" fontId="25" fillId="19" borderId="0" xfId="0" applyFont="1" applyFill="1"/>
    <xf numFmtId="0" fontId="6" fillId="0" borderId="47" xfId="43" applyBorder="1" applyAlignment="1">
      <alignment horizontal="left" vertical="center"/>
    </xf>
    <xf numFmtId="164" fontId="6" fillId="0" borderId="48" xfId="43" applyNumberFormat="1" applyBorder="1" applyAlignment="1">
      <alignment horizontal="center"/>
    </xf>
    <xf numFmtId="0" fontId="6" fillId="0" borderId="35" xfId="0" applyFont="1" applyBorder="1" applyAlignment="1">
      <alignment horizontal="center"/>
    </xf>
    <xf numFmtId="0" fontId="0" fillId="0" borderId="15" xfId="0" applyBorder="1" applyAlignment="1">
      <alignment horizontal="center"/>
    </xf>
    <xf numFmtId="167" fontId="24" fillId="0" borderId="18" xfId="0" applyNumberFormat="1" applyFont="1" applyBorder="1" applyAlignment="1">
      <alignment horizontal="center" vertical="top"/>
    </xf>
    <xf numFmtId="164" fontId="0" fillId="0" borderId="0" xfId="0" applyNumberFormat="1"/>
    <xf numFmtId="0" fontId="6" fillId="0" borderId="57" xfId="43" applyBorder="1" applyAlignment="1">
      <alignment horizontal="center"/>
    </xf>
    <xf numFmtId="49" fontId="24" fillId="0" borderId="20" xfId="43" applyNumberFormat="1" applyFont="1" applyBorder="1"/>
    <xf numFmtId="0" fontId="6" fillId="0" borderId="0" xfId="46"/>
    <xf numFmtId="49" fontId="24" fillId="0" borderId="58" xfId="0" applyNumberFormat="1" applyFont="1" applyBorder="1" applyAlignment="1">
      <alignment horizontal="left" vertical="top"/>
    </xf>
    <xf numFmtId="0" fontId="6" fillId="0" borderId="17" xfId="0" applyFont="1" applyBorder="1" applyAlignment="1">
      <alignment horizontal="center" vertical="center"/>
    </xf>
    <xf numFmtId="0" fontId="28" fillId="0" borderId="31" xfId="48" applyFont="1" applyBorder="1" applyAlignment="1">
      <alignment horizontal="center" vertical="center" wrapText="1"/>
    </xf>
    <xf numFmtId="49" fontId="24" fillId="0" borderId="0" xfId="0" applyNumberFormat="1" applyFont="1" applyAlignment="1">
      <alignment horizontal="center" vertical="top"/>
    </xf>
    <xf numFmtId="0" fontId="6" fillId="0" borderId="44" xfId="0" applyFont="1" applyBorder="1" applyAlignment="1">
      <alignment horizontal="center"/>
    </xf>
    <xf numFmtId="0" fontId="6" fillId="0" borderId="34" xfId="0" applyFont="1" applyBorder="1" applyAlignment="1">
      <alignment horizontal="center"/>
    </xf>
    <xf numFmtId="164" fontId="6" fillId="0" borderId="49" xfId="43" applyNumberFormat="1" applyBorder="1" applyAlignment="1">
      <alignment horizontal="center"/>
    </xf>
    <xf numFmtId="164" fontId="6" fillId="0" borderId="19" xfId="0" applyNumberFormat="1" applyFont="1" applyBorder="1" applyAlignment="1">
      <alignment horizontal="center"/>
    </xf>
    <xf numFmtId="2" fontId="6" fillId="0" borderId="39" xfId="0" applyNumberFormat="1" applyFont="1" applyBorder="1" applyAlignment="1">
      <alignment horizontal="center"/>
    </xf>
    <xf numFmtId="0" fontId="6" fillId="33" borderId="45" xfId="0" applyFont="1" applyFill="1" applyBorder="1" applyAlignment="1">
      <alignment horizontal="center"/>
    </xf>
    <xf numFmtId="164" fontId="33" fillId="0" borderId="13" xfId="0" applyNumberFormat="1" applyFont="1" applyBorder="1" applyAlignment="1">
      <alignment horizontal="center"/>
    </xf>
    <xf numFmtId="164" fontId="30" fillId="0" borderId="0" xfId="43" applyNumberFormat="1" applyFont="1" applyAlignment="1">
      <alignment horizontal="left"/>
    </xf>
    <xf numFmtId="2" fontId="6" fillId="0" borderId="59" xfId="0" applyNumberFormat="1" applyFont="1" applyBorder="1" applyAlignment="1">
      <alignment horizontal="center"/>
    </xf>
    <xf numFmtId="0" fontId="6" fillId="0" borderId="0" xfId="46" applyAlignment="1">
      <alignment horizontal="center" vertical="center" wrapText="1"/>
    </xf>
    <xf numFmtId="0" fontId="6" fillId="34" borderId="34" xfId="0" applyFont="1" applyFill="1" applyBorder="1" applyAlignment="1">
      <alignment horizontal="center"/>
    </xf>
    <xf numFmtId="0" fontId="6" fillId="33" borderId="34" xfId="0" applyFont="1" applyFill="1" applyBorder="1" applyAlignment="1">
      <alignment horizontal="center"/>
    </xf>
    <xf numFmtId="164" fontId="6" fillId="0" borderId="54" xfId="0" applyNumberFormat="1" applyFont="1" applyBorder="1" applyAlignment="1">
      <alignment horizontal="center"/>
    </xf>
    <xf numFmtId="0" fontId="28" fillId="0" borderId="37" xfId="48" applyFont="1" applyBorder="1" applyAlignment="1">
      <alignment horizontal="center" vertical="center" wrapText="1"/>
    </xf>
    <xf numFmtId="0" fontId="6" fillId="33" borderId="44" xfId="0" applyFont="1" applyFill="1" applyBorder="1" applyAlignment="1">
      <alignment horizontal="center"/>
    </xf>
    <xf numFmtId="49" fontId="24" fillId="0" borderId="60" xfId="0" applyNumberFormat="1" applyFont="1" applyBorder="1" applyAlignment="1">
      <alignment horizontal="left" vertical="top"/>
    </xf>
    <xf numFmtId="164" fontId="6" fillId="0" borderId="27" xfId="43" applyNumberFormat="1" applyBorder="1" applyAlignment="1">
      <alignment horizontal="center"/>
    </xf>
    <xf numFmtId="164" fontId="24" fillId="0" borderId="18" xfId="43" applyNumberFormat="1" applyFont="1" applyBorder="1" applyAlignment="1">
      <alignment horizontal="center"/>
    </xf>
    <xf numFmtId="164" fontId="6" fillId="34" borderId="61" xfId="0" applyNumberFormat="1" applyFont="1" applyFill="1" applyBorder="1" applyAlignment="1">
      <alignment horizontal="center"/>
    </xf>
    <xf numFmtId="49" fontId="24" fillId="0" borderId="20" xfId="0" applyNumberFormat="1" applyFont="1" applyBorder="1" applyAlignment="1">
      <alignment horizontal="center" vertical="center"/>
    </xf>
    <xf numFmtId="0" fontId="6" fillId="0" borderId="62" xfId="0" applyFont="1" applyBorder="1" applyAlignment="1">
      <alignment horizontal="center"/>
    </xf>
    <xf numFmtId="2" fontId="6" fillId="34" borderId="46" xfId="0" applyNumberFormat="1" applyFont="1" applyFill="1" applyBorder="1" applyAlignment="1">
      <alignment horizontal="center"/>
    </xf>
    <xf numFmtId="49" fontId="24" fillId="0" borderId="60" xfId="43" applyNumberFormat="1" applyFont="1" applyBorder="1" applyAlignment="1">
      <alignment horizontal="center"/>
    </xf>
    <xf numFmtId="0" fontId="6" fillId="34" borderId="44" xfId="0" applyFont="1" applyFill="1" applyBorder="1" applyAlignment="1">
      <alignment horizontal="center"/>
    </xf>
    <xf numFmtId="0" fontId="6" fillId="34" borderId="45" xfId="0" applyFont="1" applyFill="1" applyBorder="1" applyAlignment="1">
      <alignment horizontal="center"/>
    </xf>
    <xf numFmtId="2" fontId="6" fillId="0" borderId="63" xfId="0" applyNumberFormat="1" applyFont="1" applyBorder="1" applyAlignment="1">
      <alignment horizontal="center"/>
    </xf>
    <xf numFmtId="0" fontId="6" fillId="0" borderId="45" xfId="0" applyFont="1" applyBorder="1" applyAlignment="1">
      <alignment horizontal="center"/>
    </xf>
    <xf numFmtId="164" fontId="6" fillId="34" borderId="52" xfId="0" applyNumberFormat="1" applyFont="1" applyFill="1" applyBorder="1" applyAlignment="1">
      <alignment horizontal="center"/>
    </xf>
    <xf numFmtId="49" fontId="6" fillId="0" borderId="0" xfId="43" applyNumberFormat="1" applyAlignment="1">
      <alignment horizontal="center"/>
    </xf>
    <xf numFmtId="164" fontId="24" fillId="0" borderId="36" xfId="43" applyNumberFormat="1" applyFont="1" applyBorder="1" applyAlignment="1">
      <alignment horizontal="center"/>
    </xf>
    <xf numFmtId="0" fontId="30" fillId="0" borderId="0" xfId="48" applyFont="1" applyAlignment="1">
      <alignment horizontal="center"/>
    </xf>
    <xf numFmtId="0" fontId="6" fillId="0" borderId="15" xfId="0" applyFont="1" applyBorder="1" applyAlignment="1">
      <alignment horizontal="center" vertical="center"/>
    </xf>
    <xf numFmtId="0" fontId="6" fillId="0" borderId="10" xfId="48" applyFont="1" applyBorder="1" applyAlignment="1">
      <alignment horizontal="center"/>
    </xf>
    <xf numFmtId="49" fontId="24" fillId="0" borderId="18" xfId="0" quotePrefix="1" applyNumberFormat="1" applyFont="1" applyBorder="1" applyAlignment="1">
      <alignment horizontal="center" vertical="top"/>
    </xf>
    <xf numFmtId="164" fontId="6" fillId="0" borderId="0" xfId="43" applyNumberFormat="1" applyAlignment="1">
      <alignment horizontal="left"/>
    </xf>
    <xf numFmtId="0" fontId="6" fillId="0" borderId="0" xfId="46" applyAlignment="1">
      <alignment horizontal="center"/>
    </xf>
    <xf numFmtId="0" fontId="6" fillId="0" borderId="64" xfId="0" applyFont="1" applyBorder="1" applyAlignment="1">
      <alignment horizontal="center" textRotation="90"/>
    </xf>
    <xf numFmtId="2" fontId="6" fillId="0" borderId="65" xfId="0" applyNumberFormat="1" applyFont="1" applyBorder="1" applyAlignment="1">
      <alignment horizontal="center"/>
    </xf>
    <xf numFmtId="49" fontId="24" fillId="0" borderId="15" xfId="0" applyNumberFormat="1" applyFont="1" applyBorder="1" applyAlignment="1">
      <alignment horizontal="center"/>
    </xf>
    <xf numFmtId="49" fontId="24" fillId="0" borderId="57" xfId="0" applyNumberFormat="1" applyFont="1" applyBorder="1" applyAlignment="1">
      <alignment horizontal="center" vertical="top"/>
    </xf>
    <xf numFmtId="0" fontId="30" fillId="0" borderId="0" xfId="0" applyFont="1" applyAlignment="1">
      <alignment horizontal="left"/>
    </xf>
    <xf numFmtId="0" fontId="28" fillId="0" borderId="16" xfId="48" applyFont="1" applyBorder="1" applyAlignment="1">
      <alignment horizontal="center" vertical="center" wrapText="1"/>
    </xf>
    <xf numFmtId="0" fontId="28" fillId="0" borderId="66" xfId="48" applyFont="1" applyBorder="1" applyAlignment="1">
      <alignment horizontal="center" vertical="center" wrapText="1"/>
    </xf>
    <xf numFmtId="0" fontId="6" fillId="0" borderId="35" xfId="46" applyBorder="1" applyAlignment="1">
      <alignment horizontal="center"/>
    </xf>
    <xf numFmtId="49" fontId="24" fillId="0" borderId="58" xfId="43" applyNumberFormat="1" applyFont="1" applyBorder="1" applyAlignment="1">
      <alignment horizontal="center"/>
    </xf>
    <xf numFmtId="0" fontId="6" fillId="0" borderId="29" xfId="46" applyBorder="1"/>
    <xf numFmtId="49" fontId="24" fillId="0" borderId="62" xfId="0" applyNumberFormat="1" applyFont="1" applyBorder="1" applyAlignment="1">
      <alignment horizontal="left" vertical="top"/>
    </xf>
    <xf numFmtId="0" fontId="28" fillId="0" borderId="68" xfId="48" applyFont="1" applyBorder="1" applyAlignment="1">
      <alignment horizontal="center" wrapText="1"/>
    </xf>
    <xf numFmtId="164" fontId="24" fillId="0" borderId="17" xfId="43" applyNumberFormat="1" applyFont="1" applyBorder="1" applyAlignment="1">
      <alignment horizontal="center"/>
    </xf>
    <xf numFmtId="0" fontId="25" fillId="0" borderId="0" xfId="0" applyFont="1" applyAlignment="1">
      <alignment horizontal="center" wrapText="1"/>
    </xf>
    <xf numFmtId="167" fontId="6" fillId="0" borderId="0" xfId="43" applyNumberFormat="1" applyAlignment="1">
      <alignment horizontal="center"/>
    </xf>
    <xf numFmtId="0" fontId="6" fillId="0" borderId="12" xfId="46" applyBorder="1" applyAlignment="1">
      <alignment horizontal="center"/>
    </xf>
    <xf numFmtId="49" fontId="24" fillId="0" borderId="62" xfId="43" applyNumberFormat="1" applyFont="1" applyBorder="1" applyAlignment="1">
      <alignment horizontal="center"/>
    </xf>
    <xf numFmtId="164" fontId="6" fillId="0" borderId="20" xfId="43" quotePrefix="1" applyNumberFormat="1" applyBorder="1" applyAlignment="1">
      <alignment horizontal="center"/>
    </xf>
    <xf numFmtId="164" fontId="6" fillId="0" borderId="54" xfId="48" applyNumberFormat="1" applyFont="1" applyBorder="1" applyAlignment="1">
      <alignment horizontal="center"/>
    </xf>
    <xf numFmtId="167" fontId="24" fillId="0" borderId="27" xfId="0" applyNumberFormat="1" applyFont="1" applyBorder="1" applyAlignment="1">
      <alignment horizontal="center" vertical="top"/>
    </xf>
    <xf numFmtId="2" fontId="6" fillId="0" borderId="54" xfId="0" applyNumberFormat="1" applyFont="1" applyBorder="1" applyAlignment="1">
      <alignment horizontal="center"/>
    </xf>
    <xf numFmtId="0" fontId="0" fillId="38" borderId="0" xfId="0" applyFill="1"/>
    <xf numFmtId="164" fontId="6" fillId="0" borderId="44" xfId="48" applyNumberFormat="1" applyFont="1" applyBorder="1" applyAlignment="1">
      <alignment horizontal="center"/>
    </xf>
    <xf numFmtId="49" fontId="34" fillId="0" borderId="58" xfId="43" applyNumberFormat="1" applyFont="1" applyBorder="1"/>
    <xf numFmtId="164" fontId="6" fillId="0" borderId="52" xfId="48" applyNumberFormat="1" applyFont="1" applyBorder="1" applyAlignment="1">
      <alignment horizontal="center"/>
    </xf>
    <xf numFmtId="0" fontId="0" fillId="44" borderId="0" xfId="0" applyFill="1"/>
    <xf numFmtId="164" fontId="6" fillId="0" borderId="34" xfId="48" applyNumberFormat="1" applyFont="1" applyBorder="1" applyAlignment="1">
      <alignment horizontal="center"/>
    </xf>
    <xf numFmtId="0" fontId="28" fillId="0" borderId="22" xfId="48" applyFont="1" applyBorder="1" applyAlignment="1">
      <alignment horizontal="center" wrapText="1"/>
    </xf>
    <xf numFmtId="164" fontId="6" fillId="0" borderId="48" xfId="48" applyNumberFormat="1" applyFont="1" applyBorder="1" applyAlignment="1">
      <alignment horizontal="center"/>
    </xf>
    <xf numFmtId="0" fontId="0" fillId="0" borderId="16" xfId="46" applyFont="1" applyBorder="1" applyAlignment="1">
      <alignment horizontal="center"/>
    </xf>
    <xf numFmtId="0" fontId="6" fillId="36" borderId="0" xfId="0" applyFont="1" applyFill="1" applyAlignment="1">
      <alignment wrapText="1"/>
    </xf>
    <xf numFmtId="164" fontId="6" fillId="0" borderId="69" xfId="48" applyNumberFormat="1" applyFont="1" applyBorder="1" applyAlignment="1">
      <alignment horizontal="center"/>
    </xf>
    <xf numFmtId="0" fontId="0" fillId="0" borderId="29" xfId="46" applyFont="1" applyBorder="1" applyAlignment="1">
      <alignment horizontal="center"/>
    </xf>
    <xf numFmtId="49" fontId="24" fillId="0" borderId="15" xfId="0" applyNumberFormat="1" applyFont="1" applyBorder="1" applyAlignment="1">
      <alignment horizontal="left" vertical="center"/>
    </xf>
    <xf numFmtId="167" fontId="6" fillId="0" borderId="0" xfId="43" applyNumberFormat="1"/>
    <xf numFmtId="164" fontId="6" fillId="0" borderId="51" xfId="48" applyNumberFormat="1" applyFont="1" applyBorder="1" applyAlignment="1">
      <alignment horizontal="center"/>
    </xf>
    <xf numFmtId="167" fontId="24" fillId="0" borderId="20" xfId="0" applyNumberFormat="1" applyFont="1" applyBorder="1" applyAlignment="1">
      <alignment horizontal="center" vertical="top"/>
    </xf>
    <xf numFmtId="0" fontId="6" fillId="0" borderId="43" xfId="43" applyBorder="1" applyAlignment="1">
      <alignment horizontal="left" vertical="center"/>
    </xf>
    <xf numFmtId="49" fontId="34" fillId="0" borderId="58" xfId="0" applyNumberFormat="1" applyFont="1" applyBorder="1" applyAlignment="1">
      <alignment horizontal="left" vertical="center"/>
    </xf>
    <xf numFmtId="0" fontId="6" fillId="0" borderId="70" xfId="43" applyBorder="1" applyAlignment="1">
      <alignment horizontal="center"/>
    </xf>
    <xf numFmtId="164" fontId="0" fillId="0" borderId="45" xfId="47" applyNumberFormat="1" applyFont="1" applyBorder="1" applyAlignment="1">
      <alignment horizontal="center"/>
    </xf>
    <xf numFmtId="164" fontId="6" fillId="0" borderId="46" xfId="0" applyNumberFormat="1" applyFont="1" applyBorder="1" applyAlignment="1">
      <alignment horizontal="center"/>
    </xf>
    <xf numFmtId="164" fontId="0" fillId="0" borderId="72" xfId="0" applyNumberFormat="1" applyBorder="1"/>
    <xf numFmtId="0" fontId="25" fillId="0" borderId="73" xfId="0" applyFont="1" applyBorder="1" applyAlignment="1">
      <alignment horizontal="center" wrapText="1"/>
    </xf>
    <xf numFmtId="0" fontId="33" fillId="33" borderId="34" xfId="0" applyFont="1" applyFill="1" applyBorder="1" applyAlignment="1">
      <alignment horizontal="center"/>
    </xf>
    <xf numFmtId="0" fontId="6" fillId="33" borderId="44" xfId="0" applyFont="1" applyFill="1" applyBorder="1" applyAlignment="1">
      <alignment horizontal="center" wrapText="1"/>
    </xf>
    <xf numFmtId="2" fontId="33" fillId="33" borderId="47" xfId="0" applyNumberFormat="1" applyFont="1" applyFill="1" applyBorder="1" applyAlignment="1">
      <alignment horizontal="center"/>
    </xf>
    <xf numFmtId="164" fontId="6" fillId="34" borderId="24" xfId="0" applyNumberFormat="1" applyFont="1" applyFill="1" applyBorder="1" applyAlignment="1">
      <alignment horizontal="center"/>
    </xf>
    <xf numFmtId="2" fontId="33" fillId="33" borderId="34" xfId="0" applyNumberFormat="1" applyFont="1" applyFill="1" applyBorder="1" applyAlignment="1">
      <alignment horizontal="center"/>
    </xf>
    <xf numFmtId="0" fontId="6" fillId="0" borderId="45" xfId="0" applyFont="1" applyBorder="1" applyAlignment="1">
      <alignment horizontal="center" wrapText="1"/>
    </xf>
    <xf numFmtId="2" fontId="6" fillId="34" borderId="74" xfId="0" applyNumberFormat="1" applyFont="1" applyFill="1" applyBorder="1" applyAlignment="1">
      <alignment horizontal="center"/>
    </xf>
    <xf numFmtId="0" fontId="28" fillId="0" borderId="31" xfId="48" applyFont="1" applyBorder="1" applyAlignment="1">
      <alignment horizontal="center" wrapText="1"/>
    </xf>
    <xf numFmtId="0" fontId="6" fillId="0" borderId="13" xfId="0" applyFont="1" applyBorder="1" applyAlignment="1">
      <alignment horizontal="center"/>
    </xf>
    <xf numFmtId="0" fontId="6" fillId="0" borderId="34" xfId="0" applyFont="1" applyBorder="1" applyAlignment="1">
      <alignment horizontal="center" wrapText="1"/>
    </xf>
    <xf numFmtId="0" fontId="6" fillId="0" borderId="43" xfId="0" applyFont="1" applyBorder="1" applyAlignment="1">
      <alignment horizontal="center"/>
    </xf>
    <xf numFmtId="164" fontId="33" fillId="0" borderId="12" xfId="0" applyNumberFormat="1" applyFont="1" applyBorder="1" applyAlignment="1">
      <alignment horizontal="center"/>
    </xf>
    <xf numFmtId="0" fontId="6" fillId="34" borderId="47" xfId="0" applyFont="1" applyFill="1" applyBorder="1" applyAlignment="1">
      <alignment horizontal="center" wrapText="1"/>
    </xf>
    <xf numFmtId="166" fontId="6" fillId="0" borderId="39" xfId="0" applyNumberFormat="1" applyFont="1" applyBorder="1" applyAlignment="1">
      <alignment horizontal="center"/>
    </xf>
    <xf numFmtId="0" fontId="6" fillId="0" borderId="13" xfId="48" applyFont="1" applyBorder="1" applyAlignment="1">
      <alignment horizontal="center"/>
    </xf>
    <xf numFmtId="164" fontId="33" fillId="0" borderId="14" xfId="0" applyNumberFormat="1" applyFont="1" applyBorder="1" applyAlignment="1">
      <alignment horizontal="center"/>
    </xf>
    <xf numFmtId="0" fontId="6" fillId="33" borderId="13" xfId="0" applyFont="1" applyFill="1" applyBorder="1" applyAlignment="1">
      <alignment horizontal="center"/>
    </xf>
    <xf numFmtId="164" fontId="6" fillId="0" borderId="76" xfId="0" applyNumberFormat="1" applyFont="1" applyBorder="1" applyAlignment="1">
      <alignment horizontal="center"/>
    </xf>
    <xf numFmtId="2" fontId="6" fillId="0" borderId="74" xfId="0" applyNumberFormat="1" applyFont="1" applyBorder="1" applyAlignment="1">
      <alignment horizontal="center"/>
    </xf>
    <xf numFmtId="164" fontId="33" fillId="34" borderId="13" xfId="0" applyNumberFormat="1" applyFont="1" applyFill="1" applyBorder="1" applyAlignment="1">
      <alignment horizontal="center"/>
    </xf>
    <xf numFmtId="0" fontId="0" fillId="0" borderId="0" xfId="46" applyFont="1" applyAlignment="1">
      <alignment horizontal="left"/>
    </xf>
    <xf numFmtId="164" fontId="33" fillId="33" borderId="11" xfId="0" applyNumberFormat="1" applyFont="1" applyFill="1" applyBorder="1" applyAlignment="1">
      <alignment horizontal="center"/>
    </xf>
    <xf numFmtId="164" fontId="6" fillId="34" borderId="23" xfId="0" applyNumberFormat="1" applyFont="1" applyFill="1" applyBorder="1" applyAlignment="1">
      <alignment horizontal="center"/>
    </xf>
    <xf numFmtId="0" fontId="6" fillId="0" borderId="58" xfId="43" applyBorder="1" applyAlignment="1">
      <alignment horizontal="center"/>
    </xf>
    <xf numFmtId="49" fontId="24" fillId="0" borderId="58" xfId="43" applyNumberFormat="1" applyFont="1" applyBorder="1"/>
    <xf numFmtId="0" fontId="28" fillId="0" borderId="64" xfId="48" applyFont="1" applyBorder="1" applyAlignment="1">
      <alignment horizontal="center" vertical="center" wrapText="1"/>
    </xf>
    <xf numFmtId="0" fontId="33" fillId="0" borderId="34" xfId="0" applyFont="1" applyBorder="1" applyAlignment="1">
      <alignment horizontal="center"/>
    </xf>
    <xf numFmtId="166" fontId="6" fillId="33" borderId="52" xfId="0" applyNumberFormat="1" applyFont="1" applyFill="1" applyBorder="1" applyAlignment="1">
      <alignment horizontal="center"/>
    </xf>
    <xf numFmtId="2" fontId="6" fillId="34" borderId="63" xfId="0" applyNumberFormat="1" applyFont="1" applyFill="1" applyBorder="1" applyAlignment="1">
      <alignment horizontal="center"/>
    </xf>
    <xf numFmtId="0" fontId="6" fillId="33" borderId="12" xfId="0" applyFont="1" applyFill="1" applyBorder="1" applyAlignment="1">
      <alignment horizontal="center"/>
    </xf>
    <xf numFmtId="0" fontId="6" fillId="34" borderId="13" xfId="0" applyFont="1" applyFill="1" applyBorder="1" applyAlignment="1">
      <alignment horizontal="center"/>
    </xf>
    <xf numFmtId="2" fontId="33" fillId="0" borderId="34" xfId="0" applyNumberFormat="1" applyFont="1" applyBorder="1" applyAlignment="1">
      <alignment horizontal="center"/>
    </xf>
    <xf numFmtId="0" fontId="33" fillId="0" borderId="45" xfId="0" applyFont="1" applyBorder="1" applyAlignment="1">
      <alignment horizontal="center"/>
    </xf>
    <xf numFmtId="0" fontId="6" fillId="0" borderId="20" xfId="43" applyBorder="1"/>
    <xf numFmtId="0" fontId="6" fillId="0" borderId="10" xfId="0" applyFont="1" applyBorder="1" applyAlignment="1">
      <alignment horizontal="center"/>
    </xf>
    <xf numFmtId="0" fontId="33" fillId="34" borderId="49" xfId="0" applyFont="1" applyFill="1" applyBorder="1" applyAlignment="1">
      <alignment horizontal="center"/>
    </xf>
    <xf numFmtId="164" fontId="6" fillId="33" borderId="25" xfId="0" applyNumberFormat="1" applyFont="1" applyFill="1" applyBorder="1" applyAlignment="1">
      <alignment horizontal="center"/>
    </xf>
    <xf numFmtId="0" fontId="6" fillId="0" borderId="12" xfId="0" applyFont="1" applyBorder="1" applyAlignment="1">
      <alignment horizontal="center"/>
    </xf>
    <xf numFmtId="2" fontId="33" fillId="34" borderId="44" xfId="0" applyNumberFormat="1" applyFont="1" applyFill="1" applyBorder="1" applyAlignment="1">
      <alignment horizontal="center"/>
    </xf>
    <xf numFmtId="164" fontId="6" fillId="0" borderId="12" xfId="46" applyNumberFormat="1" applyBorder="1"/>
    <xf numFmtId="164" fontId="33" fillId="34" borderId="10" xfId="0" applyNumberFormat="1" applyFont="1" applyFill="1" applyBorder="1" applyAlignment="1">
      <alignment horizontal="center"/>
    </xf>
    <xf numFmtId="2" fontId="33" fillId="0" borderId="45" xfId="0" applyNumberFormat="1" applyFont="1" applyBorder="1" applyAlignment="1">
      <alignment horizontal="center"/>
    </xf>
    <xf numFmtId="0" fontId="33" fillId="0" borderId="46" xfId="0" applyFont="1" applyBorder="1" applyAlignment="1">
      <alignment horizontal="center"/>
    </xf>
    <xf numFmtId="0" fontId="6" fillId="0" borderId="77" xfId="43" applyBorder="1" applyAlignment="1">
      <alignment horizontal="center"/>
    </xf>
    <xf numFmtId="164" fontId="6" fillId="34" borderId="40" xfId="0" applyNumberFormat="1" applyFont="1" applyFill="1" applyBorder="1" applyAlignment="1">
      <alignment horizontal="center"/>
    </xf>
    <xf numFmtId="49" fontId="24" fillId="0" borderId="36" xfId="0" applyNumberFormat="1" applyFont="1" applyBorder="1" applyAlignment="1">
      <alignment horizontal="left" vertical="top"/>
    </xf>
    <xf numFmtId="164" fontId="6" fillId="33" borderId="24" xfId="0" applyNumberFormat="1" applyFont="1" applyFill="1" applyBorder="1" applyAlignment="1">
      <alignment horizontal="center"/>
    </xf>
    <xf numFmtId="0" fontId="33" fillId="34" borderId="45" xfId="0" applyFont="1" applyFill="1" applyBorder="1" applyAlignment="1">
      <alignment horizontal="center"/>
    </xf>
    <xf numFmtId="2" fontId="33" fillId="34" borderId="34" xfId="0" applyNumberFormat="1" applyFont="1" applyFill="1" applyBorder="1" applyAlignment="1">
      <alignment horizontal="center"/>
    </xf>
    <xf numFmtId="0" fontId="28" fillId="0" borderId="16" xfId="52" applyFont="1" applyBorder="1" applyAlignment="1">
      <alignment horizontal="center"/>
    </xf>
    <xf numFmtId="164" fontId="33" fillId="0" borderId="11" xfId="0" applyNumberFormat="1" applyFont="1" applyBorder="1" applyAlignment="1">
      <alignment horizontal="center"/>
    </xf>
    <xf numFmtId="0" fontId="6" fillId="34" borderId="44" xfId="0" applyFont="1" applyFill="1" applyBorder="1" applyAlignment="1">
      <alignment horizontal="center" wrapText="1"/>
    </xf>
    <xf numFmtId="0" fontId="6" fillId="0" borderId="78" xfId="0" applyFont="1" applyBorder="1"/>
    <xf numFmtId="0" fontId="33" fillId="34" borderId="34" xfId="0" applyFont="1" applyFill="1" applyBorder="1" applyAlignment="1">
      <alignment horizontal="center"/>
    </xf>
    <xf numFmtId="0" fontId="28" fillId="35" borderId="31" xfId="0" applyFont="1" applyFill="1" applyBorder="1" applyAlignment="1">
      <alignment horizontal="center" vertical="center" wrapText="1"/>
    </xf>
    <xf numFmtId="0" fontId="6" fillId="46" borderId="22" xfId="0" applyFont="1" applyFill="1" applyBorder="1" applyAlignment="1">
      <alignment horizontal="center" textRotation="90"/>
    </xf>
    <xf numFmtId="164" fontId="6" fillId="0" borderId="23" xfId="0" applyNumberFormat="1" applyFont="1" applyBorder="1" applyAlignment="1">
      <alignment horizontal="center"/>
    </xf>
    <xf numFmtId="0" fontId="6" fillId="0" borderId="11" xfId="48" applyFont="1" applyBorder="1" applyAlignment="1">
      <alignment horizontal="center"/>
    </xf>
    <xf numFmtId="0" fontId="28" fillId="0" borderId="35" xfId="46" applyFont="1" applyBorder="1" applyAlignment="1">
      <alignment horizontal="center" vertical="center"/>
    </xf>
    <xf numFmtId="2" fontId="6" fillId="33" borderId="74" xfId="0" applyNumberFormat="1" applyFont="1" applyFill="1" applyBorder="1" applyAlignment="1">
      <alignment horizontal="center"/>
    </xf>
    <xf numFmtId="164" fontId="6" fillId="34" borderId="48" xfId="0" applyNumberFormat="1" applyFont="1" applyFill="1" applyBorder="1" applyAlignment="1">
      <alignment horizontal="center"/>
    </xf>
    <xf numFmtId="166" fontId="6" fillId="34" borderId="54" xfId="0" applyNumberFormat="1" applyFont="1" applyFill="1" applyBorder="1" applyAlignment="1">
      <alignment horizontal="center"/>
    </xf>
    <xf numFmtId="0" fontId="30" fillId="0" borderId="0" xfId="0" applyFont="1"/>
    <xf numFmtId="164" fontId="6" fillId="34" borderId="46" xfId="0" applyNumberFormat="1" applyFont="1" applyFill="1" applyBorder="1" applyAlignment="1">
      <alignment horizontal="center"/>
    </xf>
    <xf numFmtId="0" fontId="26" fillId="0" borderId="67" xfId="46" applyFont="1" applyBorder="1" applyAlignment="1">
      <alignment horizontal="center"/>
    </xf>
    <xf numFmtId="0" fontId="0" fillId="0" borderId="34" xfId="47" applyFont="1" applyBorder="1" applyAlignment="1">
      <alignment horizontal="center"/>
    </xf>
    <xf numFmtId="0" fontId="33" fillId="33" borderId="44" xfId="0" applyFont="1" applyFill="1" applyBorder="1" applyAlignment="1">
      <alignment horizontal="center"/>
    </xf>
    <xf numFmtId="164" fontId="6" fillId="0" borderId="15" xfId="0" applyNumberFormat="1" applyFont="1" applyBorder="1" applyAlignment="1">
      <alignment horizontal="center"/>
    </xf>
    <xf numFmtId="0" fontId="6" fillId="34" borderId="12" xfId="0" applyFont="1" applyFill="1" applyBorder="1" applyAlignment="1">
      <alignment horizontal="center"/>
    </xf>
    <xf numFmtId="164" fontId="6" fillId="0" borderId="61" xfId="0" applyNumberFormat="1" applyFont="1" applyBorder="1" applyAlignment="1">
      <alignment horizontal="center"/>
    </xf>
    <xf numFmtId="0" fontId="0" fillId="0" borderId="48" xfId="47" applyFont="1" applyBorder="1" applyAlignment="1">
      <alignment horizontal="center"/>
    </xf>
    <xf numFmtId="0" fontId="6" fillId="34" borderId="10" xfId="0" applyFont="1" applyFill="1" applyBorder="1" applyAlignment="1">
      <alignment horizontal="center"/>
    </xf>
    <xf numFmtId="2" fontId="33" fillId="0" borderId="47" xfId="0" applyNumberFormat="1" applyFont="1" applyBorder="1" applyAlignment="1">
      <alignment horizontal="center"/>
    </xf>
    <xf numFmtId="164" fontId="0" fillId="0" borderId="44" xfId="47" applyNumberFormat="1" applyFont="1" applyBorder="1" applyAlignment="1">
      <alignment horizontal="center"/>
    </xf>
    <xf numFmtId="164" fontId="33" fillId="34" borderId="12" xfId="0" applyNumberFormat="1" applyFont="1" applyFill="1" applyBorder="1" applyAlignment="1">
      <alignment horizontal="center"/>
    </xf>
    <xf numFmtId="0" fontId="33" fillId="0" borderId="47" xfId="0" applyFont="1" applyBorder="1" applyAlignment="1">
      <alignment horizontal="center"/>
    </xf>
    <xf numFmtId="166" fontId="6" fillId="33" borderId="51" xfId="0" applyNumberFormat="1" applyFont="1" applyFill="1" applyBorder="1" applyAlignment="1">
      <alignment horizontal="center"/>
    </xf>
    <xf numFmtId="0" fontId="33" fillId="0" borderId="40" xfId="0" applyFont="1" applyBorder="1" applyAlignment="1">
      <alignment horizontal="center"/>
    </xf>
    <xf numFmtId="49" fontId="6" fillId="0" borderId="28" xfId="43" applyNumberFormat="1" applyBorder="1" applyAlignment="1">
      <alignment horizontal="center"/>
    </xf>
    <xf numFmtId="0" fontId="28" fillId="0" borderId="77" xfId="43" applyFont="1" applyBorder="1" applyAlignment="1">
      <alignment horizontal="center"/>
    </xf>
    <xf numFmtId="2" fontId="33" fillId="33" borderId="44" xfId="0" applyNumberFormat="1" applyFont="1" applyFill="1" applyBorder="1" applyAlignment="1">
      <alignment horizontal="center"/>
    </xf>
    <xf numFmtId="166" fontId="6" fillId="34" borderId="53" xfId="0" applyNumberFormat="1" applyFont="1" applyFill="1" applyBorder="1" applyAlignment="1">
      <alignment horizontal="center"/>
    </xf>
    <xf numFmtId="0" fontId="6" fillId="33" borderId="34" xfId="0" applyFont="1" applyFill="1" applyBorder="1" applyAlignment="1">
      <alignment horizontal="center" wrapText="1"/>
    </xf>
    <xf numFmtId="164" fontId="6" fillId="34" borderId="19" xfId="0" applyNumberFormat="1" applyFont="1" applyFill="1" applyBorder="1" applyAlignment="1">
      <alignment horizontal="center"/>
    </xf>
    <xf numFmtId="2" fontId="6" fillId="33" borderId="59" xfId="0" applyNumberFormat="1" applyFont="1" applyFill="1" applyBorder="1" applyAlignment="1">
      <alignment horizontal="center"/>
    </xf>
    <xf numFmtId="0" fontId="6" fillId="0" borderId="12" xfId="43" applyBorder="1" applyAlignment="1">
      <alignment horizontal="left"/>
    </xf>
    <xf numFmtId="0" fontId="6" fillId="0" borderId="79" xfId="45" applyBorder="1" applyProtection="1">
      <protection locked="0"/>
    </xf>
    <xf numFmtId="0" fontId="6" fillId="33" borderId="47" xfId="0" applyFont="1" applyFill="1" applyBorder="1" applyAlignment="1">
      <alignment horizontal="center" wrapText="1"/>
    </xf>
    <xf numFmtId="0" fontId="6" fillId="0" borderId="0" xfId="0" applyFont="1" applyAlignment="1">
      <alignment wrapText="1"/>
    </xf>
    <xf numFmtId="0" fontId="33" fillId="34" borderId="48" xfId="0" applyFont="1" applyFill="1" applyBorder="1" applyAlignment="1">
      <alignment horizontal="center"/>
    </xf>
    <xf numFmtId="2" fontId="33" fillId="34" borderId="45" xfId="0" applyNumberFormat="1" applyFont="1" applyFill="1" applyBorder="1" applyAlignment="1">
      <alignment horizontal="center"/>
    </xf>
    <xf numFmtId="0" fontId="6" fillId="0" borderId="70" xfId="0" applyFont="1" applyBorder="1" applyAlignment="1">
      <alignment horizontal="center"/>
    </xf>
    <xf numFmtId="164" fontId="6" fillId="33" borderId="61" xfId="0" applyNumberFormat="1" applyFont="1" applyFill="1" applyBorder="1" applyAlignment="1">
      <alignment horizontal="center"/>
    </xf>
    <xf numFmtId="164" fontId="6" fillId="0" borderId="40" xfId="0" applyNumberFormat="1" applyFont="1" applyBorder="1" applyAlignment="1">
      <alignment horizontal="center"/>
    </xf>
    <xf numFmtId="164" fontId="6" fillId="33" borderId="46" xfId="0" applyNumberFormat="1" applyFont="1" applyFill="1" applyBorder="1" applyAlignment="1">
      <alignment horizontal="center"/>
    </xf>
    <xf numFmtId="0" fontId="6" fillId="0" borderId="80" xfId="45" applyBorder="1" applyProtection="1">
      <protection locked="0"/>
    </xf>
    <xf numFmtId="164" fontId="6" fillId="0" borderId="49" xfId="0" applyNumberFormat="1" applyFont="1" applyBorder="1" applyAlignment="1">
      <alignment horizontal="center"/>
    </xf>
    <xf numFmtId="164" fontId="6" fillId="0" borderId="26" xfId="0" applyNumberFormat="1" applyFont="1" applyBorder="1" applyAlignment="1">
      <alignment horizontal="center"/>
    </xf>
    <xf numFmtId="0" fontId="6" fillId="0" borderId="50" xfId="43" applyBorder="1" applyAlignment="1">
      <alignment horizontal="center"/>
    </xf>
    <xf numFmtId="0" fontId="28" fillId="35" borderId="37" xfId="0" applyFont="1" applyFill="1" applyBorder="1" applyAlignment="1">
      <alignment horizontal="center" vertical="center" wrapText="1"/>
    </xf>
    <xf numFmtId="0" fontId="33" fillId="34" borderId="44" xfId="0" applyFont="1" applyFill="1" applyBorder="1" applyAlignment="1">
      <alignment horizontal="center"/>
    </xf>
    <xf numFmtId="166" fontId="6" fillId="34" borderId="51" xfId="0" applyNumberFormat="1" applyFont="1" applyFill="1" applyBorder="1" applyAlignment="1">
      <alignment horizontal="center"/>
    </xf>
    <xf numFmtId="0" fontId="0" fillId="0" borderId="40" xfId="47" applyFont="1" applyBorder="1" applyAlignment="1">
      <alignment horizontal="center"/>
    </xf>
    <xf numFmtId="0" fontId="6" fillId="33" borderId="10" xfId="0" applyFont="1" applyFill="1" applyBorder="1" applyAlignment="1">
      <alignment horizontal="center"/>
    </xf>
    <xf numFmtId="166" fontId="6" fillId="34" borderId="52" xfId="0" applyNumberFormat="1" applyFont="1" applyFill="1" applyBorder="1" applyAlignment="1">
      <alignment horizontal="center"/>
    </xf>
    <xf numFmtId="0" fontId="28" fillId="0" borderId="22" xfId="46" applyFont="1" applyBorder="1"/>
    <xf numFmtId="164" fontId="0" fillId="0" borderId="81" xfId="46" applyNumberFormat="1" applyFont="1" applyBorder="1" applyAlignment="1">
      <alignment horizontal="center"/>
    </xf>
    <xf numFmtId="164" fontId="6" fillId="33" borderId="23" xfId="0" applyNumberFormat="1" applyFont="1" applyFill="1" applyBorder="1" applyAlignment="1">
      <alignment horizontal="center"/>
    </xf>
    <xf numFmtId="0" fontId="6" fillId="0" borderId="20" xfId="0" applyFont="1" applyBorder="1" applyAlignment="1">
      <alignment horizontal="center" vertical="center"/>
    </xf>
    <xf numFmtId="164" fontId="6" fillId="34" borderId="25" xfId="0" applyNumberFormat="1" applyFont="1" applyFill="1" applyBorder="1" applyAlignment="1">
      <alignment horizontal="center"/>
    </xf>
    <xf numFmtId="164" fontId="33" fillId="33" borderId="12" xfId="0" applyNumberFormat="1" applyFont="1" applyFill="1" applyBorder="1" applyAlignment="1">
      <alignment horizontal="center"/>
    </xf>
    <xf numFmtId="0" fontId="6" fillId="0" borderId="66" xfId="0" applyFont="1" applyBorder="1" applyAlignment="1">
      <alignment horizontal="center" textRotation="90"/>
    </xf>
    <xf numFmtId="164" fontId="33" fillId="33" borderId="10" xfId="0" applyNumberFormat="1" applyFont="1" applyFill="1" applyBorder="1" applyAlignment="1">
      <alignment horizontal="center"/>
    </xf>
    <xf numFmtId="0" fontId="33" fillId="0" borderId="43" xfId="0" applyFont="1" applyBorder="1" applyAlignment="1">
      <alignment horizontal="center"/>
    </xf>
    <xf numFmtId="0" fontId="6" fillId="0" borderId="47" xfId="0" applyFont="1" applyBorder="1" applyAlignment="1">
      <alignment horizontal="center" wrapText="1"/>
    </xf>
    <xf numFmtId="164" fontId="6" fillId="0" borderId="41" xfId="0" applyNumberFormat="1" applyFont="1" applyBorder="1" applyAlignment="1">
      <alignment horizontal="center"/>
    </xf>
    <xf numFmtId="0" fontId="33" fillId="33" borderId="40" xfId="0" applyFont="1" applyFill="1" applyBorder="1" applyAlignment="1">
      <alignment horizontal="center"/>
    </xf>
    <xf numFmtId="166" fontId="6" fillId="33" borderId="53" xfId="0" applyNumberFormat="1" applyFont="1" applyFill="1" applyBorder="1" applyAlignment="1">
      <alignment horizontal="center"/>
    </xf>
    <xf numFmtId="0" fontId="28" fillId="0" borderId="22" xfId="0" applyFont="1" applyBorder="1" applyAlignment="1">
      <alignment horizontal="center" vertical="center" wrapText="1"/>
    </xf>
    <xf numFmtId="2" fontId="33" fillId="0" borderId="43" xfId="0" applyNumberFormat="1" applyFont="1" applyBorder="1" applyAlignment="1">
      <alignment horizontal="center"/>
    </xf>
    <xf numFmtId="2" fontId="6" fillId="34" borderId="59" xfId="0" applyNumberFormat="1" applyFont="1" applyFill="1" applyBorder="1" applyAlignment="1">
      <alignment horizontal="center"/>
    </xf>
    <xf numFmtId="0" fontId="0" fillId="0" borderId="15" xfId="0" applyBorder="1"/>
    <xf numFmtId="164" fontId="6" fillId="0" borderId="41" xfId="43" applyNumberFormat="1" applyBorder="1" applyAlignment="1">
      <alignment horizontal="center"/>
    </xf>
    <xf numFmtId="2" fontId="33" fillId="34" borderId="47" xfId="0" applyNumberFormat="1" applyFont="1" applyFill="1" applyBorder="1" applyAlignment="1">
      <alignment horizontal="center"/>
    </xf>
    <xf numFmtId="167" fontId="6" fillId="0" borderId="12" xfId="43" applyNumberFormat="1" applyBorder="1" applyAlignment="1">
      <alignment horizontal="center"/>
    </xf>
    <xf numFmtId="164" fontId="0" fillId="0" borderId="34" xfId="47" applyNumberFormat="1" applyFont="1" applyBorder="1" applyAlignment="1">
      <alignment horizontal="center"/>
    </xf>
    <xf numFmtId="0" fontId="0" fillId="0" borderId="44" xfId="47" applyFont="1" applyBorder="1" applyAlignment="1">
      <alignment horizontal="center"/>
    </xf>
    <xf numFmtId="0" fontId="33" fillId="33" borderId="47" xfId="0" applyFont="1" applyFill="1" applyBorder="1" applyAlignment="1">
      <alignment horizontal="center"/>
    </xf>
    <xf numFmtId="166" fontId="6" fillId="0" borderId="54" xfId="0" applyNumberFormat="1" applyFont="1" applyBorder="1" applyAlignment="1">
      <alignment horizontal="center"/>
    </xf>
    <xf numFmtId="164" fontId="6" fillId="0" borderId="25" xfId="0" applyNumberFormat="1" applyFont="1" applyBorder="1" applyAlignment="1">
      <alignment horizontal="center"/>
    </xf>
    <xf numFmtId="0" fontId="33" fillId="34" borderId="40" xfId="0" applyFont="1" applyFill="1" applyBorder="1" applyAlignment="1">
      <alignment horizontal="center"/>
    </xf>
    <xf numFmtId="164" fontId="6" fillId="33" borderId="48" xfId="0" applyNumberFormat="1" applyFont="1" applyFill="1" applyBorder="1" applyAlignment="1">
      <alignment horizontal="center"/>
    </xf>
    <xf numFmtId="164" fontId="6" fillId="0" borderId="40" xfId="48" applyNumberFormat="1" applyFont="1" applyBorder="1" applyAlignment="1">
      <alignment horizontal="center"/>
    </xf>
    <xf numFmtId="0" fontId="28" fillId="0" borderId="38" xfId="46" applyFont="1" applyBorder="1" applyAlignment="1">
      <alignment horizontal="center" vertical="center"/>
    </xf>
    <xf numFmtId="164" fontId="6" fillId="33" borderId="40" xfId="0" applyNumberFormat="1" applyFont="1" applyFill="1" applyBorder="1" applyAlignment="1">
      <alignment horizontal="center"/>
    </xf>
    <xf numFmtId="0" fontId="33" fillId="33" borderId="48" xfId="0" applyFont="1" applyFill="1" applyBorder="1" applyAlignment="1">
      <alignment horizontal="center"/>
    </xf>
    <xf numFmtId="0" fontId="33" fillId="33" borderId="46" xfId="0" applyFont="1" applyFill="1" applyBorder="1" applyAlignment="1">
      <alignment horizontal="center"/>
    </xf>
    <xf numFmtId="164" fontId="33" fillId="34" borderId="11" xfId="0" applyNumberFormat="1" applyFont="1" applyFill="1" applyBorder="1" applyAlignment="1">
      <alignment horizontal="center"/>
    </xf>
    <xf numFmtId="49" fontId="24" fillId="0" borderId="27" xfId="0" applyNumberFormat="1" applyFont="1" applyBorder="1" applyAlignment="1">
      <alignment horizontal="left" vertical="center"/>
    </xf>
    <xf numFmtId="164" fontId="24" fillId="0" borderId="15" xfId="0" applyNumberFormat="1" applyFont="1" applyBorder="1" applyAlignment="1">
      <alignment horizontal="center"/>
    </xf>
    <xf numFmtId="2" fontId="6" fillId="33" borderId="63" xfId="0" applyNumberFormat="1" applyFont="1" applyFill="1" applyBorder="1" applyAlignment="1">
      <alignment horizontal="center"/>
    </xf>
    <xf numFmtId="0" fontId="6" fillId="0" borderId="34" xfId="0" applyFont="1" applyBorder="1" applyAlignment="1">
      <alignment horizontal="center" vertical="center"/>
    </xf>
    <xf numFmtId="0" fontId="6" fillId="34" borderId="34" xfId="0" applyFont="1" applyFill="1" applyBorder="1" applyAlignment="1">
      <alignment horizontal="center" wrapText="1"/>
    </xf>
    <xf numFmtId="0" fontId="6" fillId="34" borderId="45" xfId="0" applyFont="1" applyFill="1" applyBorder="1" applyAlignment="1">
      <alignment horizontal="center" wrapText="1"/>
    </xf>
    <xf numFmtId="49" fontId="6" fillId="0" borderId="18" xfId="0" applyNumberFormat="1" applyFont="1" applyBorder="1" applyAlignment="1">
      <alignment horizontal="center"/>
    </xf>
    <xf numFmtId="0" fontId="33" fillId="0" borderId="49" xfId="0" applyFont="1" applyBorder="1" applyAlignment="1">
      <alignment horizontal="center"/>
    </xf>
    <xf numFmtId="49" fontId="6" fillId="0" borderId="15" xfId="0" applyNumberFormat="1" applyFont="1" applyBorder="1" applyAlignment="1">
      <alignment horizontal="center"/>
    </xf>
    <xf numFmtId="0" fontId="6" fillId="0" borderId="62" xfId="43" applyBorder="1" applyAlignment="1">
      <alignment horizontal="center"/>
    </xf>
    <xf numFmtId="0" fontId="6" fillId="19" borderId="0" xfId="0" applyFont="1" applyFill="1" applyAlignment="1">
      <alignment wrapText="1"/>
    </xf>
    <xf numFmtId="166" fontId="6" fillId="0" borderId="51" xfId="0" applyNumberFormat="1" applyFont="1" applyBorder="1" applyAlignment="1">
      <alignment horizontal="center"/>
    </xf>
    <xf numFmtId="166" fontId="6" fillId="0" borderId="52" xfId="0" applyNumberFormat="1" applyFont="1" applyBorder="1" applyAlignment="1">
      <alignment horizontal="center"/>
    </xf>
    <xf numFmtId="164" fontId="6" fillId="34" borderId="49" xfId="0" applyNumberFormat="1" applyFont="1" applyFill="1" applyBorder="1" applyAlignment="1">
      <alignment horizontal="center"/>
    </xf>
    <xf numFmtId="0" fontId="6" fillId="0" borderId="51" xfId="48" applyFont="1" applyBorder="1" applyAlignment="1">
      <alignment horizontal="center" vertical="center"/>
    </xf>
    <xf numFmtId="0" fontId="0" fillId="0" borderId="15" xfId="0" applyBorder="1" applyAlignment="1">
      <alignment horizontal="center" vertical="center"/>
    </xf>
    <xf numFmtId="0" fontId="28" fillId="0" borderId="23" xfId="43" applyFont="1" applyBorder="1" applyAlignment="1">
      <alignment horizontal="center"/>
    </xf>
    <xf numFmtId="0" fontId="6" fillId="15" borderId="22" xfId="0" applyFont="1" applyFill="1" applyBorder="1" applyAlignment="1">
      <alignment horizontal="center" textRotation="90"/>
    </xf>
    <xf numFmtId="164" fontId="6" fillId="0" borderId="45" xfId="48" applyNumberFormat="1" applyFont="1" applyBorder="1" applyAlignment="1">
      <alignment horizontal="center"/>
    </xf>
    <xf numFmtId="0" fontId="6" fillId="0" borderId="44" xfId="48" applyFont="1" applyBorder="1" applyAlignment="1">
      <alignment horizontal="center"/>
    </xf>
    <xf numFmtId="164" fontId="6" fillId="0" borderId="15" xfId="43" quotePrefix="1" applyNumberFormat="1" applyBorder="1" applyAlignment="1">
      <alignment horizontal="center"/>
    </xf>
    <xf numFmtId="0" fontId="26" fillId="0" borderId="0" xfId="0" applyFont="1" applyAlignment="1">
      <alignment horizontal="left" vertical="center" wrapText="1"/>
    </xf>
    <xf numFmtId="0" fontId="29" fillId="0" borderId="58" xfId="43" applyFont="1" applyBorder="1" applyAlignment="1">
      <alignment horizontal="center"/>
    </xf>
    <xf numFmtId="0" fontId="6" fillId="0" borderId="58" xfId="46" applyBorder="1"/>
    <xf numFmtId="0" fontId="28" fillId="0" borderId="12" xfId="46" quotePrefix="1" applyFont="1" applyBorder="1"/>
    <xf numFmtId="49" fontId="24" fillId="0" borderId="17" xfId="43" applyNumberFormat="1" applyFont="1" applyBorder="1"/>
    <xf numFmtId="0" fontId="0" fillId="0" borderId="12" xfId="47" applyFont="1" applyBorder="1" applyAlignment="1">
      <alignment horizontal="center"/>
    </xf>
    <xf numFmtId="49" fontId="24" fillId="0" borderId="18" xfId="43" applyNumberFormat="1" applyFont="1" applyBorder="1"/>
    <xf numFmtId="0" fontId="28" fillId="0" borderId="32" xfId="48" applyFont="1" applyBorder="1" applyAlignment="1">
      <alignment horizontal="center" vertical="center" wrapText="1"/>
    </xf>
    <xf numFmtId="2" fontId="6" fillId="0" borderId="12" xfId="48" applyNumberFormat="1" applyFont="1" applyBorder="1" applyAlignment="1">
      <alignment horizontal="center" vertical="center"/>
    </xf>
    <xf numFmtId="0" fontId="0" fillId="0" borderId="84" xfId="0" applyBorder="1"/>
    <xf numFmtId="164" fontId="24" fillId="0" borderId="15" xfId="43" quotePrefix="1" applyNumberFormat="1" applyFont="1" applyBorder="1" applyAlignment="1">
      <alignment horizontal="center"/>
    </xf>
    <xf numFmtId="0" fontId="28" fillId="0" borderId="75" xfId="48" applyFont="1" applyBorder="1" applyAlignment="1">
      <alignment horizontal="center" vertical="center" wrapText="1"/>
    </xf>
    <xf numFmtId="0" fontId="6" fillId="36" borderId="0" xfId="0" applyFont="1" applyFill="1"/>
    <xf numFmtId="0" fontId="28" fillId="0" borderId="83" xfId="48" applyFont="1" applyBorder="1" applyAlignment="1">
      <alignment horizontal="center" vertical="center" wrapText="1"/>
    </xf>
    <xf numFmtId="0" fontId="6" fillId="0" borderId="40" xfId="46" applyBorder="1" applyAlignment="1">
      <alignment horizontal="center"/>
    </xf>
    <xf numFmtId="0" fontId="6" fillId="0" borderId="30" xfId="45" applyBorder="1" applyProtection="1">
      <protection locked="0"/>
    </xf>
    <xf numFmtId="164" fontId="6" fillId="0" borderId="51" xfId="0" applyNumberFormat="1" applyFont="1" applyBorder="1" applyAlignment="1">
      <alignment horizontal="center" vertical="center"/>
    </xf>
    <xf numFmtId="164" fontId="30" fillId="0" borderId="0" xfId="43" applyNumberFormat="1" applyFont="1" applyAlignment="1">
      <alignment horizontal="right"/>
    </xf>
    <xf numFmtId="0" fontId="6" fillId="0" borderId="29" xfId="45" applyBorder="1" applyProtection="1">
      <protection locked="0"/>
    </xf>
    <xf numFmtId="167" fontId="24" fillId="0" borderId="0" xfId="43" applyNumberFormat="1" applyFont="1"/>
    <xf numFmtId="0" fontId="0" fillId="0" borderId="85" xfId="0" applyBorder="1"/>
    <xf numFmtId="0" fontId="25" fillId="0" borderId="0" xfId="0" applyFont="1"/>
    <xf numFmtId="0" fontId="6" fillId="0" borderId="27" xfId="43" applyBorder="1"/>
    <xf numFmtId="164" fontId="0" fillId="0" borderId="88" xfId="0" applyNumberFormat="1" applyBorder="1"/>
    <xf numFmtId="0" fontId="6" fillId="0" borderId="44" xfId="0" applyFont="1" applyBorder="1" applyAlignment="1">
      <alignment horizontal="center" vertical="center"/>
    </xf>
    <xf numFmtId="0" fontId="6" fillId="19" borderId="0" xfId="0" applyFont="1" applyFill="1"/>
    <xf numFmtId="0" fontId="28" fillId="0" borderId="37" xfId="48" applyFont="1" applyBorder="1" applyAlignment="1">
      <alignment horizontal="center" wrapText="1"/>
    </xf>
    <xf numFmtId="164" fontId="6" fillId="0" borderId="24" xfId="48" applyNumberFormat="1" applyFont="1" applyBorder="1" applyAlignment="1">
      <alignment horizontal="center"/>
    </xf>
    <xf numFmtId="0" fontId="6" fillId="0" borderId="20" xfId="0" quotePrefix="1" applyFont="1" applyBorder="1" applyAlignment="1">
      <alignment horizontal="center" vertical="center"/>
    </xf>
    <xf numFmtId="0" fontId="6" fillId="0" borderId="28" xfId="45" applyBorder="1" applyProtection="1">
      <protection locked="0"/>
    </xf>
    <xf numFmtId="164" fontId="6" fillId="0" borderId="19" xfId="48" applyNumberFormat="1" applyFont="1" applyBorder="1" applyAlignment="1">
      <alignment horizontal="center"/>
    </xf>
    <xf numFmtId="0" fontId="0" fillId="0" borderId="46" xfId="47" applyFont="1" applyBorder="1" applyAlignment="1">
      <alignment horizontal="center"/>
    </xf>
    <xf numFmtId="0" fontId="30" fillId="0" borderId="0" xfId="43" applyFont="1"/>
    <xf numFmtId="164" fontId="6" fillId="0" borderId="25" xfId="48" applyNumberFormat="1" applyFont="1" applyBorder="1" applyAlignment="1">
      <alignment horizontal="center"/>
    </xf>
    <xf numFmtId="0" fontId="6" fillId="0" borderId="62" xfId="0" applyFont="1" applyBorder="1"/>
    <xf numFmtId="164" fontId="6" fillId="0" borderId="49" xfId="48" applyNumberFormat="1" applyFont="1" applyBorder="1" applyAlignment="1">
      <alignment horizontal="center"/>
    </xf>
    <xf numFmtId="164" fontId="6" fillId="0" borderId="46" xfId="48" applyNumberFormat="1" applyFont="1" applyBorder="1" applyAlignment="1">
      <alignment horizontal="center"/>
    </xf>
    <xf numFmtId="2" fontId="6" fillId="0" borderId="23" xfId="48" applyNumberFormat="1" applyFont="1" applyBorder="1" applyAlignment="1">
      <alignment horizontal="center" vertical="center"/>
    </xf>
    <xf numFmtId="0" fontId="6" fillId="0" borderId="89" xfId="45" applyBorder="1" applyProtection="1">
      <protection locked="0"/>
    </xf>
    <xf numFmtId="164" fontId="6" fillId="0" borderId="61" xfId="48" applyNumberFormat="1" applyFont="1" applyBorder="1" applyAlignment="1">
      <alignment horizontal="center"/>
    </xf>
    <xf numFmtId="0" fontId="28" fillId="0" borderId="34" xfId="43" applyFont="1" applyBorder="1" applyAlignment="1">
      <alignment horizontal="center"/>
    </xf>
    <xf numFmtId="0" fontId="0" fillId="0" borderId="45" xfId="47" applyFont="1" applyBorder="1" applyAlignment="1">
      <alignment horizontal="center"/>
    </xf>
    <xf numFmtId="49" fontId="24" fillId="0" borderId="58" xfId="0" applyNumberFormat="1" applyFont="1" applyBorder="1" applyAlignment="1">
      <alignment vertical="top"/>
    </xf>
    <xf numFmtId="0" fontId="6" fillId="0" borderId="43" xfId="0" applyFont="1" applyBorder="1" applyAlignment="1">
      <alignment horizontal="center" vertical="center"/>
    </xf>
    <xf numFmtId="167" fontId="6" fillId="0" borderId="17" xfId="43" applyNumberFormat="1" applyBorder="1"/>
    <xf numFmtId="0" fontId="6" fillId="0" borderId="15" xfId="0" quotePrefix="1" applyFont="1" applyBorder="1" applyAlignment="1">
      <alignment horizontal="center" vertical="center"/>
    </xf>
    <xf numFmtId="0" fontId="6" fillId="0" borderId="36" xfId="0" applyFont="1" applyBorder="1" applyAlignment="1">
      <alignment horizontal="center"/>
    </xf>
    <xf numFmtId="0" fontId="0" fillId="0" borderId="0" xfId="0" applyAlignment="1">
      <alignment wrapText="1"/>
    </xf>
    <xf numFmtId="0" fontId="28" fillId="0" borderId="83" xfId="48" applyFont="1" applyBorder="1" applyAlignment="1">
      <alignment horizontal="center" wrapText="1"/>
    </xf>
    <xf numFmtId="0" fontId="28" fillId="0" borderId="32" xfId="48" applyFont="1" applyBorder="1" applyAlignment="1">
      <alignment horizontal="center" wrapText="1"/>
    </xf>
    <xf numFmtId="164" fontId="6" fillId="0" borderId="59" xfId="48" applyNumberFormat="1" applyFont="1" applyBorder="1" applyAlignment="1">
      <alignment horizontal="center"/>
    </xf>
    <xf numFmtId="167" fontId="6" fillId="0" borderId="35" xfId="43" applyNumberFormat="1" applyBorder="1" applyAlignment="1">
      <alignment horizontal="center"/>
    </xf>
    <xf numFmtId="164" fontId="0" fillId="0" borderId="49" xfId="47" applyNumberFormat="1" applyFont="1" applyBorder="1" applyAlignment="1">
      <alignment horizontal="center"/>
    </xf>
    <xf numFmtId="49" fontId="24" fillId="0" borderId="20" xfId="0" applyNumberFormat="1" applyFont="1" applyBorder="1" applyAlignment="1">
      <alignment horizontal="left" vertical="center"/>
    </xf>
    <xf numFmtId="164" fontId="6" fillId="0" borderId="46" xfId="43" applyNumberFormat="1" applyBorder="1" applyAlignment="1">
      <alignment horizontal="center"/>
    </xf>
    <xf numFmtId="0" fontId="6" fillId="0" borderId="53" xfId="48" applyFont="1" applyBorder="1" applyAlignment="1">
      <alignment horizontal="center"/>
    </xf>
    <xf numFmtId="0" fontId="6" fillId="0" borderId="38" xfId="0" applyFont="1" applyBorder="1" applyAlignment="1">
      <alignment horizontal="center"/>
    </xf>
    <xf numFmtId="0" fontId="0" fillId="0" borderId="28" xfId="47" applyFont="1" applyBorder="1" applyAlignment="1">
      <alignment horizontal="center"/>
    </xf>
    <xf numFmtId="0" fontId="6" fillId="0" borderId="27" xfId="0" applyFont="1" applyBorder="1" applyAlignment="1">
      <alignment horizontal="center" vertical="center"/>
    </xf>
    <xf numFmtId="0" fontId="6" fillId="0" borderId="53" xfId="48" applyFont="1" applyBorder="1" applyAlignment="1">
      <alignment horizontal="center" vertical="center"/>
    </xf>
    <xf numFmtId="0" fontId="29" fillId="0" borderId="36" xfId="43" applyFont="1" applyBorder="1" applyAlignment="1">
      <alignment horizontal="center"/>
    </xf>
    <xf numFmtId="0" fontId="6" fillId="0" borderId="57" xfId="0" applyFont="1" applyBorder="1"/>
    <xf numFmtId="164" fontId="0" fillId="0" borderId="40" xfId="47" applyNumberFormat="1" applyFont="1" applyBorder="1" applyAlignment="1">
      <alignment horizontal="center"/>
    </xf>
    <xf numFmtId="1" fontId="6" fillId="0" borderId="22" xfId="43" applyNumberFormat="1" applyBorder="1" applyAlignment="1">
      <alignment horizontal="center"/>
    </xf>
    <xf numFmtId="0" fontId="0" fillId="0" borderId="49" xfId="47" applyFont="1" applyBorder="1" applyAlignment="1">
      <alignment horizontal="center"/>
    </xf>
    <xf numFmtId="0" fontId="0" fillId="0" borderId="47" xfId="47" applyFont="1" applyBorder="1" applyAlignment="1">
      <alignment horizontal="center"/>
    </xf>
    <xf numFmtId="167" fontId="6" fillId="0" borderId="0" xfId="0" applyNumberFormat="1" applyFont="1" applyAlignment="1">
      <alignment horizontal="center" vertical="top"/>
    </xf>
    <xf numFmtId="0" fontId="25" fillId="0" borderId="91" xfId="0" applyFont="1" applyBorder="1" applyAlignment="1">
      <alignment horizontal="center" wrapText="1"/>
    </xf>
    <xf numFmtId="0" fontId="6" fillId="0" borderId="92" xfId="0" applyFont="1" applyBorder="1" applyAlignment="1">
      <alignment horizontal="center"/>
    </xf>
    <xf numFmtId="49" fontId="24" fillId="0" borderId="18" xfId="0" applyNumberFormat="1" applyFont="1" applyBorder="1" applyAlignment="1">
      <alignment horizontal="center" vertical="center"/>
    </xf>
    <xf numFmtId="49" fontId="24" fillId="0" borderId="57" xfId="43" applyNumberFormat="1" applyFont="1" applyBorder="1" applyAlignment="1">
      <alignment horizontal="center"/>
    </xf>
    <xf numFmtId="0" fontId="0" fillId="0" borderId="10" xfId="0" applyBorder="1" applyAlignment="1">
      <alignment horizontal="center"/>
    </xf>
    <xf numFmtId="0" fontId="6" fillId="42" borderId="22" xfId="0" applyFont="1" applyFill="1" applyBorder="1" applyAlignment="1">
      <alignment horizontal="center" textRotation="90"/>
    </xf>
    <xf numFmtId="0" fontId="6" fillId="0" borderId="47" xfId="43" applyBorder="1" applyAlignment="1">
      <alignment horizontal="center" vertical="center"/>
    </xf>
    <xf numFmtId="0" fontId="6" fillId="0" borderId="34" xfId="48" applyFont="1" applyBorder="1" applyAlignment="1">
      <alignment horizontal="center"/>
    </xf>
    <xf numFmtId="164" fontId="0" fillId="0" borderId="48" xfId="47" applyNumberFormat="1" applyFont="1" applyBorder="1" applyAlignment="1">
      <alignment horizontal="center"/>
    </xf>
    <xf numFmtId="164" fontId="6" fillId="0" borderId="47" xfId="48" applyNumberFormat="1" applyFont="1" applyBorder="1" applyAlignment="1">
      <alignment horizontal="center"/>
    </xf>
    <xf numFmtId="49" fontId="24" fillId="0" borderId="15" xfId="0" quotePrefix="1" applyNumberFormat="1" applyFont="1" applyBorder="1" applyAlignment="1">
      <alignment horizontal="center" vertical="top"/>
    </xf>
    <xf numFmtId="0" fontId="6" fillId="0" borderId="51" xfId="48" applyFont="1" applyBorder="1" applyAlignment="1">
      <alignment horizontal="center"/>
    </xf>
    <xf numFmtId="0" fontId="28" fillId="0" borderId="58" xfId="43" applyFont="1" applyBorder="1" applyAlignment="1">
      <alignment horizontal="center"/>
    </xf>
    <xf numFmtId="167" fontId="29" fillId="0" borderId="36" xfId="43" applyNumberFormat="1" applyFont="1" applyBorder="1" applyAlignment="1">
      <alignment horizontal="center" vertical="center" wrapText="1"/>
    </xf>
    <xf numFmtId="0" fontId="6" fillId="0" borderId="31" xfId="0" applyFont="1" applyBorder="1" applyAlignment="1">
      <alignment horizontal="center" textRotation="90"/>
    </xf>
    <xf numFmtId="49" fontId="34" fillId="0" borderId="93" xfId="43" applyNumberFormat="1" applyFont="1" applyBorder="1"/>
    <xf numFmtId="166" fontId="0" fillId="0" borderId="0" xfId="48" applyNumberFormat="1" applyFont="1" applyAlignment="1">
      <alignment horizontal="center"/>
    </xf>
    <xf numFmtId="164" fontId="6" fillId="0" borderId="74" xfId="48" applyNumberFormat="1" applyFont="1" applyBorder="1" applyAlignment="1">
      <alignment horizontal="center"/>
    </xf>
    <xf numFmtId="0" fontId="28" fillId="0" borderId="0" xfId="43" applyFont="1" applyAlignment="1">
      <alignment horizontal="center"/>
    </xf>
    <xf numFmtId="0" fontId="25" fillId="0" borderId="0" xfId="0" applyFont="1" applyAlignment="1">
      <alignment wrapText="1"/>
    </xf>
    <xf numFmtId="164" fontId="6" fillId="0" borderId="53" xfId="0" applyNumberFormat="1" applyFont="1" applyBorder="1" applyAlignment="1">
      <alignment horizontal="center" vertical="center"/>
    </xf>
    <xf numFmtId="49" fontId="6" fillId="0" borderId="15" xfId="0" applyNumberFormat="1" applyFont="1" applyBorder="1" applyAlignment="1">
      <alignment horizontal="center" vertical="top"/>
    </xf>
    <xf numFmtId="0" fontId="6" fillId="42" borderId="31" xfId="0" applyFont="1" applyFill="1" applyBorder="1" applyAlignment="1">
      <alignment horizontal="center" textRotation="90"/>
    </xf>
    <xf numFmtId="0" fontId="6" fillId="47" borderId="31" xfId="0" applyFont="1" applyFill="1" applyBorder="1" applyAlignment="1">
      <alignment horizontal="center" textRotation="90"/>
    </xf>
    <xf numFmtId="0" fontId="28" fillId="0" borderId="37" xfId="43" applyFont="1" applyBorder="1" applyAlignment="1">
      <alignment horizontal="center"/>
    </xf>
    <xf numFmtId="167" fontId="6" fillId="0" borderId="35" xfId="46" applyNumberFormat="1" applyBorder="1" applyAlignment="1">
      <alignment horizontal="center"/>
    </xf>
    <xf numFmtId="0" fontId="37" fillId="0" borderId="93" xfId="43" applyFont="1" applyBorder="1"/>
    <xf numFmtId="0" fontId="0" fillId="0" borderId="14" xfId="0" applyBorder="1"/>
    <xf numFmtId="164" fontId="0" fillId="0" borderId="55" xfId="0" applyNumberFormat="1" applyBorder="1"/>
    <xf numFmtId="164" fontId="0" fillId="0" borderId="51" xfId="0" applyNumberFormat="1" applyBorder="1"/>
    <xf numFmtId="0" fontId="28" fillId="0" borderId="12" xfId="43" applyFont="1" applyBorder="1"/>
    <xf numFmtId="0" fontId="6" fillId="0" borderId="41" xfId="0" applyFont="1" applyBorder="1" applyAlignment="1">
      <alignment horizontal="center" vertical="center"/>
    </xf>
    <xf numFmtId="164" fontId="0" fillId="42" borderId="30" xfId="46" applyNumberFormat="1" applyFont="1" applyFill="1" applyBorder="1" applyAlignment="1">
      <alignment horizontal="center"/>
    </xf>
    <xf numFmtId="49" fontId="0" fillId="0" borderId="53" xfId="47" applyNumberFormat="1" applyFont="1" applyBorder="1" applyAlignment="1">
      <alignment horizontal="center"/>
    </xf>
    <xf numFmtId="164" fontId="0" fillId="0" borderId="54" xfId="0" applyNumberFormat="1" applyBorder="1"/>
    <xf numFmtId="0" fontId="38" fillId="0" borderId="35" xfId="43" applyFont="1" applyBorder="1" applyAlignment="1">
      <alignment horizontal="center"/>
    </xf>
    <xf numFmtId="0" fontId="39" fillId="0" borderId="0" xfId="43" applyFont="1"/>
    <xf numFmtId="0" fontId="28" fillId="0" borderId="16" xfId="52" applyFont="1" applyBorder="1" applyAlignment="1">
      <alignment horizontal="center" vertical="center" wrapText="1"/>
    </xf>
    <xf numFmtId="0" fontId="6" fillId="0" borderId="96" xfId="0" applyFont="1" applyBorder="1" applyAlignment="1">
      <alignment horizontal="center"/>
    </xf>
    <xf numFmtId="0" fontId="0" fillId="0" borderId="97" xfId="0" applyBorder="1"/>
    <xf numFmtId="0" fontId="34" fillId="0" borderId="58" xfId="46" applyFont="1" applyBorder="1" applyAlignment="1">
      <alignment horizontal="left" vertical="center"/>
    </xf>
    <xf numFmtId="49" fontId="24" fillId="0" borderId="15" xfId="0" quotePrefix="1" applyNumberFormat="1" applyFont="1" applyBorder="1" applyAlignment="1">
      <alignment horizontal="center" vertical="center"/>
    </xf>
    <xf numFmtId="49" fontId="28" fillId="0" borderId="0" xfId="0" applyNumberFormat="1" applyFont="1" applyAlignment="1">
      <alignment vertical="top"/>
    </xf>
    <xf numFmtId="0" fontId="6" fillId="0" borderId="20" xfId="0" quotePrefix="1" applyFont="1" applyBorder="1" applyAlignment="1">
      <alignment horizontal="left" vertical="center"/>
    </xf>
    <xf numFmtId="49" fontId="0" fillId="0" borderId="51" xfId="47" applyNumberFormat="1" applyFont="1" applyBorder="1" applyAlignment="1">
      <alignment horizontal="center"/>
    </xf>
    <xf numFmtId="49" fontId="6" fillId="0" borderId="20" xfId="0" applyNumberFormat="1" applyFont="1" applyBorder="1" applyAlignment="1">
      <alignment horizontal="center" vertical="top"/>
    </xf>
    <xf numFmtId="0" fontId="6" fillId="0" borderId="20" xfId="0" applyFont="1" applyBorder="1"/>
    <xf numFmtId="49" fontId="6" fillId="0" borderId="58" xfId="0" applyNumberFormat="1" applyFont="1" applyBorder="1" applyAlignment="1">
      <alignment vertical="top"/>
    </xf>
    <xf numFmtId="167" fontId="24" fillId="0" borderId="18" xfId="0" quotePrefix="1" applyNumberFormat="1" applyFont="1" applyBorder="1" applyAlignment="1">
      <alignment horizontal="center" vertical="top"/>
    </xf>
    <xf numFmtId="167" fontId="29" fillId="0" borderId="36" xfId="46" applyNumberFormat="1" applyFont="1" applyBorder="1" applyAlignment="1">
      <alignment horizontal="center" vertical="center" wrapText="1"/>
    </xf>
    <xf numFmtId="2" fontId="6" fillId="0" borderId="12" xfId="43" applyNumberFormat="1" applyBorder="1" applyAlignment="1">
      <alignment horizontal="center"/>
    </xf>
    <xf numFmtId="0" fontId="6" fillId="38" borderId="37" xfId="0" applyFont="1" applyFill="1" applyBorder="1" applyAlignment="1">
      <alignment horizontal="center" textRotation="90"/>
    </xf>
    <xf numFmtId="14" fontId="6" fillId="0" borderId="12" xfId="46" applyNumberFormat="1" applyBorder="1" applyAlignment="1">
      <alignment horizontal="center"/>
    </xf>
    <xf numFmtId="0" fontId="28" fillId="0" borderId="47" xfId="43" applyFont="1" applyBorder="1" applyAlignment="1">
      <alignment horizontal="center"/>
    </xf>
    <xf numFmtId="164" fontId="0" fillId="0" borderId="79" xfId="46" applyNumberFormat="1" applyFont="1" applyBorder="1" applyAlignment="1">
      <alignment horizontal="center"/>
    </xf>
    <xf numFmtId="0" fontId="6" fillId="0" borderId="51" xfId="43" applyBorder="1" applyAlignment="1">
      <alignment horizontal="left"/>
    </xf>
    <xf numFmtId="0" fontId="28" fillId="0" borderId="66" xfId="0" applyFont="1" applyBorder="1" applyAlignment="1">
      <alignment horizontal="center" vertical="center" wrapText="1"/>
    </xf>
    <xf numFmtId="167" fontId="6" fillId="0" borderId="17" xfId="0" applyNumberFormat="1" applyFont="1" applyBorder="1" applyAlignment="1">
      <alignment horizontal="center"/>
    </xf>
    <xf numFmtId="0" fontId="6" fillId="15" borderId="31" xfId="0" applyFont="1" applyFill="1" applyBorder="1" applyAlignment="1">
      <alignment horizontal="center" textRotation="90"/>
    </xf>
    <xf numFmtId="0" fontId="28" fillId="0" borderId="36" xfId="46" applyFont="1" applyBorder="1" applyAlignment="1">
      <alignment horizontal="center" vertical="center" wrapText="1"/>
    </xf>
    <xf numFmtId="164" fontId="0" fillId="0" borderId="89" xfId="46" applyNumberFormat="1" applyFont="1" applyBorder="1" applyAlignment="1">
      <alignment horizontal="center"/>
    </xf>
    <xf numFmtId="167" fontId="24" fillId="0" borderId="36" xfId="0" applyNumberFormat="1" applyFont="1" applyBorder="1" applyAlignment="1">
      <alignment horizontal="center" vertical="top"/>
    </xf>
    <xf numFmtId="0" fontId="6" fillId="0" borderId="23" xfId="48" applyFont="1" applyBorder="1" applyAlignment="1">
      <alignment horizontal="center"/>
    </xf>
    <xf numFmtId="0" fontId="0" fillId="0" borderId="98" xfId="0" applyBorder="1"/>
    <xf numFmtId="0" fontId="6" fillId="0" borderId="60" xfId="0" applyFont="1" applyBorder="1"/>
    <xf numFmtId="164" fontId="6" fillId="0" borderId="48" xfId="0" applyNumberFormat="1" applyFont="1" applyBorder="1" applyAlignment="1">
      <alignment horizontal="center" vertical="center"/>
    </xf>
    <xf numFmtId="164" fontId="0" fillId="0" borderId="40" xfId="0" applyNumberFormat="1" applyBorder="1" applyAlignment="1">
      <alignment horizontal="center"/>
    </xf>
    <xf numFmtId="0" fontId="0" fillId="0" borderId="99" xfId="0" applyBorder="1"/>
    <xf numFmtId="0" fontId="28" fillId="0" borderId="58" xfId="46" applyFont="1" applyBorder="1" applyAlignment="1">
      <alignment horizontal="center"/>
    </xf>
    <xf numFmtId="164" fontId="28" fillId="0" borderId="12" xfId="43" applyNumberFormat="1" applyFont="1" applyBorder="1" applyAlignment="1">
      <alignment horizontal="left"/>
    </xf>
    <xf numFmtId="0" fontId="28" fillId="0" borderId="0" xfId="43" applyFont="1" applyAlignment="1">
      <alignment horizontal="center" wrapText="1"/>
    </xf>
    <xf numFmtId="0" fontId="6" fillId="39" borderId="12" xfId="0" applyFont="1" applyFill="1" applyBorder="1"/>
    <xf numFmtId="49" fontId="6" fillId="0" borderId="58" xfId="43" applyNumberFormat="1" applyBorder="1"/>
    <xf numFmtId="1" fontId="6" fillId="0" borderId="31" xfId="43" applyNumberFormat="1" applyBorder="1" applyAlignment="1">
      <alignment horizontal="center"/>
    </xf>
    <xf numFmtId="0" fontId="0" fillId="0" borderId="13" xfId="47" applyFont="1" applyBorder="1" applyAlignment="1">
      <alignment horizontal="center"/>
    </xf>
    <xf numFmtId="164" fontId="28" fillId="0" borderId="0" xfId="43" applyNumberFormat="1" applyFont="1" applyAlignment="1">
      <alignment horizontal="center"/>
    </xf>
    <xf numFmtId="0" fontId="6" fillId="0" borderId="38" xfId="43" applyBorder="1" applyAlignment="1">
      <alignment horizontal="center"/>
    </xf>
    <xf numFmtId="0" fontId="0" fillId="42" borderId="32" xfId="0" applyFill="1" applyBorder="1"/>
    <xf numFmtId="0" fontId="40" fillId="0" borderId="35" xfId="43" applyFont="1" applyBorder="1"/>
    <xf numFmtId="0" fontId="6" fillId="15" borderId="66" xfId="0" applyFont="1" applyFill="1" applyBorder="1" applyAlignment="1">
      <alignment horizontal="center" textRotation="90"/>
    </xf>
    <xf numFmtId="0" fontId="28" fillId="0" borderId="62" xfId="46" applyFont="1" applyBorder="1" applyAlignment="1">
      <alignment horizontal="center" wrapText="1"/>
    </xf>
    <xf numFmtId="0" fontId="6" fillId="0" borderId="34" xfId="46" applyBorder="1" applyAlignment="1">
      <alignment horizontal="center"/>
    </xf>
    <xf numFmtId="0" fontId="28" fillId="0" borderId="38" xfId="43" applyFont="1" applyBorder="1" applyAlignment="1">
      <alignment horizontal="center"/>
    </xf>
    <xf numFmtId="0" fontId="0" fillId="0" borderId="73" xfId="46" applyFont="1" applyBorder="1" applyAlignment="1">
      <alignment horizontal="left"/>
    </xf>
    <xf numFmtId="49" fontId="6" fillId="0" borderId="50" xfId="43" applyNumberFormat="1" applyBorder="1" applyAlignment="1">
      <alignment horizontal="center"/>
    </xf>
    <xf numFmtId="0" fontId="6" fillId="0" borderId="98" xfId="45" applyBorder="1" applyProtection="1">
      <protection locked="0"/>
    </xf>
    <xf numFmtId="164" fontId="0" fillId="0" borderId="100" xfId="0" applyNumberFormat="1" applyBorder="1"/>
    <xf numFmtId="0" fontId="6" fillId="0" borderId="0" xfId="43" applyAlignment="1">
      <alignment wrapText="1"/>
    </xf>
    <xf numFmtId="165" fontId="6" fillId="0" borderId="0" xfId="0" applyNumberFormat="1" applyFont="1" applyAlignment="1">
      <alignment horizontal="center"/>
    </xf>
    <xf numFmtId="0" fontId="6" fillId="0" borderId="48" xfId="0" applyFont="1" applyBorder="1" applyAlignment="1">
      <alignment horizontal="center" vertical="center"/>
    </xf>
    <xf numFmtId="0" fontId="28" fillId="0" borderId="36" xfId="46" applyFont="1" applyBorder="1" applyAlignment="1">
      <alignment horizontal="center"/>
    </xf>
    <xf numFmtId="164" fontId="6" fillId="0" borderId="40" xfId="0" applyNumberFormat="1" applyFont="1" applyBorder="1" applyAlignment="1">
      <alignment horizontal="center" vertical="center"/>
    </xf>
    <xf numFmtId="0" fontId="6" fillId="0" borderId="101" xfId="0" applyFont="1" applyBorder="1" applyAlignment="1">
      <alignment horizontal="center"/>
    </xf>
    <xf numFmtId="2" fontId="6" fillId="0" borderId="25" xfId="48" applyNumberFormat="1" applyFont="1" applyBorder="1" applyAlignment="1">
      <alignment horizontal="center" vertical="center"/>
    </xf>
    <xf numFmtId="49" fontId="24" fillId="0" borderId="62" xfId="0" applyNumberFormat="1" applyFont="1" applyBorder="1" applyAlignment="1">
      <alignment horizontal="center" vertical="top"/>
    </xf>
    <xf numFmtId="49" fontId="6" fillId="0" borderId="28" xfId="43" applyNumberFormat="1" applyBorder="1" applyAlignment="1">
      <alignment horizontal="center" wrapText="1"/>
    </xf>
    <xf numFmtId="2" fontId="6" fillId="0" borderId="19" xfId="48" applyNumberFormat="1" applyFont="1" applyBorder="1" applyAlignment="1">
      <alignment horizontal="center" vertical="center"/>
    </xf>
    <xf numFmtId="167" fontId="6" fillId="0" borderId="0" xfId="46" applyNumberFormat="1" applyAlignment="1">
      <alignment horizontal="center"/>
    </xf>
    <xf numFmtId="0" fontId="6" fillId="0" borderId="38" xfId="0" applyFont="1" applyBorder="1"/>
    <xf numFmtId="0" fontId="6" fillId="0" borderId="73" xfId="45" applyBorder="1" applyProtection="1">
      <protection locked="0"/>
    </xf>
    <xf numFmtId="0" fontId="6" fillId="0" borderId="94" xfId="46" applyBorder="1"/>
    <xf numFmtId="0" fontId="6" fillId="0" borderId="54" xfId="48" applyFont="1" applyBorder="1" applyAlignment="1">
      <alignment horizontal="center" vertical="center"/>
    </xf>
    <xf numFmtId="164" fontId="6" fillId="0" borderId="39" xfId="0" applyNumberFormat="1" applyFont="1" applyBorder="1" applyAlignment="1">
      <alignment horizontal="center" vertical="center"/>
    </xf>
    <xf numFmtId="0" fontId="6" fillId="0" borderId="34" xfId="43" applyBorder="1" applyAlignment="1">
      <alignment horizontal="center"/>
    </xf>
    <xf numFmtId="49" fontId="29" fillId="0" borderId="38" xfId="46" applyNumberFormat="1" applyFont="1" applyBorder="1" applyAlignment="1">
      <alignment horizontal="center" vertical="top" wrapText="1"/>
    </xf>
    <xf numFmtId="164" fontId="0" fillId="0" borderId="40" xfId="0" applyNumberFormat="1" applyBorder="1"/>
    <xf numFmtId="167" fontId="24" fillId="0" borderId="57" xfId="0" applyNumberFormat="1" applyFont="1" applyBorder="1" applyAlignment="1">
      <alignment horizontal="center" vertical="top"/>
    </xf>
    <xf numFmtId="16" fontId="6" fillId="0" borderId="15" xfId="0" quotePrefix="1" applyNumberFormat="1" applyFont="1" applyBorder="1" applyAlignment="1">
      <alignment horizontal="left" vertical="center"/>
    </xf>
    <xf numFmtId="164" fontId="0" fillId="0" borderId="10" xfId="0" applyNumberFormat="1" applyBorder="1"/>
    <xf numFmtId="0" fontId="28" fillId="0" borderId="0" xfId="46" applyFont="1" applyAlignment="1">
      <alignment horizontal="center"/>
    </xf>
    <xf numFmtId="0" fontId="6" fillId="0" borderId="15" xfId="0" applyFont="1" applyBorder="1"/>
    <xf numFmtId="0" fontId="6" fillId="0" borderId="37" xfId="0" applyFont="1" applyBorder="1" applyAlignment="1">
      <alignment horizontal="center" textRotation="90"/>
    </xf>
    <xf numFmtId="1" fontId="6" fillId="0" borderId="40" xfId="43" applyNumberFormat="1" applyBorder="1" applyAlignment="1">
      <alignment horizontal="center"/>
    </xf>
    <xf numFmtId="164" fontId="0" fillId="0" borderId="30" xfId="0" applyNumberFormat="1" applyBorder="1"/>
    <xf numFmtId="0" fontId="6" fillId="0" borderId="46" xfId="43" applyBorder="1" applyAlignment="1">
      <alignment horizontal="center" vertical="center"/>
    </xf>
    <xf numFmtId="0" fontId="28" fillId="0" borderId="66" xfId="52" applyFont="1" applyBorder="1" applyAlignment="1">
      <alignment horizontal="center" wrapText="1"/>
    </xf>
    <xf numFmtId="0" fontId="6" fillId="0" borderId="0" xfId="46" applyAlignment="1">
      <alignment horizontal="left"/>
    </xf>
    <xf numFmtId="164" fontId="0" fillId="0" borderId="12" xfId="0" applyNumberFormat="1" applyBorder="1"/>
    <xf numFmtId="164" fontId="30" fillId="0" borderId="0" xfId="43" applyNumberFormat="1" applyFont="1"/>
    <xf numFmtId="49" fontId="0" fillId="0" borderId="54" xfId="47" applyNumberFormat="1" applyFont="1" applyBorder="1" applyAlignment="1">
      <alignment horizontal="center"/>
    </xf>
    <xf numFmtId="0" fontId="29" fillId="0" borderId="57" xfId="43" applyFont="1" applyBorder="1" applyAlignment="1">
      <alignment horizontal="center"/>
    </xf>
    <xf numFmtId="0" fontId="41" fillId="0" borderId="0" xfId="0" applyFont="1" applyAlignment="1">
      <alignment vertical="center"/>
    </xf>
    <xf numFmtId="0" fontId="0" fillId="0" borderId="12" xfId="50" applyFont="1" applyBorder="1" applyAlignment="1">
      <alignment horizontal="left"/>
    </xf>
    <xf numFmtId="167" fontId="6" fillId="0" borderId="20" xfId="0" applyNumberFormat="1" applyFont="1" applyBorder="1" applyAlignment="1">
      <alignment horizontal="center" vertical="center"/>
    </xf>
    <xf numFmtId="49" fontId="24" fillId="0" borderId="57" xfId="0" applyNumberFormat="1" applyFont="1" applyBorder="1" applyAlignment="1">
      <alignment horizontal="left" vertical="top"/>
    </xf>
    <xf numFmtId="0" fontId="26" fillId="0" borderId="16" xfId="46" applyFont="1" applyBorder="1" applyAlignment="1">
      <alignment horizontal="center"/>
    </xf>
    <xf numFmtId="0" fontId="6" fillId="0" borderId="18" xfId="0" applyFont="1" applyBorder="1" applyAlignment="1">
      <alignment horizontal="center" vertical="center"/>
    </xf>
    <xf numFmtId="167" fontId="24" fillId="0" borderId="27" xfId="0" applyNumberFormat="1" applyFont="1" applyBorder="1" applyAlignment="1">
      <alignment horizontal="center" vertical="center"/>
    </xf>
    <xf numFmtId="164" fontId="0" fillId="0" borderId="11" xfId="0" applyNumberFormat="1" applyBorder="1" applyAlignment="1">
      <alignment horizontal="center"/>
    </xf>
    <xf numFmtId="0" fontId="28" fillId="0" borderId="31" xfId="46" applyFont="1" applyBorder="1"/>
    <xf numFmtId="0" fontId="6" fillId="0" borderId="102" xfId="43" applyBorder="1" applyAlignment="1">
      <alignment horizontal="center"/>
    </xf>
    <xf numFmtId="49" fontId="6" fillId="0" borderId="27" xfId="0" applyNumberFormat="1" applyFont="1" applyBorder="1" applyAlignment="1">
      <alignment horizontal="center"/>
    </xf>
    <xf numFmtId="164" fontId="6" fillId="0" borderId="76" xfId="43" applyNumberFormat="1" applyBorder="1" applyAlignment="1">
      <alignment horizontal="center"/>
    </xf>
    <xf numFmtId="1" fontId="6" fillId="0" borderId="37" xfId="43" applyNumberFormat="1" applyBorder="1" applyAlignment="1">
      <alignment horizontal="center"/>
    </xf>
    <xf numFmtId="49" fontId="34" fillId="0" borderId="62" xfId="0" applyNumberFormat="1" applyFont="1" applyBorder="1" applyAlignment="1">
      <alignment horizontal="left" vertical="center"/>
    </xf>
    <xf numFmtId="0" fontId="6" fillId="0" borderId="23" xfId="43" applyBorder="1" applyAlignment="1">
      <alignment horizontal="left"/>
    </xf>
    <xf numFmtId="49" fontId="28" fillId="0" borderId="36" xfId="46" applyNumberFormat="1" applyFont="1" applyBorder="1" applyAlignment="1">
      <alignment horizontal="center" vertical="center" wrapText="1"/>
    </xf>
    <xf numFmtId="0" fontId="0" fillId="42" borderId="71" xfId="46" applyFont="1" applyFill="1" applyBorder="1" applyAlignment="1">
      <alignment horizontal="left"/>
    </xf>
    <xf numFmtId="164" fontId="0" fillId="0" borderId="103" xfId="0" applyNumberFormat="1" applyBorder="1"/>
    <xf numFmtId="164" fontId="6" fillId="0" borderId="23" xfId="48" applyNumberFormat="1" applyFont="1" applyBorder="1" applyAlignment="1">
      <alignment horizontal="center"/>
    </xf>
    <xf numFmtId="167" fontId="28" fillId="0" borderId="16" xfId="52" applyNumberFormat="1" applyFont="1" applyBorder="1" applyAlignment="1">
      <alignment horizontal="center"/>
    </xf>
    <xf numFmtId="164" fontId="6" fillId="0" borderId="12" xfId="51" applyNumberFormat="1" applyBorder="1" applyAlignment="1">
      <alignment horizontal="left"/>
    </xf>
    <xf numFmtId="0" fontId="0" fillId="0" borderId="28" xfId="0" applyBorder="1"/>
    <xf numFmtId="49" fontId="34" fillId="0" borderId="93" xfId="0" applyNumberFormat="1" applyFont="1" applyBorder="1" applyAlignment="1">
      <alignment horizontal="left" vertical="center"/>
    </xf>
    <xf numFmtId="49" fontId="6" fillId="0" borderId="56" xfId="43" applyNumberFormat="1" applyBorder="1" applyAlignment="1">
      <alignment horizontal="center"/>
    </xf>
    <xf numFmtId="0" fontId="0" fillId="0" borderId="11" xfId="47" applyFont="1" applyBorder="1" applyAlignment="1">
      <alignment horizontal="center"/>
    </xf>
    <xf numFmtId="11" fontId="0" fillId="0" borderId="10" xfId="47" applyNumberFormat="1" applyFont="1" applyBorder="1" applyAlignment="1">
      <alignment horizontal="center"/>
    </xf>
    <xf numFmtId="0" fontId="37" fillId="0" borderId="35" xfId="46" applyFont="1" applyBorder="1" applyAlignment="1">
      <alignment horizontal="left"/>
    </xf>
    <xf numFmtId="0" fontId="0" fillId="39" borderId="12" xfId="0" applyFill="1" applyBorder="1"/>
    <xf numFmtId="0" fontId="28" fillId="0" borderId="58" xfId="43" applyFont="1" applyBorder="1" applyAlignment="1">
      <alignment horizontal="center" wrapText="1"/>
    </xf>
    <xf numFmtId="0" fontId="6" fillId="0" borderId="0" xfId="43" applyAlignment="1">
      <alignment horizontal="right"/>
    </xf>
    <xf numFmtId="0" fontId="28" fillId="0" borderId="0" xfId="46" applyFont="1" applyAlignment="1">
      <alignment horizontal="center" wrapText="1"/>
    </xf>
    <xf numFmtId="0" fontId="6" fillId="0" borderId="16" xfId="45" applyBorder="1" applyProtection="1">
      <protection locked="0"/>
    </xf>
    <xf numFmtId="164" fontId="24" fillId="0" borderId="18" xfId="43" quotePrefix="1" applyNumberFormat="1" applyFont="1" applyBorder="1" applyAlignment="1">
      <alignment horizontal="center"/>
    </xf>
    <xf numFmtId="0" fontId="6" fillId="0" borderId="102" xfId="0" applyFont="1" applyBorder="1" applyAlignment="1">
      <alignment horizontal="center"/>
    </xf>
    <xf numFmtId="164" fontId="0" fillId="0" borderId="46" xfId="0" applyNumberFormat="1" applyBorder="1" applyAlignment="1">
      <alignment horizontal="center"/>
    </xf>
    <xf numFmtId="0" fontId="6" fillId="15" borderId="37" xfId="0" applyFont="1" applyFill="1" applyBorder="1" applyAlignment="1">
      <alignment horizontal="center" textRotation="90"/>
    </xf>
    <xf numFmtId="164" fontId="0" fillId="0" borderId="80" xfId="46" applyNumberFormat="1" applyFont="1" applyBorder="1" applyAlignment="1">
      <alignment horizontal="center"/>
    </xf>
    <xf numFmtId="0" fontId="28" fillId="0" borderId="64" xfId="48" applyFont="1" applyBorder="1" applyAlignment="1">
      <alignment horizontal="center" wrapText="1"/>
    </xf>
    <xf numFmtId="49" fontId="29" fillId="0" borderId="38" xfId="43" applyNumberFormat="1" applyFont="1" applyBorder="1" applyAlignment="1">
      <alignment horizontal="center" vertical="top" wrapText="1"/>
    </xf>
    <xf numFmtId="164" fontId="24" fillId="0" borderId="17" xfId="43" quotePrefix="1" applyNumberFormat="1" applyFont="1" applyBorder="1" applyAlignment="1">
      <alignment horizontal="center"/>
    </xf>
    <xf numFmtId="49" fontId="28" fillId="0" borderId="36" xfId="43" applyNumberFormat="1" applyFont="1" applyBorder="1" applyAlignment="1">
      <alignment horizontal="center" vertical="center" wrapText="1"/>
    </xf>
    <xf numFmtId="0" fontId="6" fillId="0" borderId="60" xfId="43" applyBorder="1"/>
    <xf numFmtId="0" fontId="6" fillId="0" borderId="16" xfId="46" applyBorder="1" applyAlignment="1">
      <alignment horizontal="center" vertical="center" textRotation="90" wrapText="1"/>
    </xf>
    <xf numFmtId="0" fontId="28" fillId="0" borderId="37" xfId="46" applyFont="1" applyBorder="1"/>
    <xf numFmtId="0" fontId="6" fillId="0" borderId="12" xfId="51" applyBorder="1"/>
    <xf numFmtId="0" fontId="28" fillId="0" borderId="68" xfId="48" applyFont="1" applyBorder="1" applyAlignment="1">
      <alignment horizontal="center" vertical="center" wrapText="1"/>
    </xf>
    <xf numFmtId="2" fontId="6" fillId="0" borderId="24" xfId="48" applyNumberFormat="1" applyFont="1" applyBorder="1" applyAlignment="1">
      <alignment horizontal="center" vertical="center"/>
    </xf>
    <xf numFmtId="49" fontId="24" fillId="0" borderId="57" xfId="0" applyNumberFormat="1" applyFont="1" applyBorder="1" applyAlignment="1">
      <alignment horizontal="center" vertical="center"/>
    </xf>
    <xf numFmtId="0" fontId="40" fillId="0" borderId="35" xfId="46" applyFont="1" applyBorder="1"/>
    <xf numFmtId="0" fontId="0" fillId="0" borderId="20" xfId="0" applyBorder="1" applyAlignment="1">
      <alignment horizontal="center"/>
    </xf>
    <xf numFmtId="0" fontId="6" fillId="0" borderId="58" xfId="0" applyFont="1" applyBorder="1"/>
    <xf numFmtId="0" fontId="28" fillId="0" borderId="75" xfId="43" applyFont="1" applyBorder="1" applyAlignment="1">
      <alignment horizontal="center"/>
    </xf>
    <xf numFmtId="49" fontId="24" fillId="0" borderId="36" xfId="43" applyNumberFormat="1" applyFont="1" applyBorder="1"/>
    <xf numFmtId="0" fontId="6" fillId="0" borderId="57" xfId="0" applyFont="1" applyBorder="1" applyAlignment="1">
      <alignment horizontal="center" vertical="center"/>
    </xf>
    <xf numFmtId="0" fontId="6" fillId="37" borderId="66" xfId="0" applyFont="1" applyFill="1" applyBorder="1" applyAlignment="1">
      <alignment horizontal="center" textRotation="90"/>
    </xf>
    <xf numFmtId="0" fontId="28" fillId="0" borderId="62" xfId="0" applyFont="1" applyBorder="1" applyAlignment="1">
      <alignment horizontal="center"/>
    </xf>
    <xf numFmtId="0" fontId="28" fillId="0" borderId="38" xfId="46" applyFont="1" applyBorder="1" applyAlignment="1">
      <alignment horizontal="center"/>
    </xf>
    <xf numFmtId="49" fontId="24" fillId="0" borderId="60" xfId="0" applyNumberFormat="1" applyFont="1" applyBorder="1" applyAlignment="1">
      <alignment horizontal="left" vertical="center"/>
    </xf>
    <xf numFmtId="0" fontId="6" fillId="0" borderId="0" xfId="46" applyAlignment="1">
      <alignment wrapText="1"/>
    </xf>
    <xf numFmtId="0" fontId="28" fillId="0" borderId="36" xfId="43" applyFont="1" applyBorder="1" applyAlignment="1">
      <alignment horizontal="center"/>
    </xf>
    <xf numFmtId="4" fontId="6" fillId="0" borderId="15" xfId="43" applyNumberFormat="1" applyBorder="1" applyAlignment="1">
      <alignment horizontal="center"/>
    </xf>
    <xf numFmtId="0" fontId="38" fillId="0" borderId="35" xfId="46" applyFont="1" applyBorder="1" applyAlignment="1">
      <alignment horizontal="center"/>
    </xf>
    <xf numFmtId="164" fontId="6" fillId="0" borderId="65" xfId="48" applyNumberFormat="1" applyFont="1" applyBorder="1" applyAlignment="1">
      <alignment horizontal="center"/>
    </xf>
    <xf numFmtId="0" fontId="6" fillId="42" borderId="66" xfId="0" applyFont="1" applyFill="1" applyBorder="1" applyAlignment="1">
      <alignment horizontal="center" textRotation="90"/>
    </xf>
    <xf numFmtId="164" fontId="0" fillId="47" borderId="30" xfId="46" applyNumberFormat="1" applyFont="1" applyFill="1" applyBorder="1" applyAlignment="1">
      <alignment horizontal="center"/>
    </xf>
    <xf numFmtId="0" fontId="6" fillId="0" borderId="104" xfId="45" applyBorder="1" applyProtection="1">
      <protection locked="0"/>
    </xf>
    <xf numFmtId="0" fontId="6" fillId="0" borderId="52" xfId="48" applyFont="1" applyBorder="1" applyAlignment="1">
      <alignment horizontal="center" vertical="center"/>
    </xf>
    <xf numFmtId="0" fontId="6" fillId="46" borderId="31" xfId="0" applyFont="1" applyFill="1" applyBorder="1" applyAlignment="1">
      <alignment horizontal="center" textRotation="90"/>
    </xf>
    <xf numFmtId="164" fontId="6" fillId="0" borderId="63" xfId="48" applyNumberFormat="1" applyFont="1" applyBorder="1" applyAlignment="1">
      <alignment horizontal="center"/>
    </xf>
    <xf numFmtId="164" fontId="0" fillId="42" borderId="81" xfId="46" applyNumberFormat="1" applyFont="1" applyFill="1" applyBorder="1" applyAlignment="1">
      <alignment horizontal="center"/>
    </xf>
    <xf numFmtId="0" fontId="0" fillId="0" borderId="12" xfId="50" applyFont="1" applyBorder="1"/>
    <xf numFmtId="164" fontId="6" fillId="0" borderId="52" xfId="43" applyNumberFormat="1" applyBorder="1" applyAlignment="1">
      <alignment horizontal="center" vertical="center"/>
    </xf>
    <xf numFmtId="0" fontId="28" fillId="0" borderId="29" xfId="48" applyFont="1" applyBorder="1" applyAlignment="1">
      <alignment horizontal="center" wrapText="1"/>
    </xf>
    <xf numFmtId="0" fontId="29" fillId="0" borderId="58" xfId="0" applyFont="1" applyBorder="1" applyAlignment="1">
      <alignment horizontal="center" vertical="top"/>
    </xf>
    <xf numFmtId="49" fontId="6" fillId="0" borderId="36" xfId="43" applyNumberFormat="1" applyBorder="1" applyAlignment="1">
      <alignment horizontal="center"/>
    </xf>
    <xf numFmtId="0" fontId="6" fillId="47" borderId="37" xfId="0" applyFont="1" applyFill="1" applyBorder="1" applyAlignment="1">
      <alignment horizontal="center" textRotation="90"/>
    </xf>
    <xf numFmtId="0" fontId="6" fillId="0" borderId="47" xfId="48" applyFont="1" applyBorder="1" applyAlignment="1">
      <alignment horizontal="center"/>
    </xf>
    <xf numFmtId="0" fontId="28" fillId="0" borderId="12" xfId="43" applyFont="1" applyBorder="1" applyAlignment="1">
      <alignment horizontal="center"/>
    </xf>
    <xf numFmtId="0" fontId="6" fillId="0" borderId="40" xfId="43" applyBorder="1" applyAlignment="1">
      <alignment horizontal="center"/>
    </xf>
    <xf numFmtId="0" fontId="6" fillId="0" borderId="0" xfId="46" applyAlignment="1">
      <alignment horizontal="center" vertical="center" textRotation="90" wrapText="1"/>
    </xf>
    <xf numFmtId="0" fontId="0" fillId="0" borderId="48" xfId="0" applyBorder="1" applyAlignment="1">
      <alignment horizontal="center"/>
    </xf>
    <xf numFmtId="0" fontId="28" fillId="0" borderId="62" xfId="43" applyFont="1" applyBorder="1" applyAlignment="1">
      <alignment horizontal="center" wrapText="1"/>
    </xf>
    <xf numFmtId="0" fontId="6" fillId="0" borderId="44" xfId="43" applyBorder="1" applyAlignment="1">
      <alignment horizontal="center"/>
    </xf>
    <xf numFmtId="0" fontId="6" fillId="0" borderId="45" xfId="48" applyFont="1" applyBorder="1" applyAlignment="1">
      <alignment horizontal="center"/>
    </xf>
    <xf numFmtId="164" fontId="0" fillId="0" borderId="41" xfId="0" applyNumberFormat="1" applyBorder="1"/>
    <xf numFmtId="0" fontId="0" fillId="0" borderId="103" xfId="0" applyBorder="1"/>
    <xf numFmtId="0" fontId="6" fillId="46" borderId="37" xfId="0" applyFont="1" applyFill="1" applyBorder="1" applyAlignment="1">
      <alignment horizontal="center" textRotation="90"/>
    </xf>
    <xf numFmtId="0" fontId="0" fillId="0" borderId="30" xfId="47" applyFont="1" applyBorder="1" applyAlignment="1">
      <alignment horizontal="center"/>
    </xf>
    <xf numFmtId="167" fontId="6" fillId="0" borderId="13" xfId="0" applyNumberFormat="1" applyFont="1" applyBorder="1" applyAlignment="1">
      <alignment horizontal="center" vertical="center"/>
    </xf>
    <xf numFmtId="167" fontId="24" fillId="0" borderId="15" xfId="0" applyNumberFormat="1" applyFont="1" applyBorder="1" applyAlignment="1">
      <alignment horizontal="center" vertical="center"/>
    </xf>
    <xf numFmtId="49" fontId="6" fillId="0" borderId="20" xfId="0" applyNumberFormat="1" applyFont="1" applyBorder="1" applyAlignment="1">
      <alignment horizontal="center"/>
    </xf>
    <xf numFmtId="0" fontId="6" fillId="0" borderId="78" xfId="45" applyBorder="1" applyProtection="1">
      <protection locked="0"/>
    </xf>
    <xf numFmtId="0" fontId="28" fillId="0" borderId="37" xfId="0" applyFont="1" applyBorder="1" applyAlignment="1">
      <alignment horizontal="center" vertical="center" wrapText="1"/>
    </xf>
    <xf numFmtId="0" fontId="6" fillId="0" borderId="54" xfId="48" applyFont="1" applyBorder="1" applyAlignment="1">
      <alignment horizontal="center"/>
    </xf>
    <xf numFmtId="0" fontId="0" fillId="0" borderId="55" xfId="0" applyBorder="1"/>
    <xf numFmtId="0" fontId="6" fillId="0" borderId="70" xfId="0" applyFont="1" applyBorder="1" applyAlignment="1">
      <alignment horizontal="center" vertical="center"/>
    </xf>
    <xf numFmtId="0" fontId="0" fillId="0" borderId="30" xfId="0" applyBorder="1"/>
    <xf numFmtId="0" fontId="6" fillId="0" borderId="58" xfId="43" applyBorder="1"/>
    <xf numFmtId="0" fontId="6" fillId="38" borderId="31" xfId="0" applyFont="1" applyFill="1" applyBorder="1" applyAlignment="1">
      <alignment horizontal="center" textRotation="90"/>
    </xf>
    <xf numFmtId="49" fontId="24" fillId="0" borderId="15" xfId="0" applyNumberFormat="1" applyFont="1" applyBorder="1"/>
    <xf numFmtId="0" fontId="28" fillId="0" borderId="58" xfId="46" applyFont="1" applyBorder="1" applyAlignment="1">
      <alignment horizontal="center" wrapText="1"/>
    </xf>
    <xf numFmtId="0" fontId="28" fillId="0" borderId="86" xfId="48" applyFont="1" applyBorder="1" applyAlignment="1">
      <alignment horizontal="center" vertical="center" wrapText="1"/>
    </xf>
    <xf numFmtId="0" fontId="19" fillId="0" borderId="0" xfId="52"/>
    <xf numFmtId="0" fontId="6" fillId="0" borderId="23" xfId="43" applyBorder="1" applyAlignment="1">
      <alignment horizontal="center"/>
    </xf>
    <xf numFmtId="0" fontId="0" fillId="42" borderId="81" xfId="46" applyFont="1" applyFill="1" applyBorder="1" applyAlignment="1">
      <alignment horizontal="left"/>
    </xf>
    <xf numFmtId="0" fontId="28" fillId="0" borderId="62" xfId="46" applyFont="1" applyBorder="1" applyAlignment="1">
      <alignment horizontal="center"/>
    </xf>
    <xf numFmtId="0" fontId="0" fillId="47" borderId="71" xfId="46" applyFont="1" applyFill="1" applyBorder="1" applyAlignment="1">
      <alignment horizontal="left"/>
    </xf>
    <xf numFmtId="0" fontId="6" fillId="0" borderId="52" xfId="48" applyFont="1" applyBorder="1" applyAlignment="1">
      <alignment horizontal="center"/>
    </xf>
    <xf numFmtId="0" fontId="6" fillId="0" borderId="17" xfId="0" applyFont="1" applyBorder="1" applyAlignment="1">
      <alignment horizontal="left"/>
    </xf>
    <xf numFmtId="0" fontId="6" fillId="37" borderId="31" xfId="0" applyFont="1" applyFill="1" applyBorder="1" applyAlignment="1">
      <alignment horizontal="center" textRotation="90"/>
    </xf>
    <xf numFmtId="164" fontId="0" fillId="47" borderId="55" xfId="46" applyNumberFormat="1" applyFont="1" applyFill="1" applyBorder="1" applyAlignment="1">
      <alignment horizontal="center"/>
    </xf>
    <xf numFmtId="169" fontId="6" fillId="0" borderId="12" xfId="43" applyNumberFormat="1" applyBorder="1" applyAlignment="1">
      <alignment horizontal="center"/>
    </xf>
    <xf numFmtId="49" fontId="6" fillId="0" borderId="27" xfId="43" applyNumberFormat="1" applyBorder="1" applyAlignment="1">
      <alignment horizontal="center"/>
    </xf>
    <xf numFmtId="0" fontId="6" fillId="47" borderId="22" xfId="0" applyFont="1" applyFill="1" applyBorder="1" applyAlignment="1">
      <alignment horizontal="center" textRotation="90"/>
    </xf>
    <xf numFmtId="164" fontId="24" fillId="0" borderId="20" xfId="43" quotePrefix="1" applyNumberFormat="1" applyFont="1" applyBorder="1" applyAlignment="1">
      <alignment horizontal="center"/>
    </xf>
    <xf numFmtId="164" fontId="6" fillId="0" borderId="12" xfId="43" applyNumberFormat="1" applyBorder="1" applyAlignment="1">
      <alignment horizontal="right"/>
    </xf>
    <xf numFmtId="49" fontId="28" fillId="0" borderId="0" xfId="43" applyNumberFormat="1" applyFont="1"/>
    <xf numFmtId="0" fontId="6" fillId="0" borderId="24" xfId="48" applyFont="1" applyBorder="1" applyAlignment="1">
      <alignment horizontal="center"/>
    </xf>
    <xf numFmtId="0" fontId="0" fillId="0" borderId="15" xfId="0" applyBorder="1" applyAlignment="1">
      <alignment vertical="center"/>
    </xf>
    <xf numFmtId="0" fontId="24" fillId="0" borderId="18" xfId="0" applyFont="1" applyBorder="1" applyAlignment="1">
      <alignment horizontal="left" vertical="top"/>
    </xf>
    <xf numFmtId="0" fontId="0" fillId="0" borderId="51" xfId="0" applyBorder="1"/>
    <xf numFmtId="0" fontId="6" fillId="0" borderId="34" xfId="43" applyBorder="1" applyAlignment="1">
      <alignment horizontal="left"/>
    </xf>
    <xf numFmtId="0" fontId="37" fillId="0" borderId="35" xfId="43" applyFont="1" applyBorder="1" applyAlignment="1">
      <alignment horizontal="left"/>
    </xf>
    <xf numFmtId="0" fontId="0" fillId="0" borderId="55" xfId="47" applyFont="1" applyBorder="1" applyAlignment="1">
      <alignment horizontal="center"/>
    </xf>
    <xf numFmtId="0" fontId="0" fillId="0" borderId="80" xfId="0" applyBorder="1"/>
    <xf numFmtId="49" fontId="43" fillId="0" borderId="0" xfId="43" applyNumberFormat="1" applyFont="1" applyAlignment="1">
      <alignment horizontal="left" vertical="top"/>
    </xf>
    <xf numFmtId="49" fontId="6" fillId="0" borderId="20" xfId="43" applyNumberFormat="1" applyBorder="1" applyAlignment="1">
      <alignment horizontal="center"/>
    </xf>
    <xf numFmtId="0" fontId="25" fillId="0" borderId="67" xfId="0" applyFont="1" applyBorder="1" applyAlignment="1">
      <alignment horizontal="center" wrapText="1"/>
    </xf>
    <xf numFmtId="0" fontId="6" fillId="37" borderId="37" xfId="0" applyFont="1" applyFill="1" applyBorder="1" applyAlignment="1">
      <alignment horizontal="center" textRotation="90"/>
    </xf>
    <xf numFmtId="0" fontId="28" fillId="0" borderId="32" xfId="43" applyFont="1" applyBorder="1" applyAlignment="1">
      <alignment horizontal="center"/>
    </xf>
    <xf numFmtId="49" fontId="24" fillId="0" borderId="50" xfId="43" applyNumberFormat="1" applyFont="1" applyBorder="1"/>
    <xf numFmtId="49" fontId="6" fillId="0" borderId="27" xfId="0" applyNumberFormat="1" applyFont="1" applyBorder="1" applyAlignment="1">
      <alignment horizontal="center" vertical="top"/>
    </xf>
    <xf numFmtId="0" fontId="6" fillId="0" borderId="29" xfId="46" applyBorder="1" applyAlignment="1">
      <alignment horizontal="center" vertical="center" textRotation="90" wrapText="1"/>
    </xf>
    <xf numFmtId="167" fontId="6" fillId="0" borderId="15" xfId="0" applyNumberFormat="1" applyFont="1" applyBorder="1" applyAlignment="1">
      <alignment horizontal="center"/>
    </xf>
    <xf numFmtId="0" fontId="6" fillId="47" borderId="81" xfId="46" applyFill="1" applyBorder="1"/>
    <xf numFmtId="0" fontId="24" fillId="0" borderId="15" xfId="43" applyFont="1" applyBorder="1"/>
    <xf numFmtId="164" fontId="0" fillId="0" borderId="12" xfId="0" applyNumberFormat="1" applyBorder="1" applyAlignment="1">
      <alignment horizontal="center"/>
    </xf>
    <xf numFmtId="0" fontId="6" fillId="0" borderId="70" xfId="0" applyFont="1" applyBorder="1"/>
    <xf numFmtId="49" fontId="24" fillId="0" borderId="36" xfId="0" quotePrefix="1" applyNumberFormat="1" applyFont="1" applyBorder="1" applyAlignment="1">
      <alignment horizontal="center" vertical="top"/>
    </xf>
    <xf numFmtId="0" fontId="6" fillId="0" borderId="106" xfId="43" applyBorder="1" applyAlignment="1">
      <alignment horizontal="center"/>
    </xf>
    <xf numFmtId="0" fontId="6" fillId="0" borderId="12" xfId="0" applyFont="1" applyBorder="1" applyAlignment="1">
      <alignment horizontal="left" vertical="center" wrapText="1"/>
    </xf>
    <xf numFmtId="0" fontId="6" fillId="35" borderId="12" xfId="0" applyFont="1" applyFill="1" applyBorder="1" applyAlignment="1">
      <alignment horizontal="left" vertical="center" wrapText="1"/>
    </xf>
    <xf numFmtId="167" fontId="6" fillId="0" borderId="15" xfId="0" applyNumberFormat="1" applyFont="1" applyBorder="1" applyAlignment="1">
      <alignment horizontal="center" vertical="center"/>
    </xf>
    <xf numFmtId="49" fontId="24" fillId="0" borderId="92" xfId="0" applyNumberFormat="1" applyFont="1" applyBorder="1" applyAlignment="1">
      <alignment horizontal="center" vertical="top"/>
    </xf>
    <xf numFmtId="0" fontId="28" fillId="0" borderId="66" xfId="48" applyFont="1" applyBorder="1" applyAlignment="1">
      <alignment horizontal="center" wrapText="1"/>
    </xf>
    <xf numFmtId="14" fontId="6" fillId="0" borderId="15" xfId="43" applyNumberFormat="1" applyBorder="1" applyAlignment="1">
      <alignment horizontal="center"/>
    </xf>
    <xf numFmtId="0" fontId="0" fillId="0" borderId="10" xfId="47" applyFont="1" applyBorder="1" applyAlignment="1">
      <alignment horizontal="center"/>
    </xf>
    <xf numFmtId="0" fontId="0" fillId="0" borderId="27" xfId="0" applyBorder="1" applyAlignment="1">
      <alignment horizontal="center"/>
    </xf>
    <xf numFmtId="0" fontId="28" fillId="35" borderId="32" xfId="0" applyFont="1" applyFill="1" applyBorder="1" applyAlignment="1">
      <alignment horizontal="center" vertical="center" wrapText="1"/>
    </xf>
    <xf numFmtId="0" fontId="29" fillId="0" borderId="57" xfId="46" applyFont="1" applyBorder="1" applyAlignment="1">
      <alignment horizontal="center" vertical="top"/>
    </xf>
    <xf numFmtId="164" fontId="0" fillId="0" borderId="48" xfId="0" applyNumberFormat="1" applyBorder="1" applyAlignment="1">
      <alignment horizontal="center"/>
    </xf>
    <xf numFmtId="167" fontId="24" fillId="0" borderId="0" xfId="0" applyNumberFormat="1" applyFont="1" applyAlignment="1">
      <alignment horizontal="center" vertical="top"/>
    </xf>
    <xf numFmtId="49" fontId="6" fillId="0" borderId="18" xfId="43" applyNumberFormat="1" applyBorder="1" applyAlignment="1">
      <alignment horizontal="center"/>
    </xf>
    <xf numFmtId="49" fontId="28" fillId="0" borderId="107" xfId="46" applyNumberFormat="1" applyFont="1" applyBorder="1" applyAlignment="1">
      <alignment horizontal="center" vertical="center" wrapText="1"/>
    </xf>
    <xf numFmtId="164" fontId="6" fillId="39" borderId="23" xfId="43" applyNumberFormat="1" applyFill="1" applyBorder="1" applyAlignment="1">
      <alignment horizontal="center"/>
    </xf>
    <xf numFmtId="0" fontId="6" fillId="0" borderId="40" xfId="0" applyFont="1" applyBorder="1" applyAlignment="1">
      <alignment horizontal="center" vertical="center"/>
    </xf>
    <xf numFmtId="0" fontId="0" fillId="0" borderId="27" xfId="0" applyBorder="1"/>
    <xf numFmtId="0" fontId="37" fillId="0" borderId="93" xfId="46" applyFont="1" applyBorder="1"/>
    <xf numFmtId="49" fontId="24" fillId="0" borderId="20" xfId="0" quotePrefix="1" applyNumberFormat="1" applyFont="1" applyBorder="1" applyAlignment="1">
      <alignment horizontal="left" vertical="top"/>
    </xf>
    <xf numFmtId="0" fontId="6" fillId="0" borderId="78" xfId="46" applyBorder="1"/>
    <xf numFmtId="0" fontId="0" fillId="0" borderId="56" xfId="47" applyFont="1" applyBorder="1" applyAlignment="1">
      <alignment horizontal="center"/>
    </xf>
    <xf numFmtId="164" fontId="0" fillId="0" borderId="10" xfId="0" applyNumberFormat="1" applyBorder="1" applyAlignment="1">
      <alignment horizontal="center"/>
    </xf>
    <xf numFmtId="2" fontId="6" fillId="45" borderId="12" xfId="43" applyNumberFormat="1" applyFill="1" applyBorder="1" applyAlignment="1">
      <alignment horizontal="center"/>
    </xf>
    <xf numFmtId="164" fontId="6" fillId="37" borderId="30" xfId="48" applyNumberFormat="1" applyFont="1" applyFill="1" applyBorder="1" applyAlignment="1">
      <alignment horizontal="center"/>
    </xf>
    <xf numFmtId="164" fontId="6" fillId="37" borderId="81" xfId="48" applyNumberFormat="1" applyFont="1" applyFill="1" applyBorder="1" applyAlignment="1">
      <alignment horizontal="center"/>
    </xf>
    <xf numFmtId="0" fontId="0" fillId="37" borderId="30" xfId="47" applyFont="1" applyFill="1" applyBorder="1" applyAlignment="1">
      <alignment horizontal="center"/>
    </xf>
    <xf numFmtId="0" fontId="0" fillId="37" borderId="56" xfId="47" applyFont="1" applyFill="1" applyBorder="1" applyAlignment="1">
      <alignment horizontal="center"/>
    </xf>
    <xf numFmtId="0" fontId="0" fillId="37" borderId="28" xfId="47" applyFont="1" applyFill="1" applyBorder="1" applyAlignment="1">
      <alignment horizontal="center"/>
    </xf>
    <xf numFmtId="0" fontId="0" fillId="37" borderId="55" xfId="47" applyFont="1" applyFill="1" applyBorder="1" applyAlignment="1">
      <alignment horizontal="center"/>
    </xf>
    <xf numFmtId="2" fontId="0" fillId="0" borderId="12" xfId="50" applyNumberFormat="1" applyFont="1" applyBorder="1" applyAlignment="1">
      <alignment horizontal="center"/>
    </xf>
    <xf numFmtId="43" fontId="0" fillId="0" borderId="12" xfId="50" applyNumberFormat="1" applyFont="1" applyBorder="1" applyAlignment="1">
      <alignment horizontal="center"/>
    </xf>
    <xf numFmtId="0" fontId="6" fillId="0" borderId="34" xfId="43" applyBorder="1"/>
    <xf numFmtId="0" fontId="6" fillId="0" borderId="43" xfId="43" applyBorder="1" applyAlignment="1">
      <alignment horizontal="left"/>
    </xf>
    <xf numFmtId="0" fontId="0" fillId="45" borderId="12" xfId="0" applyFill="1" applyBorder="1"/>
    <xf numFmtId="0" fontId="6" fillId="0" borderId="47" xfId="46" applyBorder="1" applyAlignment="1">
      <alignment horizontal="center"/>
    </xf>
    <xf numFmtId="14" fontId="6" fillId="0" borderId="11" xfId="46" applyNumberFormat="1" applyBorder="1" applyAlignment="1">
      <alignment horizontal="center"/>
    </xf>
    <xf numFmtId="0" fontId="6" fillId="0" borderId="11" xfId="46" applyBorder="1"/>
    <xf numFmtId="0" fontId="6" fillId="0" borderId="11" xfId="46" applyBorder="1" applyAlignment="1">
      <alignment horizontal="center"/>
    </xf>
    <xf numFmtId="0" fontId="6" fillId="0" borderId="46" xfId="46" applyBorder="1" applyAlignment="1">
      <alignment horizontal="center"/>
    </xf>
    <xf numFmtId="0" fontId="6" fillId="45" borderId="90" xfId="46" applyFill="1" applyBorder="1" applyAlignment="1">
      <alignment horizontal="center"/>
    </xf>
    <xf numFmtId="14" fontId="6" fillId="45" borderId="108" xfId="46" applyNumberFormat="1" applyFill="1" applyBorder="1" applyAlignment="1">
      <alignment horizontal="center"/>
    </xf>
    <xf numFmtId="0" fontId="6" fillId="45" borderId="61" xfId="46" applyFill="1" applyBorder="1"/>
    <xf numFmtId="0" fontId="6" fillId="45" borderId="61" xfId="46" applyFill="1" applyBorder="1" applyAlignment="1">
      <alignment horizontal="center"/>
    </xf>
    <xf numFmtId="0" fontId="6" fillId="45" borderId="87" xfId="46" applyFill="1" applyBorder="1" applyAlignment="1">
      <alignment horizontal="center"/>
    </xf>
    <xf numFmtId="0" fontId="6" fillId="0" borderId="34" xfId="46" applyBorder="1" applyAlignment="1">
      <alignment horizontal="center" vertical="center"/>
    </xf>
    <xf numFmtId="14" fontId="6" fillId="0" borderId="12" xfId="46" applyNumberFormat="1" applyBorder="1" applyAlignment="1">
      <alignment horizontal="center" vertical="center"/>
    </xf>
    <xf numFmtId="0" fontId="6" fillId="0" borderId="12" xfId="46" applyBorder="1" applyAlignment="1">
      <alignment vertical="center" wrapText="1"/>
    </xf>
    <xf numFmtId="0" fontId="6" fillId="0" borderId="12" xfId="46" applyBorder="1" applyAlignment="1">
      <alignment horizontal="center" vertical="center"/>
    </xf>
    <xf numFmtId="0" fontId="6" fillId="0" borderId="40" xfId="46" applyBorder="1" applyAlignment="1">
      <alignment horizontal="center" vertical="center"/>
    </xf>
    <xf numFmtId="0" fontId="6" fillId="0" borderId="46" xfId="43" applyBorder="1" applyAlignment="1">
      <alignment horizontal="center"/>
    </xf>
    <xf numFmtId="0" fontId="28" fillId="0" borderId="78" xfId="43" applyFont="1" applyBorder="1" applyAlignment="1">
      <alignment horizontal="center"/>
    </xf>
    <xf numFmtId="0" fontId="6" fillId="0" borderId="105" xfId="43" applyBorder="1" applyAlignment="1">
      <alignment horizontal="center"/>
    </xf>
    <xf numFmtId="0" fontId="28" fillId="0" borderId="73" xfId="43" applyFont="1" applyBorder="1" applyAlignment="1">
      <alignment horizontal="center"/>
    </xf>
    <xf numFmtId="167" fontId="6" fillId="0" borderId="21" xfId="43" applyNumberFormat="1" applyBorder="1" applyAlignment="1">
      <alignment horizontal="center"/>
    </xf>
    <xf numFmtId="0" fontId="6" fillId="0" borderId="91" xfId="43" applyBorder="1" applyAlignment="1">
      <alignment horizontal="center"/>
    </xf>
    <xf numFmtId="0" fontId="28" fillId="45" borderId="23" xfId="43" applyFont="1" applyFill="1" applyBorder="1" applyAlignment="1">
      <alignment horizontal="center"/>
    </xf>
    <xf numFmtId="0" fontId="6" fillId="45" borderId="40" xfId="43" applyFill="1" applyBorder="1" applyAlignment="1">
      <alignment horizontal="center"/>
    </xf>
    <xf numFmtId="0" fontId="6" fillId="45" borderId="34" xfId="43" applyFill="1" applyBorder="1"/>
    <xf numFmtId="167" fontId="6" fillId="0" borderId="12" xfId="0" applyNumberFormat="1" applyFont="1" applyBorder="1" applyAlignment="1">
      <alignment horizontal="center" vertical="center"/>
    </xf>
    <xf numFmtId="164" fontId="6" fillId="0" borderId="13" xfId="0" applyNumberFormat="1" applyFont="1" applyBorder="1" applyAlignment="1">
      <alignment horizontal="center" vertical="center"/>
    </xf>
    <xf numFmtId="164" fontId="6" fillId="0" borderId="49" xfId="0" applyNumberFormat="1" applyFont="1" applyBorder="1" applyAlignment="1">
      <alignment horizontal="center" vertical="center"/>
    </xf>
    <xf numFmtId="167" fontId="6" fillId="0" borderId="10" xfId="0" applyNumberFormat="1" applyFont="1" applyBorder="1" applyAlignment="1">
      <alignment horizontal="center" vertical="center"/>
    </xf>
    <xf numFmtId="0" fontId="6" fillId="0" borderId="10" xfId="0" applyFont="1" applyBorder="1" applyAlignment="1">
      <alignment horizontal="center" vertical="center"/>
    </xf>
    <xf numFmtId="0" fontId="6" fillId="45" borderId="28" xfId="43" applyFill="1" applyBorder="1" applyAlignment="1">
      <alignment horizontal="center"/>
    </xf>
    <xf numFmtId="0" fontId="28" fillId="45" borderId="34" xfId="43" applyFont="1" applyFill="1" applyBorder="1" applyAlignment="1">
      <alignment horizontal="center"/>
    </xf>
    <xf numFmtId="49" fontId="6" fillId="45" borderId="28" xfId="43" applyNumberFormat="1" applyFill="1" applyBorder="1" applyAlignment="1">
      <alignment horizontal="center"/>
    </xf>
    <xf numFmtId="0" fontId="28" fillId="35" borderId="71" xfId="0" applyFont="1" applyFill="1" applyBorder="1" applyAlignment="1">
      <alignment horizontal="center" vertical="center" wrapText="1"/>
    </xf>
    <xf numFmtId="0" fontId="28" fillId="35" borderId="94" xfId="0" applyFont="1" applyFill="1" applyBorder="1" applyAlignment="1">
      <alignment horizontal="center" vertical="center" wrapText="1"/>
    </xf>
    <xf numFmtId="0" fontId="28" fillId="35" borderId="29" xfId="0" applyFont="1" applyFill="1" applyBorder="1" applyAlignment="1">
      <alignment horizontal="center" vertical="center" wrapText="1"/>
    </xf>
    <xf numFmtId="0" fontId="6" fillId="0" borderId="12" xfId="0" applyFont="1" applyBorder="1" applyAlignment="1">
      <alignment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0" fontId="6" fillId="0" borderId="12" xfId="0" applyFont="1" applyBorder="1" applyAlignment="1">
      <alignment horizontal="center" vertical="center"/>
    </xf>
    <xf numFmtId="0" fontId="6" fillId="0" borderId="45" xfId="0" applyFont="1" applyBorder="1"/>
    <xf numFmtId="0" fontId="6" fillId="0" borderId="13" xfId="0" applyFont="1" applyBorder="1" applyAlignment="1">
      <alignment vertical="center"/>
    </xf>
    <xf numFmtId="0" fontId="6" fillId="0" borderId="13" xfId="0" applyFont="1" applyBorder="1" applyAlignment="1">
      <alignment horizontal="center" vertical="center" wrapText="1"/>
    </xf>
    <xf numFmtId="2" fontId="6" fillId="0" borderId="13" xfId="0" applyNumberFormat="1" applyFont="1" applyBorder="1" applyAlignment="1">
      <alignment horizontal="center" vertical="center"/>
    </xf>
    <xf numFmtId="0" fontId="6" fillId="0" borderId="34" xfId="0" applyFont="1" applyBorder="1"/>
    <xf numFmtId="0" fontId="6" fillId="0" borderId="44" xfId="0" applyFont="1" applyBorder="1"/>
    <xf numFmtId="0" fontId="6" fillId="0" borderId="10" xfId="0" applyFont="1" applyBorder="1" applyAlignment="1">
      <alignment vertical="center"/>
    </xf>
    <xf numFmtId="0" fontId="6" fillId="4" borderId="45" xfId="0" applyFont="1" applyFill="1" applyBorder="1"/>
    <xf numFmtId="0" fontId="6" fillId="4" borderId="13" xfId="0" applyFont="1" applyFill="1" applyBorder="1" applyAlignment="1">
      <alignment vertical="center"/>
    </xf>
    <xf numFmtId="0" fontId="6" fillId="4" borderId="13" xfId="0" applyFont="1" applyFill="1" applyBorder="1" applyAlignment="1">
      <alignment horizontal="center" vertical="center" wrapText="1"/>
    </xf>
    <xf numFmtId="2" fontId="6" fillId="4" borderId="13" xfId="0" applyNumberFormat="1" applyFont="1" applyFill="1" applyBorder="1" applyAlignment="1">
      <alignment horizontal="center" vertical="center"/>
    </xf>
    <xf numFmtId="164" fontId="6" fillId="4" borderId="13" xfId="0" applyNumberFormat="1" applyFont="1" applyFill="1" applyBorder="1" applyAlignment="1">
      <alignment horizontal="center" vertical="center"/>
    </xf>
    <xf numFmtId="167" fontId="6" fillId="4" borderId="13" xfId="0" applyNumberFormat="1" applyFont="1" applyFill="1" applyBorder="1" applyAlignment="1">
      <alignment horizontal="center" vertical="center"/>
    </xf>
    <xf numFmtId="164" fontId="6" fillId="4" borderId="49" xfId="0" applyNumberFormat="1" applyFont="1" applyFill="1" applyBorder="1" applyAlignment="1">
      <alignment horizontal="center" vertical="center"/>
    </xf>
    <xf numFmtId="0" fontId="6" fillId="4" borderId="34" xfId="0" applyFont="1" applyFill="1" applyBorder="1"/>
    <xf numFmtId="0" fontId="6" fillId="4" borderId="12" xfId="0" applyFont="1" applyFill="1" applyBorder="1" applyAlignment="1">
      <alignment vertical="center"/>
    </xf>
    <xf numFmtId="0" fontId="6" fillId="4" borderId="12" xfId="0" applyFont="1" applyFill="1" applyBorder="1" applyAlignment="1">
      <alignment horizontal="center" vertical="center" wrapText="1"/>
    </xf>
    <xf numFmtId="2" fontId="6" fillId="4" borderId="12" xfId="0" applyNumberFormat="1" applyFont="1" applyFill="1" applyBorder="1" applyAlignment="1">
      <alignment horizontal="center" vertical="center"/>
    </xf>
    <xf numFmtId="164" fontId="6" fillId="4" borderId="12" xfId="0" applyNumberFormat="1" applyFont="1" applyFill="1" applyBorder="1" applyAlignment="1">
      <alignment horizontal="center" vertical="center"/>
    </xf>
    <xf numFmtId="167" fontId="6" fillId="4" borderId="12" xfId="0" applyNumberFormat="1" applyFont="1" applyFill="1" applyBorder="1" applyAlignment="1">
      <alignment horizontal="center" vertical="center"/>
    </xf>
    <xf numFmtId="164" fontId="6" fillId="4" borderId="40" xfId="0" applyNumberFormat="1" applyFont="1" applyFill="1" applyBorder="1" applyAlignment="1">
      <alignment horizontal="center" vertical="center"/>
    </xf>
    <xf numFmtId="0" fontId="6" fillId="4" borderId="12" xfId="0" applyFont="1" applyFill="1" applyBorder="1" applyAlignment="1">
      <alignment horizontal="center" vertical="center"/>
    </xf>
    <xf numFmtId="0" fontId="6" fillId="4" borderId="44" xfId="0" applyFont="1" applyFill="1" applyBorder="1"/>
    <xf numFmtId="0" fontId="6" fillId="4" borderId="10" xfId="0" applyFont="1" applyFill="1" applyBorder="1" applyAlignment="1">
      <alignment vertical="center"/>
    </xf>
    <xf numFmtId="0" fontId="6" fillId="4" borderId="10" xfId="0" applyFont="1" applyFill="1" applyBorder="1" applyAlignment="1">
      <alignment horizontal="center" vertical="center"/>
    </xf>
    <xf numFmtId="164" fontId="6" fillId="4" borderId="10" xfId="0" applyNumberFormat="1" applyFont="1" applyFill="1" applyBorder="1" applyAlignment="1">
      <alignment horizontal="center" vertical="center"/>
    </xf>
    <xf numFmtId="167" fontId="6" fillId="4" borderId="10" xfId="0" applyNumberFormat="1" applyFont="1" applyFill="1" applyBorder="1" applyAlignment="1">
      <alignment horizontal="center" vertical="center"/>
    </xf>
    <xf numFmtId="164" fontId="6" fillId="4" borderId="48" xfId="0" applyNumberFormat="1" applyFont="1" applyFill="1" applyBorder="1" applyAlignment="1">
      <alignment horizontal="center" vertical="center"/>
    </xf>
    <xf numFmtId="0" fontId="6" fillId="45" borderId="83" xfId="43" applyFill="1" applyBorder="1" applyAlignment="1">
      <alignment horizontal="center"/>
    </xf>
    <xf numFmtId="0" fontId="0" fillId="45" borderId="33" xfId="0" applyFill="1" applyBorder="1" applyAlignment="1">
      <alignment horizontal="center"/>
    </xf>
    <xf numFmtId="0" fontId="0" fillId="45" borderId="49" xfId="0" applyFill="1" applyBorder="1" applyAlignment="1">
      <alignment horizontal="center"/>
    </xf>
    <xf numFmtId="0" fontId="6" fillId="45" borderId="12" xfId="43" applyFill="1" applyBorder="1"/>
    <xf numFmtId="164" fontId="6" fillId="45" borderId="0" xfId="43" applyNumberFormat="1" applyFill="1" applyAlignment="1">
      <alignment horizontal="left"/>
    </xf>
    <xf numFmtId="0" fontId="6" fillId="45" borderId="0" xfId="43" applyFill="1" applyAlignment="1">
      <alignment horizontal="center"/>
    </xf>
    <xf numFmtId="0" fontId="6" fillId="48" borderId="15" xfId="0" applyFont="1" applyFill="1" applyBorder="1" applyAlignment="1">
      <alignment horizontal="center"/>
    </xf>
    <xf numFmtId="0" fontId="28" fillId="48" borderId="62" xfId="0" applyFont="1" applyFill="1" applyBorder="1" applyAlignment="1">
      <alignment horizontal="center"/>
    </xf>
    <xf numFmtId="0" fontId="45" fillId="48" borderId="58" xfId="0" applyFont="1" applyFill="1" applyBorder="1" applyAlignment="1">
      <alignment horizontal="center" vertical="top"/>
    </xf>
    <xf numFmtId="0" fontId="46" fillId="48" borderId="18" xfId="0" applyFont="1" applyFill="1" applyBorder="1" applyAlignment="1">
      <alignment horizontal="left" vertical="top"/>
    </xf>
    <xf numFmtId="0" fontId="46" fillId="48" borderId="15" xfId="0" applyFont="1" applyFill="1" applyBorder="1" applyAlignment="1">
      <alignment horizontal="left" vertical="top"/>
    </xf>
    <xf numFmtId="0" fontId="46" fillId="48" borderId="15" xfId="0" applyFont="1" applyFill="1" applyBorder="1" applyAlignment="1">
      <alignment horizontal="center" vertical="top"/>
    </xf>
    <xf numFmtId="0" fontId="6" fillId="48" borderId="15" xfId="0" applyFont="1" applyFill="1" applyBorder="1" applyAlignment="1">
      <alignment horizontal="center" vertical="top"/>
    </xf>
    <xf numFmtId="0" fontId="6" fillId="48" borderId="92" xfId="0" applyFont="1" applyFill="1" applyBorder="1" applyAlignment="1">
      <alignment horizontal="center"/>
    </xf>
    <xf numFmtId="0" fontId="28" fillId="0" borderId="58" xfId="0" applyFont="1" applyBorder="1" applyAlignment="1">
      <alignment horizontal="center"/>
    </xf>
    <xf numFmtId="0" fontId="28" fillId="0" borderId="0" xfId="0" applyFont="1" applyAlignment="1">
      <alignment horizontal="center"/>
    </xf>
    <xf numFmtId="170" fontId="6" fillId="0" borderId="13" xfId="0" applyNumberFormat="1" applyFont="1" applyBorder="1" applyAlignment="1">
      <alignment horizontal="center"/>
    </xf>
    <xf numFmtId="170" fontId="6" fillId="0" borderId="54" xfId="0" applyNumberFormat="1" applyFont="1" applyBorder="1" applyAlignment="1">
      <alignment horizontal="center"/>
    </xf>
    <xf numFmtId="170" fontId="6" fillId="0" borderId="11" xfId="0" applyNumberFormat="1" applyFont="1" applyBorder="1" applyAlignment="1">
      <alignment horizontal="center"/>
    </xf>
    <xf numFmtId="170" fontId="6" fillId="0" borderId="52" xfId="0" applyNumberFormat="1" applyFont="1" applyBorder="1" applyAlignment="1">
      <alignment horizontal="center"/>
    </xf>
    <xf numFmtId="170" fontId="6" fillId="0" borderId="12" xfId="0" applyNumberFormat="1" applyFont="1" applyBorder="1" applyAlignment="1">
      <alignment horizontal="center"/>
    </xf>
    <xf numFmtId="170" fontId="6" fillId="0" borderId="51" xfId="0" applyNumberFormat="1" applyFont="1" applyBorder="1" applyAlignment="1">
      <alignment horizontal="center"/>
    </xf>
    <xf numFmtId="170" fontId="6" fillId="0" borderId="10" xfId="0" applyNumberFormat="1" applyFont="1" applyBorder="1" applyAlignment="1">
      <alignment horizontal="center"/>
    </xf>
    <xf numFmtId="170" fontId="6" fillId="0" borderId="39" xfId="0" applyNumberFormat="1" applyFont="1" applyBorder="1" applyAlignment="1">
      <alignment horizontal="center"/>
    </xf>
    <xf numFmtId="170" fontId="6" fillId="34" borderId="11" xfId="0" applyNumberFormat="1" applyFont="1" applyFill="1" applyBorder="1" applyAlignment="1">
      <alignment horizontal="center"/>
    </xf>
    <xf numFmtId="170" fontId="6" fillId="34" borderId="54" xfId="0" applyNumberFormat="1" applyFont="1" applyFill="1" applyBorder="1" applyAlignment="1">
      <alignment horizontal="center"/>
    </xf>
    <xf numFmtId="170" fontId="6" fillId="34" borderId="12" xfId="0" applyNumberFormat="1" applyFont="1" applyFill="1" applyBorder="1" applyAlignment="1">
      <alignment horizontal="center"/>
    </xf>
    <xf numFmtId="170" fontId="6" fillId="34" borderId="51" xfId="0" applyNumberFormat="1" applyFont="1" applyFill="1" applyBorder="1" applyAlignment="1">
      <alignment horizontal="center"/>
    </xf>
    <xf numFmtId="170" fontId="6" fillId="34" borderId="10" xfId="0" applyNumberFormat="1" applyFont="1" applyFill="1" applyBorder="1" applyAlignment="1">
      <alignment horizontal="center"/>
    </xf>
    <xf numFmtId="170" fontId="6" fillId="34" borderId="53" xfId="0" applyNumberFormat="1" applyFont="1" applyFill="1" applyBorder="1" applyAlignment="1">
      <alignment horizontal="center"/>
    </xf>
    <xf numFmtId="170" fontId="6" fillId="33" borderId="11" xfId="0" applyNumberFormat="1" applyFont="1" applyFill="1" applyBorder="1" applyAlignment="1">
      <alignment horizontal="center"/>
    </xf>
    <xf numFmtId="170" fontId="6" fillId="33" borderId="52" xfId="0" applyNumberFormat="1" applyFont="1" applyFill="1" applyBorder="1" applyAlignment="1">
      <alignment horizontal="center"/>
    </xf>
    <xf numFmtId="170" fontId="6" fillId="33" borderId="12" xfId="0" applyNumberFormat="1" applyFont="1" applyFill="1" applyBorder="1" applyAlignment="1">
      <alignment horizontal="center"/>
    </xf>
    <xf numFmtId="170" fontId="6" fillId="33" borderId="51" xfId="0" applyNumberFormat="1" applyFont="1" applyFill="1" applyBorder="1" applyAlignment="1">
      <alignment horizontal="center"/>
    </xf>
    <xf numFmtId="170" fontId="6" fillId="33" borderId="10" xfId="0" applyNumberFormat="1" applyFont="1" applyFill="1" applyBorder="1" applyAlignment="1">
      <alignment horizontal="center"/>
    </xf>
    <xf numFmtId="170" fontId="6" fillId="33" borderId="53" xfId="0" applyNumberFormat="1" applyFont="1" applyFill="1" applyBorder="1" applyAlignment="1">
      <alignment horizontal="center"/>
    </xf>
    <xf numFmtId="170" fontId="0" fillId="0" borderId="0" xfId="0" applyNumberFormat="1"/>
    <xf numFmtId="170" fontId="6" fillId="0" borderId="14" xfId="0" applyNumberFormat="1" applyFont="1" applyBorder="1" applyAlignment="1">
      <alignment horizontal="center"/>
    </xf>
    <xf numFmtId="170" fontId="6" fillId="34" borderId="13" xfId="0" applyNumberFormat="1" applyFont="1" applyFill="1" applyBorder="1" applyAlignment="1">
      <alignment horizontal="center"/>
    </xf>
    <xf numFmtId="14" fontId="6" fillId="0" borderId="0" xfId="46" applyNumberFormat="1" applyAlignment="1">
      <alignment horizontal="center"/>
    </xf>
    <xf numFmtId="164" fontId="6" fillId="49" borderId="12" xfId="0" applyNumberFormat="1" applyFont="1" applyFill="1" applyBorder="1" applyAlignment="1">
      <alignment horizontal="center" vertical="center"/>
    </xf>
    <xf numFmtId="164" fontId="6" fillId="49" borderId="40" xfId="0" applyNumberFormat="1" applyFont="1" applyFill="1" applyBorder="1" applyAlignment="1">
      <alignment horizontal="center" vertical="center"/>
    </xf>
    <xf numFmtId="0" fontId="6" fillId="0" borderId="75" xfId="43" applyBorder="1" applyAlignment="1">
      <alignment horizontal="center"/>
    </xf>
    <xf numFmtId="0" fontId="6" fillId="0" borderId="67" xfId="43" applyBorder="1" applyAlignment="1">
      <alignment horizontal="center"/>
    </xf>
    <xf numFmtId="0" fontId="28" fillId="0" borderId="75" xfId="43" applyFont="1" applyBorder="1" applyAlignment="1">
      <alignment horizontal="center"/>
    </xf>
    <xf numFmtId="0" fontId="28" fillId="0" borderId="16" xfId="43" applyFont="1" applyBorder="1" applyAlignment="1">
      <alignment horizontal="center"/>
    </xf>
    <xf numFmtId="0" fontId="28" fillId="0" borderId="67" xfId="43" applyFont="1" applyBorder="1" applyAlignment="1">
      <alignment horizontal="center"/>
    </xf>
    <xf numFmtId="0" fontId="28" fillId="0" borderId="94" xfId="43" applyFont="1" applyBorder="1" applyAlignment="1">
      <alignment horizontal="center"/>
    </xf>
    <xf numFmtId="0" fontId="28" fillId="0" borderId="29" xfId="43" applyFont="1" applyBorder="1" applyAlignment="1">
      <alignment horizontal="center"/>
    </xf>
    <xf numFmtId="0" fontId="28" fillId="0" borderId="95" xfId="43" applyFont="1" applyBorder="1" applyAlignment="1">
      <alignment horizontal="center"/>
    </xf>
    <xf numFmtId="0" fontId="35" fillId="0" borderId="0" xfId="43" applyFont="1" applyAlignment="1">
      <alignment horizontal="center" vertical="center" wrapText="1"/>
    </xf>
    <xf numFmtId="0" fontId="35" fillId="0" borderId="0" xfId="0" applyFont="1" applyAlignment="1">
      <alignment horizontal="center" vertical="center" wrapText="1"/>
    </xf>
    <xf numFmtId="0" fontId="36" fillId="0" borderId="0" xfId="0" applyFont="1" applyAlignment="1">
      <alignment wrapText="1"/>
    </xf>
    <xf numFmtId="0" fontId="6" fillId="42" borderId="51" xfId="43" applyFill="1" applyBorder="1" applyAlignment="1">
      <alignment horizontal="center"/>
    </xf>
    <xf numFmtId="0" fontId="6" fillId="42" borderId="23" xfId="43" applyFill="1" applyBorder="1" applyAlignment="1">
      <alignment horizontal="center"/>
    </xf>
    <xf numFmtId="0" fontId="6" fillId="42" borderId="39" xfId="43" applyFill="1" applyBorder="1" applyAlignment="1">
      <alignment horizontal="center"/>
    </xf>
    <xf numFmtId="0" fontId="31" fillId="41" borderId="39" xfId="43" applyFont="1" applyFill="1" applyBorder="1" applyAlignment="1">
      <alignment horizontal="center"/>
    </xf>
    <xf numFmtId="0" fontId="31" fillId="41" borderId="23" xfId="43" applyFont="1" applyFill="1" applyBorder="1" applyAlignment="1">
      <alignment horizontal="center"/>
    </xf>
    <xf numFmtId="0" fontId="26" fillId="37" borderId="75" xfId="0" applyFont="1" applyFill="1" applyBorder="1" applyAlignment="1">
      <alignment horizontal="center" wrapText="1"/>
    </xf>
    <xf numFmtId="0" fontId="26" fillId="37" borderId="16" xfId="0" applyFont="1" applyFill="1" applyBorder="1" applyAlignment="1">
      <alignment horizontal="center" wrapText="1"/>
    </xf>
    <xf numFmtId="0" fontId="0" fillId="0" borderId="16" xfId="0" applyBorder="1" applyAlignment="1">
      <alignment wrapText="1"/>
    </xf>
    <xf numFmtId="0" fontId="0" fillId="0" borderId="67" xfId="0" applyBorder="1" applyAlignment="1">
      <alignment wrapText="1"/>
    </xf>
    <xf numFmtId="0" fontId="26" fillId="38" borderId="75" xfId="0" applyFont="1" applyFill="1" applyBorder="1" applyAlignment="1">
      <alignment horizontal="center" wrapText="1"/>
    </xf>
    <xf numFmtId="0" fontId="6" fillId="0" borderId="30" xfId="0" applyFont="1" applyBorder="1" applyAlignment="1">
      <alignment horizontal="center" vertical="center" textRotation="90" wrapText="1"/>
    </xf>
    <xf numFmtId="0" fontId="6" fillId="0" borderId="56" xfId="0" applyFont="1" applyBorder="1" applyAlignment="1">
      <alignment horizontal="center" vertical="center" textRotation="90" wrapText="1"/>
    </xf>
    <xf numFmtId="0" fontId="0" fillId="0" borderId="28" xfId="0" applyBorder="1" applyAlignment="1">
      <alignment horizontal="center" vertical="center" textRotation="90" wrapText="1"/>
    </xf>
    <xf numFmtId="0" fontId="0" fillId="0" borderId="42" xfId="0" applyBorder="1" applyAlignment="1">
      <alignment horizontal="center" vertical="center" textRotation="90" wrapText="1"/>
    </xf>
    <xf numFmtId="0" fontId="0" fillId="0" borderId="55" xfId="0" applyBorder="1" applyAlignment="1">
      <alignment horizontal="center" vertical="center" textRotation="90" wrapText="1"/>
    </xf>
    <xf numFmtId="0" fontId="27" fillId="0" borderId="75" xfId="0" applyFont="1" applyBorder="1" applyAlignment="1">
      <alignment horizontal="left" vertical="center" wrapText="1"/>
    </xf>
    <xf numFmtId="0" fontId="27" fillId="0" borderId="16" xfId="0" applyFont="1" applyBorder="1" applyAlignment="1">
      <alignment horizontal="left" vertical="center" wrapText="1"/>
    </xf>
    <xf numFmtId="0" fontId="0" fillId="0" borderId="16" xfId="0" applyBorder="1" applyAlignment="1">
      <alignment horizontal="left" vertical="center" wrapText="1"/>
    </xf>
    <xf numFmtId="0" fontId="0" fillId="0" borderId="67" xfId="0" applyBorder="1" applyAlignment="1">
      <alignment horizontal="left" vertical="center" wrapText="1"/>
    </xf>
    <xf numFmtId="0" fontId="26" fillId="47" borderId="75" xfId="0" applyFont="1" applyFill="1" applyBorder="1" applyAlignment="1">
      <alignment wrapText="1"/>
    </xf>
    <xf numFmtId="0" fontId="26" fillId="47" borderId="16" xfId="0" applyFont="1" applyFill="1" applyBorder="1" applyAlignment="1">
      <alignment wrapText="1"/>
    </xf>
    <xf numFmtId="0" fontId="26" fillId="46" borderId="75" xfId="48" applyFont="1" applyFill="1" applyBorder="1" applyAlignment="1">
      <alignment horizontal="left" wrapText="1"/>
    </xf>
    <xf numFmtId="0" fontId="26" fillId="46" borderId="16" xfId="48" applyFont="1" applyFill="1" applyBorder="1" applyAlignment="1">
      <alignment horizontal="left" wrapText="1"/>
    </xf>
    <xf numFmtId="0" fontId="0" fillId="46" borderId="16" xfId="0" applyFill="1" applyBorder="1" applyAlignment="1">
      <alignment horizontal="left" wrapText="1"/>
    </xf>
    <xf numFmtId="0" fontId="0" fillId="46" borderId="67" xfId="0" applyFill="1" applyBorder="1" applyAlignment="1">
      <alignment horizontal="left" wrapText="1"/>
    </xf>
    <xf numFmtId="0" fontId="26" fillId="42" borderId="75" xfId="0" applyFont="1" applyFill="1" applyBorder="1" applyAlignment="1">
      <alignment horizontal="left" vertical="top" wrapText="1"/>
    </xf>
    <xf numFmtId="0" fontId="0" fillId="0" borderId="16" xfId="0" applyBorder="1" applyAlignment="1">
      <alignment horizontal="left" vertical="top" wrapText="1"/>
    </xf>
    <xf numFmtId="0" fontId="26" fillId="15" borderId="75" xfId="0" applyFont="1" applyFill="1" applyBorder="1" applyAlignment="1">
      <alignment horizontal="left" vertical="top" wrapText="1"/>
    </xf>
    <xf numFmtId="0" fontId="26" fillId="15" borderId="16" xfId="0" applyFont="1" applyFill="1" applyBorder="1" applyAlignment="1">
      <alignment horizontal="left" vertical="top" wrapText="1"/>
    </xf>
    <xf numFmtId="0" fontId="0" fillId="15" borderId="16" xfId="0" applyFill="1" applyBorder="1" applyAlignment="1">
      <alignment horizontal="left" vertical="top" wrapText="1"/>
    </xf>
    <xf numFmtId="0" fontId="0" fillId="15" borderId="67" xfId="0" applyFill="1" applyBorder="1" applyAlignment="1">
      <alignment horizontal="left" vertical="top" wrapText="1"/>
    </xf>
    <xf numFmtId="0" fontId="27" fillId="0" borderId="94" xfId="0" applyFont="1" applyBorder="1" applyAlignment="1">
      <alignment horizontal="left" vertical="center" wrapText="1"/>
    </xf>
    <xf numFmtId="0" fontId="27" fillId="0" borderId="29" xfId="0" applyFont="1" applyBorder="1" applyAlignment="1">
      <alignment horizontal="left" vertical="center" wrapText="1"/>
    </xf>
    <xf numFmtId="0" fontId="0" fillId="0" borderId="29" xfId="0" applyBorder="1" applyAlignment="1">
      <alignment horizontal="left" vertical="center" wrapText="1"/>
    </xf>
    <xf numFmtId="0" fontId="0" fillId="0" borderId="95" xfId="0" applyBorder="1" applyAlignment="1">
      <alignment horizontal="left" vertical="center" wrapText="1"/>
    </xf>
    <xf numFmtId="0" fontId="22" fillId="0" borderId="0" xfId="0" applyFont="1" applyAlignment="1">
      <alignment horizontal="center"/>
    </xf>
    <xf numFmtId="0" fontId="28" fillId="0" borderId="83" xfId="43" applyFont="1" applyBorder="1" applyAlignment="1">
      <alignment horizontal="center" vertical="center"/>
    </xf>
    <xf numFmtId="0" fontId="0" fillId="0" borderId="90" xfId="0" applyBorder="1" applyAlignment="1">
      <alignment horizontal="center" vertical="center"/>
    </xf>
    <xf numFmtId="0" fontId="28" fillId="0" borderId="33" xfId="43" applyFont="1" applyBorder="1" applyAlignment="1">
      <alignment horizontal="center" vertical="center"/>
    </xf>
    <xf numFmtId="0" fontId="0" fillId="0" borderId="61" xfId="0" applyBorder="1" applyAlignment="1">
      <alignment horizontal="center" vertical="center"/>
    </xf>
    <xf numFmtId="0" fontId="28" fillId="0" borderId="86" xfId="43" applyFont="1" applyBorder="1" applyAlignment="1">
      <alignment horizontal="center" vertical="center"/>
    </xf>
    <xf numFmtId="0" fontId="0" fillId="0" borderId="87" xfId="0" applyBorder="1" applyAlignment="1">
      <alignment horizontal="center" vertical="center"/>
    </xf>
    <xf numFmtId="0" fontId="26" fillId="40" borderId="21" xfId="0" applyFont="1" applyFill="1" applyBorder="1" applyAlignment="1">
      <alignment horizontal="center"/>
    </xf>
    <xf numFmtId="0" fontId="26" fillId="0" borderId="21" xfId="0" applyFont="1" applyBorder="1" applyAlignment="1">
      <alignment horizontal="center"/>
    </xf>
    <xf numFmtId="0" fontId="26" fillId="38" borderId="0" xfId="0" applyFont="1" applyFill="1" applyAlignment="1">
      <alignment horizontal="center"/>
    </xf>
    <xf numFmtId="0" fontId="26" fillId="44" borderId="0" xfId="0" applyFont="1" applyFill="1" applyAlignment="1">
      <alignment horizontal="center"/>
    </xf>
    <xf numFmtId="0" fontId="26" fillId="45" borderId="12" xfId="0" applyFont="1" applyFill="1" applyBorder="1" applyAlignment="1">
      <alignment horizontal="center"/>
    </xf>
    <xf numFmtId="0" fontId="26" fillId="0" borderId="71" xfId="46" applyFont="1" applyBorder="1" applyAlignment="1">
      <alignment horizontal="center" vertical="center" textRotation="90" wrapText="1"/>
    </xf>
    <xf numFmtId="0" fontId="6" fillId="0" borderId="82" xfId="46" applyBorder="1" applyAlignment="1">
      <alignment horizontal="center" vertical="center" wrapText="1"/>
    </xf>
    <xf numFmtId="0" fontId="6" fillId="0" borderId="81" xfId="46" applyBorder="1" applyAlignment="1">
      <alignment horizontal="center" vertical="center" wrapText="1"/>
    </xf>
    <xf numFmtId="0" fontId="42" fillId="0" borderId="94" xfId="46" applyFont="1" applyBorder="1" applyAlignment="1">
      <alignment horizontal="center" vertical="center" wrapText="1"/>
    </xf>
    <xf numFmtId="0" fontId="6" fillId="0" borderId="29" xfId="46" applyBorder="1"/>
    <xf numFmtId="0" fontId="6" fillId="0" borderId="95" xfId="46" applyBorder="1"/>
    <xf numFmtId="0" fontId="6" fillId="0" borderId="73" xfId="46" applyBorder="1"/>
    <xf numFmtId="0" fontId="6" fillId="0" borderId="21" xfId="46" applyBorder="1"/>
    <xf numFmtId="0" fontId="6" fillId="0" borderId="91" xfId="46" applyBorder="1"/>
    <xf numFmtId="0" fontId="26" fillId="0" borderId="94" xfId="46" applyFont="1" applyBorder="1" applyAlignment="1">
      <alignment horizontal="center" vertical="center" textRotation="90" wrapText="1"/>
    </xf>
    <xf numFmtId="0" fontId="6" fillId="0" borderId="78" xfId="46" applyBorder="1" applyAlignment="1">
      <alignment horizontal="center" vertical="center" wrapText="1"/>
    </xf>
    <xf numFmtId="0" fontId="0" fillId="0" borderId="78" xfId="0" applyBorder="1" applyAlignment="1">
      <alignment horizontal="center" vertical="center" wrapText="1"/>
    </xf>
    <xf numFmtId="0" fontId="0" fillId="0" borderId="73" xfId="0" applyBorder="1" applyAlignment="1">
      <alignment horizontal="center" vertical="center" wrapText="1"/>
    </xf>
    <xf numFmtId="0" fontId="28" fillId="47" borderId="38" xfId="46" applyFont="1" applyFill="1" applyBorder="1" applyAlignment="1">
      <alignment horizontal="left" vertical="center" wrapText="1"/>
    </xf>
    <xf numFmtId="0" fontId="0" fillId="0" borderId="57" xfId="0" applyBorder="1" applyAlignment="1">
      <alignment horizontal="left" vertical="center" wrapText="1"/>
    </xf>
    <xf numFmtId="0" fontId="6" fillId="0" borderId="0" xfId="46" applyAlignment="1">
      <alignment wrapText="1"/>
    </xf>
    <xf numFmtId="0" fontId="0" fillId="0" borderId="0" xfId="0" applyAlignment="1">
      <alignment wrapText="1"/>
    </xf>
    <xf numFmtId="0" fontId="28" fillId="42" borderId="38" xfId="46" applyFont="1" applyFill="1" applyBorder="1" applyAlignment="1">
      <alignment horizontal="left" vertical="center" wrapText="1"/>
    </xf>
    <xf numFmtId="0" fontId="25" fillId="0" borderId="0" xfId="0" applyFont="1" applyAlignment="1">
      <alignment horizontal="center" wrapText="1"/>
    </xf>
    <xf numFmtId="0" fontId="0" fillId="0" borderId="0" xfId="0"/>
    <xf numFmtId="0" fontId="6" fillId="43" borderId="0" xfId="46" applyFill="1" applyAlignment="1">
      <alignment horizontal="center"/>
    </xf>
    <xf numFmtId="0" fontId="6" fillId="0" borderId="51" xfId="46" applyBorder="1" applyAlignment="1">
      <alignment horizontal="center"/>
    </xf>
    <xf numFmtId="0" fontId="6" fillId="0" borderId="59" xfId="46" applyBorder="1" applyAlignment="1">
      <alignment horizontal="center"/>
    </xf>
    <xf numFmtId="0" fontId="6" fillId="0" borderId="23" xfId="46" applyBorder="1" applyAlignment="1">
      <alignment horizontal="center"/>
    </xf>
    <xf numFmtId="0" fontId="28" fillId="0" borderId="75" xfId="52" applyFont="1" applyBorder="1" applyAlignment="1">
      <alignment horizontal="left"/>
    </xf>
    <xf numFmtId="0" fontId="28" fillId="0" borderId="16" xfId="52" applyFont="1" applyBorder="1" applyAlignment="1">
      <alignment horizontal="left"/>
    </xf>
    <xf numFmtId="0" fontId="28" fillId="0" borderId="67" xfId="52" applyFont="1" applyBorder="1" applyAlignment="1">
      <alignment horizontal="left"/>
    </xf>
    <xf numFmtId="168" fontId="28" fillId="0" borderId="75" xfId="52" applyNumberFormat="1" applyFont="1" applyBorder="1" applyAlignment="1">
      <alignment horizontal="left"/>
    </xf>
    <xf numFmtId="168" fontId="28" fillId="0" borderId="16" xfId="52" applyNumberFormat="1" applyFont="1" applyBorder="1" applyAlignment="1">
      <alignment horizontal="left"/>
    </xf>
    <xf numFmtId="168" fontId="28" fillId="0" borderId="67" xfId="52" applyNumberFormat="1" applyFont="1" applyBorder="1" applyAlignment="1">
      <alignment horizontal="left"/>
    </xf>
    <xf numFmtId="0" fontId="12" fillId="0" borderId="94" xfId="38" applyFill="1" applyBorder="1" applyAlignment="1" applyProtection="1">
      <alignment horizontal="left" vertical="center" wrapText="1"/>
    </xf>
    <xf numFmtId="0" fontId="12" fillId="0" borderId="29" xfId="38" applyFill="1" applyBorder="1" applyAlignment="1" applyProtection="1">
      <alignment horizontal="left" vertical="center" wrapText="1"/>
    </xf>
    <xf numFmtId="0" fontId="12" fillId="0" borderId="95" xfId="38" applyFill="1" applyBorder="1" applyAlignment="1" applyProtection="1">
      <alignment horizontal="left" vertical="center" wrapText="1"/>
    </xf>
    <xf numFmtId="0" fontId="12" fillId="0" borderId="73" xfId="38" applyFill="1" applyBorder="1" applyAlignment="1" applyProtection="1">
      <alignment horizontal="left" vertical="center" wrapText="1"/>
    </xf>
    <xf numFmtId="0" fontId="12" fillId="0" borderId="21" xfId="38" applyFill="1" applyBorder="1" applyAlignment="1" applyProtection="1">
      <alignment horizontal="left" vertical="center" wrapText="1"/>
    </xf>
    <xf numFmtId="0" fontId="12" fillId="0" borderId="91" xfId="38" applyFill="1" applyBorder="1" applyAlignment="1" applyProtection="1">
      <alignment horizontal="left" vertical="center" wrapText="1"/>
    </xf>
    <xf numFmtId="0" fontId="28" fillId="0" borderId="75" xfId="52" applyFont="1" applyBorder="1" applyAlignment="1">
      <alignment horizontal="left" wrapText="1"/>
    </xf>
  </cellXfs>
  <cellStyles count="58">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2" xfId="28" xr:uid="{00000000-0005-0000-0000-00001B000000}"/>
    <cellStyle name="Comma 2 2" xfId="29" xr:uid="{00000000-0005-0000-0000-00001C000000}"/>
    <cellStyle name="Comma 3" xfId="30" xr:uid="{00000000-0005-0000-0000-00001D000000}"/>
    <cellStyle name="Comma 3 2" xfId="31" xr:uid="{00000000-0005-0000-0000-00001E000000}"/>
    <cellStyle name="Explanatory Text" xfId="32" builtinId="53" customBuiltin="1"/>
    <cellStyle name="Good" xfId="33" builtinId="26" customBuiltin="1"/>
    <cellStyle name="Heading 1" xfId="34" builtinId="16" customBuiltin="1"/>
    <cellStyle name="Heading 2" xfId="35" builtinId="17" customBuiltin="1"/>
    <cellStyle name="Heading 3" xfId="36" builtinId="18" customBuiltin="1"/>
    <cellStyle name="Heading 4" xfId="37" builtinId="19" customBuiltin="1"/>
    <cellStyle name="Hyperlink 2" xfId="38" xr:uid="{00000000-0005-0000-0000-000025000000}"/>
    <cellStyle name="Hyperlink 3" xfId="39" xr:uid="{00000000-0005-0000-0000-000026000000}"/>
    <cellStyle name="Input" xfId="40" builtinId="20" customBuiltin="1"/>
    <cellStyle name="Linked Cell" xfId="41" builtinId="24" customBuiltin="1"/>
    <cellStyle name="Neutral" xfId="42" builtinId="28" customBuiltin="1"/>
    <cellStyle name="Normal" xfId="0" builtinId="0" customBuiltin="1"/>
    <cellStyle name="Normal 2" xfId="43" xr:uid="{00000000-0005-0000-0000-00002B000000}"/>
    <cellStyle name="Normal 2 2" xfId="44" xr:uid="{00000000-0005-0000-0000-00002C000000}"/>
    <cellStyle name="Normal 3" xfId="45" xr:uid="{00000000-0005-0000-0000-00002D000000}"/>
    <cellStyle name="Normal 4" xfId="46" xr:uid="{00000000-0005-0000-0000-00002E000000}"/>
    <cellStyle name="Normal 4 2" xfId="47" xr:uid="{00000000-0005-0000-0000-00002F000000}"/>
    <cellStyle name="Normal 5" xfId="48" xr:uid="{00000000-0005-0000-0000-000030000000}"/>
    <cellStyle name="Normal 5 2" xfId="49" xr:uid="{00000000-0005-0000-0000-000031000000}"/>
    <cellStyle name="Normal 6" xfId="50" xr:uid="{00000000-0005-0000-0000-000032000000}"/>
    <cellStyle name="Normal_138-001-001" xfId="51" xr:uid="{00000000-0005-0000-0000-000033000000}"/>
    <cellStyle name="Normal_EDITINDXlinked" xfId="52" xr:uid="{00000000-0005-0000-0000-000034000000}"/>
    <cellStyle name="Note" xfId="53" builtinId="10" customBuiltin="1"/>
    <cellStyle name="Output" xfId="54" builtinId="21" customBuiltin="1"/>
    <cellStyle name="Title" xfId="55" builtinId="15" customBuiltin="1"/>
    <cellStyle name="Total" xfId="56" builtinId="25" customBuiltin="1"/>
    <cellStyle name="Warning Text" xfId="57"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4.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2.png"/></Relationships>
</file>

<file path=xl/drawings/_rels/drawing7.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s>
</file>

<file path=xl/drawings/_rels/drawing8.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jpeg"/><Relationship Id="rId1" Type="http://schemas.openxmlformats.org/officeDocument/2006/relationships/image" Target="../media/image16.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png"/><Relationship Id="rId5" Type="http://schemas.openxmlformats.org/officeDocument/2006/relationships/image" Target="../media/image24.png"/><Relationship Id="rId4" Type="http://schemas.openxmlformats.org/officeDocument/2006/relationships/image" Target="../media/image23.png"/></Relationships>
</file>

<file path=xl/drawings/_rels/drawing11.xml.rels><?xml version="1.0" encoding="UTF-8" standalone="yes"?>
<Relationships xmlns="http://schemas.openxmlformats.org/package/2006/relationships"><Relationship Id="rId3" Type="http://schemas.openxmlformats.org/officeDocument/2006/relationships/image" Target="../media/image26.png"/><Relationship Id="rId2" Type="http://schemas.openxmlformats.org/officeDocument/2006/relationships/image" Target="../media/image25.png"/><Relationship Id="rId1" Type="http://schemas.openxmlformats.org/officeDocument/2006/relationships/image" Target="../media/image20.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7</xdr:col>
      <xdr:colOff>542925</xdr:colOff>
      <xdr:row>40</xdr:row>
      <xdr:rowOff>19050</xdr:rowOff>
    </xdr:from>
    <xdr:to>
      <xdr:col>7</xdr:col>
      <xdr:colOff>685800</xdr:colOff>
      <xdr:row>41</xdr:row>
      <xdr:rowOff>0</xdr:rowOff>
    </xdr:to>
    <xdr:pic>
      <xdr:nvPicPr>
        <xdr:cNvPr id="516013" name="Picture 65088" descr="C:\Users\Bryan\AppData\Local\Microsoft\Windows\Temporary Internet Files\Content.IE5\MVT8L020\MC900433812[1].png">
          <a:extLst>
            <a:ext uri="{FF2B5EF4-FFF2-40B4-BE49-F238E27FC236}">
              <a16:creationId xmlns:a16="http://schemas.microsoft.com/office/drawing/2014/main" id="{00000000-0008-0000-0200-0000ADDF0700}"/>
            </a:ext>
          </a:extLst>
        </xdr:cNvPr>
        <xdr:cNvPicPr>
          <a:picLocks noChangeAspect="1"/>
        </xdr:cNvPicPr>
      </xdr:nvPicPr>
      <xdr:blipFill>
        <a:blip xmlns:r="http://schemas.openxmlformats.org/officeDocument/2006/relationships" r:embed="rId1"/>
        <a:stretch>
          <a:fillRect/>
        </a:stretch>
      </xdr:blipFill>
      <xdr:spPr>
        <a:xfrm>
          <a:off x="11618967" y="6115050"/>
          <a:ext cx="142875" cy="133350"/>
        </a:xfrm>
        <a:prstGeom prst="rect">
          <a:avLst/>
        </a:prstGeom>
        <a:noFill/>
        <a:ln>
          <a:noFill/>
        </a:ln>
      </xdr:spPr>
    </xdr:pic>
    <xdr:clientData/>
  </xdr:twoCellAnchor>
  <xdr:twoCellAnchor editAs="oneCell">
    <xdr:from>
      <xdr:col>10</xdr:col>
      <xdr:colOff>657225</xdr:colOff>
      <xdr:row>79</xdr:row>
      <xdr:rowOff>19050</xdr:rowOff>
    </xdr:from>
    <xdr:to>
      <xdr:col>10</xdr:col>
      <xdr:colOff>790575</xdr:colOff>
      <xdr:row>80</xdr:row>
      <xdr:rowOff>866</xdr:rowOff>
    </xdr:to>
    <xdr:pic>
      <xdr:nvPicPr>
        <xdr:cNvPr id="516015" name="Picture 65088" descr="C:\Users\Bryan\AppData\Local\Microsoft\Windows\Temporary Internet Files\Content.IE5\MVT8L020\MC900433812[1].png">
          <a:extLst>
            <a:ext uri="{FF2B5EF4-FFF2-40B4-BE49-F238E27FC236}">
              <a16:creationId xmlns:a16="http://schemas.microsoft.com/office/drawing/2014/main" id="{00000000-0008-0000-0200-0000AFDF0700}"/>
            </a:ext>
          </a:extLst>
        </xdr:cNvPr>
        <xdr:cNvPicPr>
          <a:picLocks noChangeAspect="1"/>
        </xdr:cNvPicPr>
      </xdr:nvPicPr>
      <xdr:blipFill>
        <a:blip xmlns:r="http://schemas.openxmlformats.org/officeDocument/2006/relationships" r:embed="rId2"/>
        <a:stretch>
          <a:fillRect/>
        </a:stretch>
      </xdr:blipFill>
      <xdr:spPr>
        <a:xfrm>
          <a:off x="16221818" y="11906250"/>
          <a:ext cx="133350" cy="134217"/>
        </a:xfrm>
        <a:prstGeom prst="rect">
          <a:avLst/>
        </a:prstGeom>
        <a:noFill/>
        <a:ln>
          <a:noFill/>
        </a:ln>
      </xdr:spPr>
    </xdr:pic>
    <xdr:clientData/>
  </xdr:twoCellAnchor>
  <xdr:twoCellAnchor editAs="oneCell">
    <xdr:from>
      <xdr:col>10</xdr:col>
      <xdr:colOff>677956</xdr:colOff>
      <xdr:row>100</xdr:row>
      <xdr:rowOff>7844</xdr:rowOff>
    </xdr:from>
    <xdr:to>
      <xdr:col>10</xdr:col>
      <xdr:colOff>811306</xdr:colOff>
      <xdr:row>100</xdr:row>
      <xdr:rowOff>141194</xdr:rowOff>
    </xdr:to>
    <xdr:pic>
      <xdr:nvPicPr>
        <xdr:cNvPr id="516016" name="Picture 65088" descr="C:\Users\Bryan\AppData\Local\Microsoft\Windows\Temporary Internet Files\Content.IE5\MVT8L020\MC900433812[1].png">
          <a:extLst>
            <a:ext uri="{FF2B5EF4-FFF2-40B4-BE49-F238E27FC236}">
              <a16:creationId xmlns:a16="http://schemas.microsoft.com/office/drawing/2014/main" id="{00000000-0008-0000-0200-0000B0DF0700}"/>
            </a:ext>
          </a:extLst>
        </xdr:cNvPr>
        <xdr:cNvPicPr>
          <a:picLocks noChangeAspect="1"/>
        </xdr:cNvPicPr>
      </xdr:nvPicPr>
      <xdr:blipFill>
        <a:blip xmlns:r="http://schemas.openxmlformats.org/officeDocument/2006/relationships" r:embed="rId2"/>
        <a:stretch>
          <a:fillRect/>
        </a:stretch>
      </xdr:blipFill>
      <xdr:spPr>
        <a:xfrm>
          <a:off x="16242549" y="15095444"/>
          <a:ext cx="133350" cy="133350"/>
        </a:xfrm>
        <a:prstGeom prst="rect">
          <a:avLst/>
        </a:prstGeom>
        <a:noFill/>
        <a:ln>
          <a:noFill/>
        </a:ln>
      </xdr:spPr>
    </xdr:pic>
    <xdr:clientData/>
  </xdr:twoCellAnchor>
  <xdr:twoCellAnchor editAs="oneCell">
    <xdr:from>
      <xdr:col>13</xdr:col>
      <xdr:colOff>657225</xdr:colOff>
      <xdr:row>3</xdr:row>
      <xdr:rowOff>0</xdr:rowOff>
    </xdr:from>
    <xdr:to>
      <xdr:col>13</xdr:col>
      <xdr:colOff>800100</xdr:colOff>
      <xdr:row>3</xdr:row>
      <xdr:rowOff>133350</xdr:rowOff>
    </xdr:to>
    <xdr:pic>
      <xdr:nvPicPr>
        <xdr:cNvPr id="516017" name="Picture 65088" descr="C:\Users\Bryan\AppData\Local\Microsoft\Windows\Temporary Internet Files\Content.IE5\MVT8L020\MC900433812[1].png">
          <a:extLst>
            <a:ext uri="{FF2B5EF4-FFF2-40B4-BE49-F238E27FC236}">
              <a16:creationId xmlns:a16="http://schemas.microsoft.com/office/drawing/2014/main" id="{00000000-0008-0000-0200-0000B1DF0700}"/>
            </a:ext>
          </a:extLst>
        </xdr:cNvPr>
        <xdr:cNvPicPr>
          <a:picLocks noChangeAspect="1"/>
        </xdr:cNvPicPr>
      </xdr:nvPicPr>
      <xdr:blipFill>
        <a:blip xmlns:r="http://schemas.openxmlformats.org/officeDocument/2006/relationships" r:embed="rId3"/>
        <a:stretch>
          <a:fillRect/>
        </a:stretch>
      </xdr:blipFill>
      <xdr:spPr>
        <a:xfrm>
          <a:off x="20356901" y="457200"/>
          <a:ext cx="142875" cy="133350"/>
        </a:xfrm>
        <a:prstGeom prst="rect">
          <a:avLst/>
        </a:prstGeom>
        <a:noFill/>
        <a:ln>
          <a:noFill/>
        </a:ln>
      </xdr:spPr>
    </xdr:pic>
    <xdr:clientData/>
  </xdr:twoCellAnchor>
  <xdr:twoCellAnchor>
    <xdr:from>
      <xdr:col>1</xdr:col>
      <xdr:colOff>556937</xdr:colOff>
      <xdr:row>17</xdr:row>
      <xdr:rowOff>9525</xdr:rowOff>
    </xdr:from>
    <xdr:to>
      <xdr:col>1</xdr:col>
      <xdr:colOff>699812</xdr:colOff>
      <xdr:row>17</xdr:row>
      <xdr:rowOff>142875</xdr:rowOff>
    </xdr:to>
    <xdr:pic>
      <xdr:nvPicPr>
        <xdr:cNvPr id="516018" name="Picture 65088" descr="C:\Users\Bryan\AppData\Local\Microsoft\Windows\Temporary Internet Files\Content.IE5\MVT8L020\MC900433812[1].png">
          <a:extLst>
            <a:ext uri="{FF2B5EF4-FFF2-40B4-BE49-F238E27FC236}">
              <a16:creationId xmlns:a16="http://schemas.microsoft.com/office/drawing/2014/main" id="{00000000-0008-0000-0200-0000B2DF0700}"/>
            </a:ext>
          </a:extLst>
        </xdr:cNvPr>
        <xdr:cNvPicPr>
          <a:picLocks noChangeAspect="1"/>
        </xdr:cNvPicPr>
      </xdr:nvPicPr>
      <xdr:blipFill>
        <a:blip xmlns:r="http://schemas.openxmlformats.org/officeDocument/2006/relationships" r:embed="rId3"/>
        <a:stretch>
          <a:fillRect/>
        </a:stretch>
      </xdr:blipFill>
      <xdr:spPr>
        <a:xfrm>
          <a:off x="3819711" y="2600325"/>
          <a:ext cx="142875" cy="133350"/>
        </a:xfrm>
        <a:prstGeom prst="rect">
          <a:avLst/>
        </a:prstGeom>
        <a:noFill/>
        <a:ln>
          <a:noFill/>
        </a:ln>
      </xdr:spPr>
    </xdr:pic>
    <xdr:clientData/>
  </xdr:twoCellAnchor>
  <xdr:twoCellAnchor editAs="oneCell">
    <xdr:from>
      <xdr:col>13</xdr:col>
      <xdr:colOff>676275</xdr:colOff>
      <xdr:row>9</xdr:row>
      <xdr:rowOff>19050</xdr:rowOff>
    </xdr:from>
    <xdr:to>
      <xdr:col>13</xdr:col>
      <xdr:colOff>809625</xdr:colOff>
      <xdr:row>10</xdr:row>
      <xdr:rowOff>0</xdr:rowOff>
    </xdr:to>
    <xdr:pic>
      <xdr:nvPicPr>
        <xdr:cNvPr id="516019" name="Picture 65088" descr="C:\Users\Bryan\AppData\Local\Microsoft\Windows\Temporary Internet Files\Content.IE5\MVT8L020\MC900433812[1].png">
          <a:extLst>
            <a:ext uri="{FF2B5EF4-FFF2-40B4-BE49-F238E27FC236}">
              <a16:creationId xmlns:a16="http://schemas.microsoft.com/office/drawing/2014/main" id="{00000000-0008-0000-0200-0000B3DF0700}"/>
            </a:ext>
          </a:extLst>
        </xdr:cNvPr>
        <xdr:cNvPicPr>
          <a:picLocks noChangeAspect="1"/>
        </xdr:cNvPicPr>
      </xdr:nvPicPr>
      <xdr:blipFill>
        <a:blip xmlns:r="http://schemas.openxmlformats.org/officeDocument/2006/relationships" r:embed="rId4"/>
        <a:stretch>
          <a:fillRect/>
        </a:stretch>
      </xdr:blipFill>
      <xdr:spPr>
        <a:xfrm>
          <a:off x="20375951" y="1390650"/>
          <a:ext cx="133350" cy="133350"/>
        </a:xfrm>
        <a:prstGeom prst="rect">
          <a:avLst/>
        </a:prstGeom>
        <a:noFill/>
        <a:ln>
          <a:noFill/>
        </a:ln>
      </xdr:spPr>
    </xdr:pic>
    <xdr:clientData/>
  </xdr:twoCellAnchor>
  <xdr:twoCellAnchor editAs="oneCell">
    <xdr:from>
      <xdr:col>13</xdr:col>
      <xdr:colOff>657225</xdr:colOff>
      <xdr:row>4</xdr:row>
      <xdr:rowOff>9525</xdr:rowOff>
    </xdr:from>
    <xdr:to>
      <xdr:col>13</xdr:col>
      <xdr:colOff>800100</xdr:colOff>
      <xdr:row>4</xdr:row>
      <xdr:rowOff>142875</xdr:rowOff>
    </xdr:to>
    <xdr:pic>
      <xdr:nvPicPr>
        <xdr:cNvPr id="516021" name="Picture 65088" descr="C:\Users\Bryan\AppData\Local\Microsoft\Windows\Temporary Internet Files\Content.IE5\MVT8L020\MC900433812[1].png">
          <a:extLst>
            <a:ext uri="{FF2B5EF4-FFF2-40B4-BE49-F238E27FC236}">
              <a16:creationId xmlns:a16="http://schemas.microsoft.com/office/drawing/2014/main" id="{00000000-0008-0000-0200-0000B5DF0700}"/>
            </a:ext>
          </a:extLst>
        </xdr:cNvPr>
        <xdr:cNvPicPr>
          <a:picLocks noChangeAspect="1"/>
        </xdr:cNvPicPr>
      </xdr:nvPicPr>
      <xdr:blipFill>
        <a:blip xmlns:r="http://schemas.openxmlformats.org/officeDocument/2006/relationships" r:embed="rId3"/>
        <a:stretch>
          <a:fillRect/>
        </a:stretch>
      </xdr:blipFill>
      <xdr:spPr>
        <a:xfrm>
          <a:off x="20356901" y="619125"/>
          <a:ext cx="142875" cy="133350"/>
        </a:xfrm>
        <a:prstGeom prst="rect">
          <a:avLst/>
        </a:prstGeom>
        <a:noFill/>
        <a:ln>
          <a:noFill/>
        </a:ln>
      </xdr:spPr>
    </xdr:pic>
    <xdr:clientData/>
  </xdr:twoCellAnchor>
  <xdr:twoCellAnchor editAs="oneCell">
    <xdr:from>
      <xdr:col>13</xdr:col>
      <xdr:colOff>656111</xdr:colOff>
      <xdr:row>6</xdr:row>
      <xdr:rowOff>9525</xdr:rowOff>
    </xdr:from>
    <xdr:to>
      <xdr:col>13</xdr:col>
      <xdr:colOff>798986</xdr:colOff>
      <xdr:row>6</xdr:row>
      <xdr:rowOff>142875</xdr:rowOff>
    </xdr:to>
    <xdr:pic>
      <xdr:nvPicPr>
        <xdr:cNvPr id="516022" name="Picture 65088" descr="C:\Users\Bryan\AppData\Local\Microsoft\Windows\Temporary Internet Files\Content.IE5\MVT8L020\MC900433812[1].png">
          <a:extLst>
            <a:ext uri="{FF2B5EF4-FFF2-40B4-BE49-F238E27FC236}">
              <a16:creationId xmlns:a16="http://schemas.microsoft.com/office/drawing/2014/main" id="{00000000-0008-0000-0200-0000B6DF0700}"/>
            </a:ext>
          </a:extLst>
        </xdr:cNvPr>
        <xdr:cNvPicPr>
          <a:picLocks noChangeAspect="1"/>
        </xdr:cNvPicPr>
      </xdr:nvPicPr>
      <xdr:blipFill>
        <a:blip xmlns:r="http://schemas.openxmlformats.org/officeDocument/2006/relationships" r:embed="rId3"/>
        <a:stretch>
          <a:fillRect/>
        </a:stretch>
      </xdr:blipFill>
      <xdr:spPr>
        <a:xfrm>
          <a:off x="20355787" y="923925"/>
          <a:ext cx="142875" cy="133350"/>
        </a:xfrm>
        <a:prstGeom prst="rect">
          <a:avLst/>
        </a:prstGeom>
        <a:noFill/>
        <a:ln>
          <a:noFill/>
        </a:ln>
      </xdr:spPr>
    </xdr:pic>
    <xdr:clientData/>
  </xdr:twoCellAnchor>
  <xdr:twoCellAnchor editAs="oneCell">
    <xdr:from>
      <xdr:col>10</xdr:col>
      <xdr:colOff>673479</xdr:colOff>
      <xdr:row>105</xdr:row>
      <xdr:rowOff>9525</xdr:rowOff>
    </xdr:from>
    <xdr:to>
      <xdr:col>10</xdr:col>
      <xdr:colOff>806829</xdr:colOff>
      <xdr:row>105</xdr:row>
      <xdr:rowOff>142875</xdr:rowOff>
    </xdr:to>
    <xdr:pic>
      <xdr:nvPicPr>
        <xdr:cNvPr id="516023" name="Picture 65088" descr="C:\Users\Bryan\AppData\Local\Microsoft\Windows\Temporary Internet Files\Content.IE5\MVT8L020\MC900433812[1].png">
          <a:extLst>
            <a:ext uri="{FF2B5EF4-FFF2-40B4-BE49-F238E27FC236}">
              <a16:creationId xmlns:a16="http://schemas.microsoft.com/office/drawing/2014/main" id="{00000000-0008-0000-0200-0000B7DF0700}"/>
            </a:ext>
          </a:extLst>
        </xdr:cNvPr>
        <xdr:cNvPicPr>
          <a:picLocks noChangeAspect="1"/>
        </xdr:cNvPicPr>
      </xdr:nvPicPr>
      <xdr:blipFill>
        <a:blip xmlns:r="http://schemas.openxmlformats.org/officeDocument/2006/relationships" r:embed="rId2"/>
        <a:stretch>
          <a:fillRect/>
        </a:stretch>
      </xdr:blipFill>
      <xdr:spPr>
        <a:xfrm>
          <a:off x="16238072" y="15859125"/>
          <a:ext cx="133350" cy="133350"/>
        </a:xfrm>
        <a:prstGeom prst="rect">
          <a:avLst/>
        </a:prstGeom>
        <a:noFill/>
        <a:ln>
          <a:noFill/>
        </a:ln>
      </xdr:spPr>
    </xdr:pic>
    <xdr:clientData/>
  </xdr:twoCellAnchor>
  <xdr:twoCellAnchor editAs="oneCell">
    <xdr:from>
      <xdr:col>10</xdr:col>
      <xdr:colOff>651068</xdr:colOff>
      <xdr:row>6</xdr:row>
      <xdr:rowOff>9525</xdr:rowOff>
    </xdr:from>
    <xdr:to>
      <xdr:col>10</xdr:col>
      <xdr:colOff>793943</xdr:colOff>
      <xdr:row>6</xdr:row>
      <xdr:rowOff>142875</xdr:rowOff>
    </xdr:to>
    <xdr:pic>
      <xdr:nvPicPr>
        <xdr:cNvPr id="516024" name="Picture 65088" descr="C:\Users\Bryan\AppData\Local\Microsoft\Windows\Temporary Internet Files\Content.IE5\MVT8L020\MC900433812[1].png">
          <a:extLst>
            <a:ext uri="{FF2B5EF4-FFF2-40B4-BE49-F238E27FC236}">
              <a16:creationId xmlns:a16="http://schemas.microsoft.com/office/drawing/2014/main" id="{00000000-0008-0000-0200-0000B8DF0700}"/>
            </a:ext>
          </a:extLst>
        </xdr:cNvPr>
        <xdr:cNvPicPr>
          <a:picLocks noChangeAspect="1"/>
        </xdr:cNvPicPr>
      </xdr:nvPicPr>
      <xdr:blipFill>
        <a:blip xmlns:r="http://schemas.openxmlformats.org/officeDocument/2006/relationships" r:embed="rId3"/>
        <a:stretch>
          <a:fillRect/>
        </a:stretch>
      </xdr:blipFill>
      <xdr:spPr>
        <a:xfrm>
          <a:off x="16215661" y="923925"/>
          <a:ext cx="142875" cy="133350"/>
        </a:xfrm>
        <a:prstGeom prst="rect">
          <a:avLst/>
        </a:prstGeom>
        <a:noFill/>
        <a:ln>
          <a:noFill/>
        </a:ln>
      </xdr:spPr>
    </xdr:pic>
    <xdr:clientData/>
  </xdr:twoCellAnchor>
  <xdr:twoCellAnchor editAs="oneCell">
    <xdr:from>
      <xdr:col>13</xdr:col>
      <xdr:colOff>666750</xdr:colOff>
      <xdr:row>7</xdr:row>
      <xdr:rowOff>9525</xdr:rowOff>
    </xdr:from>
    <xdr:to>
      <xdr:col>13</xdr:col>
      <xdr:colOff>809625</xdr:colOff>
      <xdr:row>7</xdr:row>
      <xdr:rowOff>142875</xdr:rowOff>
    </xdr:to>
    <xdr:pic>
      <xdr:nvPicPr>
        <xdr:cNvPr id="516029" name="Picture 65088" descr="C:\Users\Bryan\AppData\Local\Microsoft\Windows\Temporary Internet Files\Content.IE5\MVT8L020\MC900433812[1].png">
          <a:extLst>
            <a:ext uri="{FF2B5EF4-FFF2-40B4-BE49-F238E27FC236}">
              <a16:creationId xmlns:a16="http://schemas.microsoft.com/office/drawing/2014/main" id="{00000000-0008-0000-0200-0000BDDF0700}"/>
            </a:ext>
          </a:extLst>
        </xdr:cNvPr>
        <xdr:cNvPicPr>
          <a:picLocks noChangeAspect="1"/>
        </xdr:cNvPicPr>
      </xdr:nvPicPr>
      <xdr:blipFill>
        <a:blip xmlns:r="http://schemas.openxmlformats.org/officeDocument/2006/relationships" r:embed="rId3"/>
        <a:stretch>
          <a:fillRect/>
        </a:stretch>
      </xdr:blipFill>
      <xdr:spPr>
        <a:xfrm>
          <a:off x="20366426" y="1076325"/>
          <a:ext cx="142875" cy="133350"/>
        </a:xfrm>
        <a:prstGeom prst="rect">
          <a:avLst/>
        </a:prstGeom>
        <a:noFill/>
        <a:ln>
          <a:noFill/>
        </a:ln>
      </xdr:spPr>
    </xdr:pic>
    <xdr:clientData/>
  </xdr:twoCellAnchor>
  <xdr:twoCellAnchor editAs="oneCell">
    <xdr:from>
      <xdr:col>10</xdr:col>
      <xdr:colOff>657225</xdr:colOff>
      <xdr:row>75</xdr:row>
      <xdr:rowOff>9525</xdr:rowOff>
    </xdr:from>
    <xdr:to>
      <xdr:col>10</xdr:col>
      <xdr:colOff>790575</xdr:colOff>
      <xdr:row>75</xdr:row>
      <xdr:rowOff>142875</xdr:rowOff>
    </xdr:to>
    <xdr:pic>
      <xdr:nvPicPr>
        <xdr:cNvPr id="516030" name="Picture 65088" descr="C:\Users\Bryan\AppData\Local\Microsoft\Windows\Temporary Internet Files\Content.IE5\MVT8L020\MC900433812[1].png">
          <a:extLst>
            <a:ext uri="{FF2B5EF4-FFF2-40B4-BE49-F238E27FC236}">
              <a16:creationId xmlns:a16="http://schemas.microsoft.com/office/drawing/2014/main" id="{00000000-0008-0000-0200-0000BEDF0700}"/>
            </a:ext>
          </a:extLst>
        </xdr:cNvPr>
        <xdr:cNvPicPr>
          <a:picLocks noChangeAspect="1"/>
        </xdr:cNvPicPr>
      </xdr:nvPicPr>
      <xdr:blipFill>
        <a:blip xmlns:r="http://schemas.openxmlformats.org/officeDocument/2006/relationships" r:embed="rId2"/>
        <a:stretch>
          <a:fillRect/>
        </a:stretch>
      </xdr:blipFill>
      <xdr:spPr>
        <a:xfrm>
          <a:off x="16221818" y="11439525"/>
          <a:ext cx="133350" cy="133350"/>
        </a:xfrm>
        <a:prstGeom prst="rect">
          <a:avLst/>
        </a:prstGeom>
        <a:noFill/>
        <a:ln>
          <a:noFill/>
        </a:ln>
      </xdr:spPr>
    </xdr:pic>
    <xdr:clientData/>
  </xdr:twoCellAnchor>
  <xdr:twoCellAnchor editAs="oneCell">
    <xdr:from>
      <xdr:col>10</xdr:col>
      <xdr:colOff>651069</xdr:colOff>
      <xdr:row>3</xdr:row>
      <xdr:rowOff>11206</xdr:rowOff>
    </xdr:from>
    <xdr:to>
      <xdr:col>10</xdr:col>
      <xdr:colOff>793944</xdr:colOff>
      <xdr:row>3</xdr:row>
      <xdr:rowOff>144556</xdr:rowOff>
    </xdr:to>
    <xdr:pic>
      <xdr:nvPicPr>
        <xdr:cNvPr id="516031" name="Picture 65088" descr="C:\Users\Bryan\AppData\Local\Microsoft\Windows\Temporary Internet Files\Content.IE5\MVT8L020\MC900433812[1].png">
          <a:extLst>
            <a:ext uri="{FF2B5EF4-FFF2-40B4-BE49-F238E27FC236}">
              <a16:creationId xmlns:a16="http://schemas.microsoft.com/office/drawing/2014/main" id="{00000000-0008-0000-0200-0000BFDF0700}"/>
            </a:ext>
          </a:extLst>
        </xdr:cNvPr>
        <xdr:cNvPicPr>
          <a:picLocks noChangeAspect="1"/>
        </xdr:cNvPicPr>
      </xdr:nvPicPr>
      <xdr:blipFill>
        <a:blip xmlns:r="http://schemas.openxmlformats.org/officeDocument/2006/relationships" r:embed="rId3"/>
        <a:stretch>
          <a:fillRect/>
        </a:stretch>
      </xdr:blipFill>
      <xdr:spPr>
        <a:xfrm>
          <a:off x="16215662" y="468406"/>
          <a:ext cx="142875" cy="133350"/>
        </a:xfrm>
        <a:prstGeom prst="rect">
          <a:avLst/>
        </a:prstGeom>
        <a:noFill/>
        <a:ln>
          <a:noFill/>
        </a:ln>
      </xdr:spPr>
    </xdr:pic>
    <xdr:clientData/>
  </xdr:twoCellAnchor>
  <xdr:twoCellAnchor editAs="oneCell">
    <xdr:from>
      <xdr:col>16</xdr:col>
      <xdr:colOff>666747</xdr:colOff>
      <xdr:row>52</xdr:row>
      <xdr:rowOff>9525</xdr:rowOff>
    </xdr:from>
    <xdr:to>
      <xdr:col>16</xdr:col>
      <xdr:colOff>809622</xdr:colOff>
      <xdr:row>52</xdr:row>
      <xdr:rowOff>142875</xdr:rowOff>
    </xdr:to>
    <xdr:pic>
      <xdr:nvPicPr>
        <xdr:cNvPr id="516032" name="Picture 65088" descr="C:\Users\Bryan\AppData\Local\Microsoft\Windows\Temporary Internet Files\Content.IE5\MVT8L020\MC900433812[1].png">
          <a:extLst>
            <a:ext uri="{FF2B5EF4-FFF2-40B4-BE49-F238E27FC236}">
              <a16:creationId xmlns:a16="http://schemas.microsoft.com/office/drawing/2014/main" id="{00000000-0008-0000-0200-0000C0DF0700}"/>
            </a:ext>
          </a:extLst>
        </xdr:cNvPr>
        <xdr:cNvPicPr>
          <a:picLocks noChangeAspect="1"/>
        </xdr:cNvPicPr>
      </xdr:nvPicPr>
      <xdr:blipFill>
        <a:blip xmlns:r="http://schemas.openxmlformats.org/officeDocument/2006/relationships" r:embed="rId3"/>
        <a:stretch>
          <a:fillRect/>
        </a:stretch>
      </xdr:blipFill>
      <xdr:spPr>
        <a:xfrm>
          <a:off x="25551116" y="7934325"/>
          <a:ext cx="142875" cy="133350"/>
        </a:xfrm>
        <a:prstGeom prst="rect">
          <a:avLst/>
        </a:prstGeom>
        <a:noFill/>
        <a:ln>
          <a:noFill/>
        </a:ln>
      </xdr:spPr>
    </xdr:pic>
    <xdr:clientData/>
  </xdr:twoCellAnchor>
  <xdr:twoCellAnchor editAs="oneCell">
    <xdr:from>
      <xdr:col>16</xdr:col>
      <xdr:colOff>658908</xdr:colOff>
      <xdr:row>4</xdr:row>
      <xdr:rowOff>9525</xdr:rowOff>
    </xdr:from>
    <xdr:to>
      <xdr:col>16</xdr:col>
      <xdr:colOff>801783</xdr:colOff>
      <xdr:row>4</xdr:row>
      <xdr:rowOff>142875</xdr:rowOff>
    </xdr:to>
    <xdr:pic>
      <xdr:nvPicPr>
        <xdr:cNvPr id="516033" name="Picture 65088" descr="C:\Users\Bryan\AppData\Local\Microsoft\Windows\Temporary Internet Files\Content.IE5\MVT8L020\MC900433812[1].png">
          <a:extLst>
            <a:ext uri="{FF2B5EF4-FFF2-40B4-BE49-F238E27FC236}">
              <a16:creationId xmlns:a16="http://schemas.microsoft.com/office/drawing/2014/main" id="{00000000-0008-0000-0200-0000C1DF0700}"/>
            </a:ext>
          </a:extLst>
        </xdr:cNvPr>
        <xdr:cNvPicPr>
          <a:picLocks noChangeAspect="1"/>
        </xdr:cNvPicPr>
      </xdr:nvPicPr>
      <xdr:blipFill>
        <a:blip xmlns:r="http://schemas.openxmlformats.org/officeDocument/2006/relationships" r:embed="rId3"/>
        <a:stretch>
          <a:fillRect/>
        </a:stretch>
      </xdr:blipFill>
      <xdr:spPr>
        <a:xfrm>
          <a:off x="25543277" y="619125"/>
          <a:ext cx="142875" cy="133350"/>
        </a:xfrm>
        <a:prstGeom prst="rect">
          <a:avLst/>
        </a:prstGeom>
        <a:noFill/>
        <a:ln>
          <a:noFill/>
        </a:ln>
      </xdr:spPr>
    </xdr:pic>
    <xdr:clientData/>
  </xdr:twoCellAnchor>
  <xdr:twoCellAnchor editAs="oneCell">
    <xdr:from>
      <xdr:col>16</xdr:col>
      <xdr:colOff>668427</xdr:colOff>
      <xdr:row>96</xdr:row>
      <xdr:rowOff>9525</xdr:rowOff>
    </xdr:from>
    <xdr:to>
      <xdr:col>16</xdr:col>
      <xdr:colOff>811302</xdr:colOff>
      <xdr:row>96</xdr:row>
      <xdr:rowOff>142875</xdr:rowOff>
    </xdr:to>
    <xdr:pic>
      <xdr:nvPicPr>
        <xdr:cNvPr id="516034" name="Picture 65088" descr="C:\Users\Bryan\AppData\Local\Microsoft\Windows\Temporary Internet Files\Content.IE5\MVT8L020\MC900433812[1].png">
          <a:extLst>
            <a:ext uri="{FF2B5EF4-FFF2-40B4-BE49-F238E27FC236}">
              <a16:creationId xmlns:a16="http://schemas.microsoft.com/office/drawing/2014/main" id="{00000000-0008-0000-0200-0000C2DF0700}"/>
            </a:ext>
          </a:extLst>
        </xdr:cNvPr>
        <xdr:cNvPicPr>
          <a:picLocks noChangeAspect="1"/>
        </xdr:cNvPicPr>
      </xdr:nvPicPr>
      <xdr:blipFill>
        <a:blip xmlns:r="http://schemas.openxmlformats.org/officeDocument/2006/relationships" r:embed="rId3"/>
        <a:stretch>
          <a:fillRect/>
        </a:stretch>
      </xdr:blipFill>
      <xdr:spPr>
        <a:xfrm>
          <a:off x="25552796" y="14639925"/>
          <a:ext cx="142875" cy="133350"/>
        </a:xfrm>
        <a:prstGeom prst="rect">
          <a:avLst/>
        </a:prstGeom>
        <a:noFill/>
        <a:ln>
          <a:noFill/>
        </a:ln>
      </xdr:spPr>
    </xdr:pic>
    <xdr:clientData/>
  </xdr:twoCellAnchor>
  <xdr:twoCellAnchor editAs="oneCell">
    <xdr:from>
      <xdr:col>16</xdr:col>
      <xdr:colOff>668431</xdr:colOff>
      <xdr:row>91</xdr:row>
      <xdr:rowOff>9525</xdr:rowOff>
    </xdr:from>
    <xdr:to>
      <xdr:col>16</xdr:col>
      <xdr:colOff>811306</xdr:colOff>
      <xdr:row>91</xdr:row>
      <xdr:rowOff>142875</xdr:rowOff>
    </xdr:to>
    <xdr:pic>
      <xdr:nvPicPr>
        <xdr:cNvPr id="516035" name="Picture 65088" descr="C:\Users\Bryan\AppData\Local\Microsoft\Windows\Temporary Internet Files\Content.IE5\MVT8L020\MC900433812[1].png">
          <a:extLst>
            <a:ext uri="{FF2B5EF4-FFF2-40B4-BE49-F238E27FC236}">
              <a16:creationId xmlns:a16="http://schemas.microsoft.com/office/drawing/2014/main" id="{00000000-0008-0000-0200-0000C3DF0700}"/>
            </a:ext>
          </a:extLst>
        </xdr:cNvPr>
        <xdr:cNvPicPr>
          <a:picLocks noChangeAspect="1"/>
        </xdr:cNvPicPr>
      </xdr:nvPicPr>
      <xdr:blipFill>
        <a:blip xmlns:r="http://schemas.openxmlformats.org/officeDocument/2006/relationships" r:embed="rId3"/>
        <a:stretch>
          <a:fillRect/>
        </a:stretch>
      </xdr:blipFill>
      <xdr:spPr>
        <a:xfrm>
          <a:off x="25552800" y="13877925"/>
          <a:ext cx="142875" cy="133350"/>
        </a:xfrm>
        <a:prstGeom prst="rect">
          <a:avLst/>
        </a:prstGeom>
        <a:noFill/>
        <a:ln>
          <a:noFill/>
        </a:ln>
      </xdr:spPr>
    </xdr:pic>
    <xdr:clientData/>
  </xdr:twoCellAnchor>
  <xdr:twoCellAnchor editAs="oneCell">
    <xdr:from>
      <xdr:col>16</xdr:col>
      <xdr:colOff>668431</xdr:colOff>
      <xdr:row>92</xdr:row>
      <xdr:rowOff>9525</xdr:rowOff>
    </xdr:from>
    <xdr:to>
      <xdr:col>16</xdr:col>
      <xdr:colOff>811306</xdr:colOff>
      <xdr:row>92</xdr:row>
      <xdr:rowOff>142875</xdr:rowOff>
    </xdr:to>
    <xdr:pic>
      <xdr:nvPicPr>
        <xdr:cNvPr id="516036" name="Picture 65088" descr="C:\Users\Bryan\AppData\Local\Microsoft\Windows\Temporary Internet Files\Content.IE5\MVT8L020\MC900433812[1].png">
          <a:extLst>
            <a:ext uri="{FF2B5EF4-FFF2-40B4-BE49-F238E27FC236}">
              <a16:creationId xmlns:a16="http://schemas.microsoft.com/office/drawing/2014/main" id="{00000000-0008-0000-0200-0000C4DF0700}"/>
            </a:ext>
          </a:extLst>
        </xdr:cNvPr>
        <xdr:cNvPicPr>
          <a:picLocks noChangeAspect="1"/>
        </xdr:cNvPicPr>
      </xdr:nvPicPr>
      <xdr:blipFill>
        <a:blip xmlns:r="http://schemas.openxmlformats.org/officeDocument/2006/relationships" r:embed="rId3"/>
        <a:stretch>
          <a:fillRect/>
        </a:stretch>
      </xdr:blipFill>
      <xdr:spPr>
        <a:xfrm>
          <a:off x="25552800" y="14030325"/>
          <a:ext cx="142875" cy="133350"/>
        </a:xfrm>
        <a:prstGeom prst="rect">
          <a:avLst/>
        </a:prstGeom>
        <a:noFill/>
        <a:ln>
          <a:noFill/>
        </a:ln>
      </xdr:spPr>
    </xdr:pic>
    <xdr:clientData/>
  </xdr:twoCellAnchor>
  <xdr:twoCellAnchor editAs="oneCell">
    <xdr:from>
      <xdr:col>16</xdr:col>
      <xdr:colOff>668431</xdr:colOff>
      <xdr:row>93</xdr:row>
      <xdr:rowOff>9525</xdr:rowOff>
    </xdr:from>
    <xdr:to>
      <xdr:col>16</xdr:col>
      <xdr:colOff>811306</xdr:colOff>
      <xdr:row>93</xdr:row>
      <xdr:rowOff>142875</xdr:rowOff>
    </xdr:to>
    <xdr:pic>
      <xdr:nvPicPr>
        <xdr:cNvPr id="516037" name="Picture 65088" descr="C:\Users\Bryan\AppData\Local\Microsoft\Windows\Temporary Internet Files\Content.IE5\MVT8L020\MC900433812[1].png">
          <a:extLst>
            <a:ext uri="{FF2B5EF4-FFF2-40B4-BE49-F238E27FC236}">
              <a16:creationId xmlns:a16="http://schemas.microsoft.com/office/drawing/2014/main" id="{00000000-0008-0000-0200-0000C5DF0700}"/>
            </a:ext>
          </a:extLst>
        </xdr:cNvPr>
        <xdr:cNvPicPr>
          <a:picLocks noChangeAspect="1"/>
        </xdr:cNvPicPr>
      </xdr:nvPicPr>
      <xdr:blipFill>
        <a:blip xmlns:r="http://schemas.openxmlformats.org/officeDocument/2006/relationships" r:embed="rId3"/>
        <a:stretch>
          <a:fillRect/>
        </a:stretch>
      </xdr:blipFill>
      <xdr:spPr>
        <a:xfrm>
          <a:off x="25552800" y="14182725"/>
          <a:ext cx="142875" cy="133350"/>
        </a:xfrm>
        <a:prstGeom prst="rect">
          <a:avLst/>
        </a:prstGeom>
        <a:noFill/>
        <a:ln>
          <a:noFill/>
        </a:ln>
      </xdr:spPr>
    </xdr:pic>
    <xdr:clientData/>
  </xdr:twoCellAnchor>
  <xdr:twoCellAnchor editAs="oneCell">
    <xdr:from>
      <xdr:col>16</xdr:col>
      <xdr:colOff>662268</xdr:colOff>
      <xdr:row>3</xdr:row>
      <xdr:rowOff>9525</xdr:rowOff>
    </xdr:from>
    <xdr:to>
      <xdr:col>16</xdr:col>
      <xdr:colOff>805143</xdr:colOff>
      <xdr:row>3</xdr:row>
      <xdr:rowOff>142875</xdr:rowOff>
    </xdr:to>
    <xdr:pic>
      <xdr:nvPicPr>
        <xdr:cNvPr id="516038" name="Picture 65088" descr="C:\Users\Bryan\AppData\Local\Microsoft\Windows\Temporary Internet Files\Content.IE5\MVT8L020\MC900433812[1].png">
          <a:extLst>
            <a:ext uri="{FF2B5EF4-FFF2-40B4-BE49-F238E27FC236}">
              <a16:creationId xmlns:a16="http://schemas.microsoft.com/office/drawing/2014/main" id="{00000000-0008-0000-0200-0000C6DF0700}"/>
            </a:ext>
          </a:extLst>
        </xdr:cNvPr>
        <xdr:cNvPicPr>
          <a:picLocks noChangeAspect="1"/>
        </xdr:cNvPicPr>
      </xdr:nvPicPr>
      <xdr:blipFill>
        <a:blip xmlns:r="http://schemas.openxmlformats.org/officeDocument/2006/relationships" r:embed="rId3"/>
        <a:stretch>
          <a:fillRect/>
        </a:stretch>
      </xdr:blipFill>
      <xdr:spPr>
        <a:xfrm>
          <a:off x="25546637" y="466725"/>
          <a:ext cx="142875" cy="133350"/>
        </a:xfrm>
        <a:prstGeom prst="rect">
          <a:avLst/>
        </a:prstGeom>
        <a:noFill/>
        <a:ln>
          <a:noFill/>
        </a:ln>
      </xdr:spPr>
    </xdr:pic>
    <xdr:clientData/>
  </xdr:twoCellAnchor>
  <xdr:twoCellAnchor>
    <xdr:from>
      <xdr:col>1</xdr:col>
      <xdr:colOff>561975</xdr:colOff>
      <xdr:row>12</xdr:row>
      <xdr:rowOff>9525</xdr:rowOff>
    </xdr:from>
    <xdr:to>
      <xdr:col>1</xdr:col>
      <xdr:colOff>695325</xdr:colOff>
      <xdr:row>12</xdr:row>
      <xdr:rowOff>142875</xdr:rowOff>
    </xdr:to>
    <xdr:pic>
      <xdr:nvPicPr>
        <xdr:cNvPr id="516039" name="Picture 65088" descr="C:\Users\Bryan\AppData\Local\Microsoft\Windows\Temporary Internet Files\Content.IE5\MVT8L020\MC900433812[1].png">
          <a:extLst>
            <a:ext uri="{FF2B5EF4-FFF2-40B4-BE49-F238E27FC236}">
              <a16:creationId xmlns:a16="http://schemas.microsoft.com/office/drawing/2014/main" id="{00000000-0008-0000-0200-0000C7DF0700}"/>
            </a:ext>
          </a:extLst>
        </xdr:cNvPr>
        <xdr:cNvPicPr>
          <a:picLocks noChangeAspect="1"/>
        </xdr:cNvPicPr>
      </xdr:nvPicPr>
      <xdr:blipFill>
        <a:blip xmlns:r="http://schemas.openxmlformats.org/officeDocument/2006/relationships" r:embed="rId2"/>
        <a:stretch>
          <a:fillRect/>
        </a:stretch>
      </xdr:blipFill>
      <xdr:spPr>
        <a:xfrm>
          <a:off x="3824749" y="1838325"/>
          <a:ext cx="133350" cy="133350"/>
        </a:xfrm>
        <a:prstGeom prst="rect">
          <a:avLst/>
        </a:prstGeom>
        <a:noFill/>
        <a:ln>
          <a:noFill/>
        </a:ln>
      </xdr:spPr>
    </xdr:pic>
    <xdr:clientData/>
  </xdr:twoCellAnchor>
  <xdr:twoCellAnchor>
    <xdr:from>
      <xdr:col>1</xdr:col>
      <xdr:colOff>561975</xdr:colOff>
      <xdr:row>13</xdr:row>
      <xdr:rowOff>9525</xdr:rowOff>
    </xdr:from>
    <xdr:to>
      <xdr:col>1</xdr:col>
      <xdr:colOff>695325</xdr:colOff>
      <xdr:row>13</xdr:row>
      <xdr:rowOff>142875</xdr:rowOff>
    </xdr:to>
    <xdr:pic>
      <xdr:nvPicPr>
        <xdr:cNvPr id="516040" name="Picture 65088" descr="C:\Users\Bryan\AppData\Local\Microsoft\Windows\Temporary Internet Files\Content.IE5\MVT8L020\MC900433812[1].png">
          <a:extLst>
            <a:ext uri="{FF2B5EF4-FFF2-40B4-BE49-F238E27FC236}">
              <a16:creationId xmlns:a16="http://schemas.microsoft.com/office/drawing/2014/main" id="{00000000-0008-0000-0200-0000C8DF0700}"/>
            </a:ext>
          </a:extLst>
        </xdr:cNvPr>
        <xdr:cNvPicPr>
          <a:picLocks noChangeAspect="1"/>
        </xdr:cNvPicPr>
      </xdr:nvPicPr>
      <xdr:blipFill>
        <a:blip xmlns:r="http://schemas.openxmlformats.org/officeDocument/2006/relationships" r:embed="rId2"/>
        <a:stretch>
          <a:fillRect/>
        </a:stretch>
      </xdr:blipFill>
      <xdr:spPr>
        <a:xfrm>
          <a:off x="3824749" y="1990725"/>
          <a:ext cx="133350" cy="133350"/>
        </a:xfrm>
        <a:prstGeom prst="rect">
          <a:avLst/>
        </a:prstGeom>
        <a:noFill/>
        <a:ln>
          <a:noFill/>
        </a:ln>
      </xdr:spPr>
    </xdr:pic>
    <xdr:clientData/>
  </xdr:twoCellAnchor>
  <xdr:twoCellAnchor>
    <xdr:from>
      <xdr:col>1</xdr:col>
      <xdr:colOff>547408</xdr:colOff>
      <xdr:row>10</xdr:row>
      <xdr:rowOff>9525</xdr:rowOff>
    </xdr:from>
    <xdr:to>
      <xdr:col>1</xdr:col>
      <xdr:colOff>690283</xdr:colOff>
      <xdr:row>10</xdr:row>
      <xdr:rowOff>142875</xdr:rowOff>
    </xdr:to>
    <xdr:pic>
      <xdr:nvPicPr>
        <xdr:cNvPr id="516041" name="Picture 65088" descr="C:\Users\Bryan\AppData\Local\Microsoft\Windows\Temporary Internet Files\Content.IE5\MVT8L020\MC900433812[1].png">
          <a:extLst>
            <a:ext uri="{FF2B5EF4-FFF2-40B4-BE49-F238E27FC236}">
              <a16:creationId xmlns:a16="http://schemas.microsoft.com/office/drawing/2014/main" id="{00000000-0008-0000-0200-0000C9DF0700}"/>
            </a:ext>
          </a:extLst>
        </xdr:cNvPr>
        <xdr:cNvPicPr>
          <a:picLocks noChangeAspect="1"/>
        </xdr:cNvPicPr>
      </xdr:nvPicPr>
      <xdr:blipFill>
        <a:blip xmlns:r="http://schemas.openxmlformats.org/officeDocument/2006/relationships" r:embed="rId3"/>
        <a:stretch>
          <a:fillRect/>
        </a:stretch>
      </xdr:blipFill>
      <xdr:spPr>
        <a:xfrm>
          <a:off x="3810182" y="1533525"/>
          <a:ext cx="142875" cy="133350"/>
        </a:xfrm>
        <a:prstGeom prst="rect">
          <a:avLst/>
        </a:prstGeom>
        <a:noFill/>
        <a:ln>
          <a:noFill/>
        </a:ln>
      </xdr:spPr>
    </xdr:pic>
    <xdr:clientData/>
  </xdr:twoCellAnchor>
  <xdr:twoCellAnchor>
    <xdr:from>
      <xdr:col>1</xdr:col>
      <xdr:colOff>561975</xdr:colOff>
      <xdr:row>26</xdr:row>
      <xdr:rowOff>9525</xdr:rowOff>
    </xdr:from>
    <xdr:to>
      <xdr:col>1</xdr:col>
      <xdr:colOff>695325</xdr:colOff>
      <xdr:row>26</xdr:row>
      <xdr:rowOff>142875</xdr:rowOff>
    </xdr:to>
    <xdr:pic>
      <xdr:nvPicPr>
        <xdr:cNvPr id="516042" name="Picture 65088" descr="C:\Users\Bryan\AppData\Local\Microsoft\Windows\Temporary Internet Files\Content.IE5\MVT8L020\MC900433812[1].png">
          <a:extLst>
            <a:ext uri="{FF2B5EF4-FFF2-40B4-BE49-F238E27FC236}">
              <a16:creationId xmlns:a16="http://schemas.microsoft.com/office/drawing/2014/main" id="{00000000-0008-0000-0200-0000CADF0700}"/>
            </a:ext>
          </a:extLst>
        </xdr:cNvPr>
        <xdr:cNvPicPr>
          <a:picLocks noChangeAspect="1"/>
        </xdr:cNvPicPr>
      </xdr:nvPicPr>
      <xdr:blipFill>
        <a:blip xmlns:r="http://schemas.openxmlformats.org/officeDocument/2006/relationships" r:embed="rId2"/>
        <a:stretch>
          <a:fillRect/>
        </a:stretch>
      </xdr:blipFill>
      <xdr:spPr>
        <a:xfrm>
          <a:off x="3824749" y="3971925"/>
          <a:ext cx="133350" cy="133350"/>
        </a:xfrm>
        <a:prstGeom prst="rect">
          <a:avLst/>
        </a:prstGeom>
        <a:noFill/>
        <a:ln>
          <a:noFill/>
        </a:ln>
      </xdr:spPr>
    </xdr:pic>
    <xdr:clientData/>
  </xdr:twoCellAnchor>
  <xdr:twoCellAnchor editAs="oneCell">
    <xdr:from>
      <xdr:col>13</xdr:col>
      <xdr:colOff>657225</xdr:colOff>
      <xdr:row>5</xdr:row>
      <xdr:rowOff>9525</xdr:rowOff>
    </xdr:from>
    <xdr:to>
      <xdr:col>13</xdr:col>
      <xdr:colOff>800100</xdr:colOff>
      <xdr:row>5</xdr:row>
      <xdr:rowOff>142875</xdr:rowOff>
    </xdr:to>
    <xdr:pic>
      <xdr:nvPicPr>
        <xdr:cNvPr id="516043" name="Picture 65088" descr="C:\Users\Bryan\AppData\Local\Microsoft\Windows\Temporary Internet Files\Content.IE5\MVT8L020\MC900433812[1].png">
          <a:extLst>
            <a:ext uri="{FF2B5EF4-FFF2-40B4-BE49-F238E27FC236}">
              <a16:creationId xmlns:a16="http://schemas.microsoft.com/office/drawing/2014/main" id="{00000000-0008-0000-0200-0000CBDF0700}"/>
            </a:ext>
          </a:extLst>
        </xdr:cNvPr>
        <xdr:cNvPicPr>
          <a:picLocks noChangeAspect="1"/>
        </xdr:cNvPicPr>
      </xdr:nvPicPr>
      <xdr:blipFill>
        <a:blip xmlns:r="http://schemas.openxmlformats.org/officeDocument/2006/relationships" r:embed="rId3"/>
        <a:stretch>
          <a:fillRect/>
        </a:stretch>
      </xdr:blipFill>
      <xdr:spPr>
        <a:xfrm>
          <a:off x="20356901" y="771525"/>
          <a:ext cx="142875" cy="133350"/>
        </a:xfrm>
        <a:prstGeom prst="rect">
          <a:avLst/>
        </a:prstGeom>
        <a:noFill/>
        <a:ln>
          <a:noFill/>
        </a:ln>
      </xdr:spPr>
    </xdr:pic>
    <xdr:clientData/>
  </xdr:twoCellAnchor>
  <xdr:twoCellAnchor editAs="oneCell">
    <xdr:from>
      <xdr:col>10</xdr:col>
      <xdr:colOff>649382</xdr:colOff>
      <xdr:row>5</xdr:row>
      <xdr:rowOff>11206</xdr:rowOff>
    </xdr:from>
    <xdr:to>
      <xdr:col>10</xdr:col>
      <xdr:colOff>792257</xdr:colOff>
      <xdr:row>5</xdr:row>
      <xdr:rowOff>144556</xdr:rowOff>
    </xdr:to>
    <xdr:pic>
      <xdr:nvPicPr>
        <xdr:cNvPr id="516046" name="Picture 65088" descr="C:\Users\Bryan\AppData\Local\Microsoft\Windows\Temporary Internet Files\Content.IE5\MVT8L020\MC900433812[1].png">
          <a:extLst>
            <a:ext uri="{FF2B5EF4-FFF2-40B4-BE49-F238E27FC236}">
              <a16:creationId xmlns:a16="http://schemas.microsoft.com/office/drawing/2014/main" id="{00000000-0008-0000-0200-0000CEDF0700}"/>
            </a:ext>
          </a:extLst>
        </xdr:cNvPr>
        <xdr:cNvPicPr>
          <a:picLocks noChangeAspect="1"/>
        </xdr:cNvPicPr>
      </xdr:nvPicPr>
      <xdr:blipFill>
        <a:blip xmlns:r="http://schemas.openxmlformats.org/officeDocument/2006/relationships" r:embed="rId3"/>
        <a:stretch>
          <a:fillRect/>
        </a:stretch>
      </xdr:blipFill>
      <xdr:spPr>
        <a:xfrm>
          <a:off x="16213975" y="773206"/>
          <a:ext cx="142875" cy="133350"/>
        </a:xfrm>
        <a:prstGeom prst="rect">
          <a:avLst/>
        </a:prstGeom>
        <a:noFill/>
        <a:ln>
          <a:noFill/>
        </a:ln>
      </xdr:spPr>
    </xdr:pic>
    <xdr:clientData/>
  </xdr:twoCellAnchor>
  <xdr:twoCellAnchor editAs="oneCell">
    <xdr:from>
      <xdr:col>10</xdr:col>
      <xdr:colOff>647700</xdr:colOff>
      <xdr:row>4</xdr:row>
      <xdr:rowOff>9525</xdr:rowOff>
    </xdr:from>
    <xdr:to>
      <xdr:col>10</xdr:col>
      <xdr:colOff>790575</xdr:colOff>
      <xdr:row>4</xdr:row>
      <xdr:rowOff>142875</xdr:rowOff>
    </xdr:to>
    <xdr:pic>
      <xdr:nvPicPr>
        <xdr:cNvPr id="516047" name="Picture 65088" descr="C:\Users\Bryan\AppData\Local\Microsoft\Windows\Temporary Internet Files\Content.IE5\MVT8L020\MC900433812[1].png">
          <a:extLst>
            <a:ext uri="{FF2B5EF4-FFF2-40B4-BE49-F238E27FC236}">
              <a16:creationId xmlns:a16="http://schemas.microsoft.com/office/drawing/2014/main" id="{00000000-0008-0000-0200-0000CFDF0700}"/>
            </a:ext>
          </a:extLst>
        </xdr:cNvPr>
        <xdr:cNvPicPr>
          <a:picLocks noChangeAspect="1"/>
        </xdr:cNvPicPr>
      </xdr:nvPicPr>
      <xdr:blipFill>
        <a:blip xmlns:r="http://schemas.openxmlformats.org/officeDocument/2006/relationships" r:embed="rId3"/>
        <a:stretch>
          <a:fillRect/>
        </a:stretch>
      </xdr:blipFill>
      <xdr:spPr>
        <a:xfrm>
          <a:off x="16212293" y="619125"/>
          <a:ext cx="142875" cy="133350"/>
        </a:xfrm>
        <a:prstGeom prst="rect">
          <a:avLst/>
        </a:prstGeom>
        <a:noFill/>
        <a:ln>
          <a:noFill/>
        </a:ln>
      </xdr:spPr>
    </xdr:pic>
    <xdr:clientData/>
  </xdr:twoCellAnchor>
  <xdr:twoCellAnchor editAs="oneCell">
    <xdr:from>
      <xdr:col>4</xdr:col>
      <xdr:colOff>571506</xdr:colOff>
      <xdr:row>67</xdr:row>
      <xdr:rowOff>11206</xdr:rowOff>
    </xdr:from>
    <xdr:to>
      <xdr:col>4</xdr:col>
      <xdr:colOff>714381</xdr:colOff>
      <xdr:row>68</xdr:row>
      <xdr:rowOff>1627</xdr:rowOff>
    </xdr:to>
    <xdr:pic>
      <xdr:nvPicPr>
        <xdr:cNvPr id="29" name="Picture 65088" descr="C:\Users\Bryan\AppData\Local\Microsoft\Windows\Temporary Internet Files\Content.IE5\MVT8L020\MC900433812[1].png">
          <a:extLst>
            <a:ext uri="{FF2B5EF4-FFF2-40B4-BE49-F238E27FC236}">
              <a16:creationId xmlns:a16="http://schemas.microsoft.com/office/drawing/2014/main" id="{00000000-0008-0000-0200-00001D000000}"/>
            </a:ext>
          </a:extLst>
        </xdr:cNvPr>
        <xdr:cNvPicPr>
          <a:picLocks noChangeAspect="1"/>
        </xdr:cNvPicPr>
      </xdr:nvPicPr>
      <xdr:blipFill>
        <a:blip xmlns:r="http://schemas.openxmlformats.org/officeDocument/2006/relationships" r:embed="rId1"/>
        <a:stretch>
          <a:fillRect/>
        </a:stretch>
      </xdr:blipFill>
      <xdr:spPr>
        <a:xfrm>
          <a:off x="8052615" y="10222006"/>
          <a:ext cx="142875" cy="142821"/>
        </a:xfrm>
        <a:prstGeom prst="rect">
          <a:avLst/>
        </a:prstGeom>
        <a:noFill/>
        <a:ln>
          <a:noFill/>
        </a:ln>
      </xdr:spPr>
    </xdr:pic>
    <xdr:clientData/>
  </xdr:twoCellAnchor>
  <xdr:twoCellAnchor editAs="oneCell">
    <xdr:from>
      <xdr:col>4</xdr:col>
      <xdr:colOff>571506</xdr:colOff>
      <xdr:row>68</xdr:row>
      <xdr:rowOff>11206</xdr:rowOff>
    </xdr:from>
    <xdr:to>
      <xdr:col>4</xdr:col>
      <xdr:colOff>714381</xdr:colOff>
      <xdr:row>69</xdr:row>
      <xdr:rowOff>1628</xdr:rowOff>
    </xdr:to>
    <xdr:pic>
      <xdr:nvPicPr>
        <xdr:cNvPr id="31" name="Picture 65088" descr="C:\Users\Bryan\AppData\Local\Microsoft\Windows\Temporary Internet Files\Content.IE5\MVT8L020\MC900433812[1].png">
          <a:extLst>
            <a:ext uri="{FF2B5EF4-FFF2-40B4-BE49-F238E27FC236}">
              <a16:creationId xmlns:a16="http://schemas.microsoft.com/office/drawing/2014/main" id="{00000000-0008-0000-0200-00001F000000}"/>
            </a:ext>
          </a:extLst>
        </xdr:cNvPr>
        <xdr:cNvPicPr>
          <a:picLocks noChangeAspect="1"/>
        </xdr:cNvPicPr>
      </xdr:nvPicPr>
      <xdr:blipFill>
        <a:blip xmlns:r="http://schemas.openxmlformats.org/officeDocument/2006/relationships" r:embed="rId1"/>
        <a:stretch>
          <a:fillRect/>
        </a:stretch>
      </xdr:blipFill>
      <xdr:spPr>
        <a:xfrm>
          <a:off x="8052615" y="10374406"/>
          <a:ext cx="142875" cy="142822"/>
        </a:xfrm>
        <a:prstGeom prst="rect">
          <a:avLst/>
        </a:prstGeom>
        <a:noFill/>
        <a:ln>
          <a:noFill/>
        </a:ln>
      </xdr:spPr>
    </xdr:pic>
    <xdr:clientData/>
  </xdr:twoCellAnchor>
  <xdr:twoCellAnchor editAs="oneCell">
    <xdr:from>
      <xdr:col>4</xdr:col>
      <xdr:colOff>571506</xdr:colOff>
      <xdr:row>69</xdr:row>
      <xdr:rowOff>11206</xdr:rowOff>
    </xdr:from>
    <xdr:to>
      <xdr:col>4</xdr:col>
      <xdr:colOff>714381</xdr:colOff>
      <xdr:row>70</xdr:row>
      <xdr:rowOff>1627</xdr:rowOff>
    </xdr:to>
    <xdr:pic>
      <xdr:nvPicPr>
        <xdr:cNvPr id="32" name="Picture 65088" descr="C:\Users\Bryan\AppData\Local\Microsoft\Windows\Temporary Internet Files\Content.IE5\MVT8L020\MC900433812[1].png">
          <a:extLst>
            <a:ext uri="{FF2B5EF4-FFF2-40B4-BE49-F238E27FC236}">
              <a16:creationId xmlns:a16="http://schemas.microsoft.com/office/drawing/2014/main" id="{00000000-0008-0000-0200-000020000000}"/>
            </a:ext>
          </a:extLst>
        </xdr:cNvPr>
        <xdr:cNvPicPr>
          <a:picLocks noChangeAspect="1"/>
        </xdr:cNvPicPr>
      </xdr:nvPicPr>
      <xdr:blipFill>
        <a:blip xmlns:r="http://schemas.openxmlformats.org/officeDocument/2006/relationships" r:embed="rId1"/>
        <a:stretch>
          <a:fillRect/>
        </a:stretch>
      </xdr:blipFill>
      <xdr:spPr>
        <a:xfrm>
          <a:off x="8052615" y="10526806"/>
          <a:ext cx="142875" cy="142821"/>
        </a:xfrm>
        <a:prstGeom prst="rect">
          <a:avLst/>
        </a:prstGeom>
        <a:noFill/>
        <a:ln>
          <a:noFill/>
        </a:ln>
      </xdr:spPr>
    </xdr:pic>
    <xdr:clientData/>
  </xdr:twoCellAnchor>
  <xdr:twoCellAnchor editAs="oneCell">
    <xdr:from>
      <xdr:col>4</xdr:col>
      <xdr:colOff>571506</xdr:colOff>
      <xdr:row>70</xdr:row>
      <xdr:rowOff>11206</xdr:rowOff>
    </xdr:from>
    <xdr:to>
      <xdr:col>4</xdr:col>
      <xdr:colOff>714381</xdr:colOff>
      <xdr:row>71</xdr:row>
      <xdr:rowOff>1627</xdr:rowOff>
    </xdr:to>
    <xdr:pic>
      <xdr:nvPicPr>
        <xdr:cNvPr id="33" name="Picture 65088" descr="C:\Users\Bryan\AppData\Local\Microsoft\Windows\Temporary Internet Files\Content.IE5\MVT8L020\MC900433812[1].png">
          <a:extLst>
            <a:ext uri="{FF2B5EF4-FFF2-40B4-BE49-F238E27FC236}">
              <a16:creationId xmlns:a16="http://schemas.microsoft.com/office/drawing/2014/main" id="{00000000-0008-0000-0200-000021000000}"/>
            </a:ext>
          </a:extLst>
        </xdr:cNvPr>
        <xdr:cNvPicPr>
          <a:picLocks noChangeAspect="1"/>
        </xdr:cNvPicPr>
      </xdr:nvPicPr>
      <xdr:blipFill>
        <a:blip xmlns:r="http://schemas.openxmlformats.org/officeDocument/2006/relationships" r:embed="rId1"/>
        <a:stretch>
          <a:fillRect/>
        </a:stretch>
      </xdr:blipFill>
      <xdr:spPr>
        <a:xfrm>
          <a:off x="8052615" y="10679206"/>
          <a:ext cx="142875" cy="142821"/>
        </a:xfrm>
        <a:prstGeom prst="rect">
          <a:avLst/>
        </a:prstGeom>
        <a:noFill/>
        <a:ln>
          <a:noFill/>
        </a:ln>
      </xdr:spPr>
    </xdr:pic>
    <xdr:clientData/>
  </xdr:twoCellAnchor>
  <xdr:twoCellAnchor editAs="oneCell">
    <xdr:from>
      <xdr:col>4</xdr:col>
      <xdr:colOff>571506</xdr:colOff>
      <xdr:row>71</xdr:row>
      <xdr:rowOff>11206</xdr:rowOff>
    </xdr:from>
    <xdr:to>
      <xdr:col>4</xdr:col>
      <xdr:colOff>714381</xdr:colOff>
      <xdr:row>72</xdr:row>
      <xdr:rowOff>1628</xdr:rowOff>
    </xdr:to>
    <xdr:pic>
      <xdr:nvPicPr>
        <xdr:cNvPr id="34" name="Picture 65088" descr="C:\Users\Bryan\AppData\Local\Microsoft\Windows\Temporary Internet Files\Content.IE5\MVT8L020\MC900433812[1].png">
          <a:extLst>
            <a:ext uri="{FF2B5EF4-FFF2-40B4-BE49-F238E27FC236}">
              <a16:creationId xmlns:a16="http://schemas.microsoft.com/office/drawing/2014/main" id="{00000000-0008-0000-0200-000022000000}"/>
            </a:ext>
          </a:extLst>
        </xdr:cNvPr>
        <xdr:cNvPicPr>
          <a:picLocks noChangeAspect="1"/>
        </xdr:cNvPicPr>
      </xdr:nvPicPr>
      <xdr:blipFill>
        <a:blip xmlns:r="http://schemas.openxmlformats.org/officeDocument/2006/relationships" r:embed="rId1"/>
        <a:stretch>
          <a:fillRect/>
        </a:stretch>
      </xdr:blipFill>
      <xdr:spPr>
        <a:xfrm>
          <a:off x="8052615" y="10831606"/>
          <a:ext cx="142875" cy="142822"/>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95249</xdr:colOff>
      <xdr:row>64</xdr:row>
      <xdr:rowOff>150413</xdr:rowOff>
    </xdr:from>
    <xdr:to>
      <xdr:col>25</xdr:col>
      <xdr:colOff>190499</xdr:colOff>
      <xdr:row>98</xdr:row>
      <xdr:rowOff>108281</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500148" y="12646578"/>
          <a:ext cx="9506807" cy="5571268"/>
        </a:xfrm>
        <a:prstGeom prst="rect">
          <a:avLst/>
        </a:prstGeom>
        <a:noFill/>
        <a:ln>
          <a:noFill/>
        </a:ln>
      </xdr:spPr>
    </xdr:pic>
    <xdr:clientData/>
  </xdr:twoCellAnchor>
  <xdr:twoCellAnchor editAs="oneCell">
    <xdr:from>
      <xdr:col>39</xdr:col>
      <xdr:colOff>53528</xdr:colOff>
      <xdr:row>65</xdr:row>
      <xdr:rowOff>149678</xdr:rowOff>
    </xdr:from>
    <xdr:to>
      <xdr:col>51</xdr:col>
      <xdr:colOff>13609</xdr:colOff>
      <xdr:row>96</xdr:row>
      <xdr:rowOff>111578</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15500495" y="12810943"/>
          <a:ext cx="4800684" cy="5080000"/>
        </a:xfrm>
        <a:prstGeom prst="rect">
          <a:avLst/>
        </a:prstGeom>
        <a:noFill/>
        <a:ln>
          <a:noFill/>
        </a:ln>
      </xdr:spPr>
    </xdr:pic>
    <xdr:clientData/>
  </xdr:twoCellAnchor>
  <xdr:twoCellAnchor editAs="oneCell">
    <xdr:from>
      <xdr:col>52</xdr:col>
      <xdr:colOff>74890</xdr:colOff>
      <xdr:row>65</xdr:row>
      <xdr:rowOff>155579</xdr:rowOff>
    </xdr:from>
    <xdr:to>
      <xdr:col>63</xdr:col>
      <xdr:colOff>299357</xdr:colOff>
      <xdr:row>96</xdr:row>
      <xdr:rowOff>60324</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20715645" y="12816844"/>
          <a:ext cx="4868161" cy="5022845"/>
        </a:xfrm>
        <a:prstGeom prst="rect">
          <a:avLst/>
        </a:prstGeom>
        <a:noFill/>
        <a:ln>
          <a:noFill/>
        </a:ln>
      </xdr:spPr>
    </xdr:pic>
    <xdr:clientData/>
  </xdr:twoCellAnchor>
  <xdr:twoCellAnchor editAs="oneCell">
    <xdr:from>
      <xdr:col>27</xdr:col>
      <xdr:colOff>13607</xdr:colOff>
      <xdr:row>65</xdr:row>
      <xdr:rowOff>122462</xdr:rowOff>
    </xdr:from>
    <xdr:to>
      <xdr:col>37</xdr:col>
      <xdr:colOff>271718</xdr:colOff>
      <xdr:row>97</xdr:row>
      <xdr:rowOff>40366</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4"/>
        <a:stretch>
          <a:fillRect/>
        </a:stretch>
      </xdr:blipFill>
      <xdr:spPr>
        <a:xfrm>
          <a:off x="10681914" y="12783727"/>
          <a:ext cx="4184921" cy="5201104"/>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268940</xdr:colOff>
      <xdr:row>25</xdr:row>
      <xdr:rowOff>117101</xdr:rowOff>
    </xdr:from>
    <xdr:to>
      <xdr:col>17</xdr:col>
      <xdr:colOff>369794</xdr:colOff>
      <xdr:row>34</xdr:row>
      <xdr:rowOff>78440</xdr:rowOff>
    </xdr:to>
    <xdr:pic>
      <xdr:nvPicPr>
        <xdr:cNvPr id="512449" name="Picture 3">
          <a:extLst>
            <a:ext uri="{FF2B5EF4-FFF2-40B4-BE49-F238E27FC236}">
              <a16:creationId xmlns:a16="http://schemas.microsoft.com/office/drawing/2014/main" id="{00000000-0008-0000-0400-0000C1D10700}"/>
            </a:ext>
          </a:extLst>
        </xdr:cNvPr>
        <xdr:cNvPicPr>
          <a:picLocks noChangeAspect="1"/>
        </xdr:cNvPicPr>
      </xdr:nvPicPr>
      <xdr:blipFill>
        <a:blip xmlns:r="http://schemas.openxmlformats.org/officeDocument/2006/relationships" r:embed="rId1"/>
        <a:stretch>
          <a:fillRect/>
        </a:stretch>
      </xdr:blipFill>
      <xdr:spPr>
        <a:xfrm>
          <a:off x="9952987" y="4434466"/>
          <a:ext cx="4603899" cy="1504389"/>
        </a:xfrm>
        <a:prstGeom prst="rect">
          <a:avLst/>
        </a:prstGeom>
        <a:noFill/>
        <a:ln>
          <a:noFill/>
        </a:ln>
      </xdr:spPr>
    </xdr:pic>
    <xdr:clientData/>
  </xdr:twoCellAnchor>
  <xdr:twoCellAnchor>
    <xdr:from>
      <xdr:col>10</xdr:col>
      <xdr:colOff>4484</xdr:colOff>
      <xdr:row>0</xdr:row>
      <xdr:rowOff>179295</xdr:rowOff>
    </xdr:from>
    <xdr:to>
      <xdr:col>26</xdr:col>
      <xdr:colOff>437030</xdr:colOff>
      <xdr:row>24</xdr:row>
      <xdr:rowOff>100853</xdr:rowOff>
    </xdr:to>
    <xdr:sp macro="" textlink="">
      <xdr:nvSpPr>
        <xdr:cNvPr id="5" name="TextBox 4">
          <a:extLst>
            <a:ext uri="{FF2B5EF4-FFF2-40B4-BE49-F238E27FC236}">
              <a16:creationId xmlns:a16="http://schemas.microsoft.com/office/drawing/2014/main" id="{00000000-0008-0000-0400-000005000000}"/>
            </a:ext>
          </a:extLst>
        </xdr:cNvPr>
        <xdr:cNvSpPr txBox="1"/>
      </xdr:nvSpPr>
      <xdr:spPr>
        <a:xfrm>
          <a:off x="9688531" y="179295"/>
          <a:ext cx="10725220" cy="4067473"/>
        </a:xfrm>
        <a:prstGeom prst="rect">
          <a:avLst/>
        </a:prstGeom>
        <a:solidFill>
          <a:schemeClr val="lt1"/>
        </a:solidFill>
        <a:ln w="9525">
          <a:noFill/>
        </a:ln>
      </xdr:spPr>
      <xdr:style>
        <a:lnRef idx="0">
          <a:scrgbClr r="0" g="0" b="0"/>
        </a:lnRef>
        <a:fillRef idx="0">
          <a:scrgbClr r="0" g="0" b="0"/>
        </a:fillRef>
        <a:effectRef idx="0">
          <a:scrgbClr r="0" g="0" b="0"/>
        </a:effectRef>
        <a:fontRef idx="minor">
          <a:schemeClr val="dk1"/>
        </a:fontRef>
      </xdr:style>
      <xdr:txBody>
        <a:bodyPr rtlCol="0"/>
        <a:lstStyle/>
        <a:p>
          <a:pPr algn="l"/>
          <a:r>
            <a:rPr lang="en-US" sz="1600" b="1"/>
            <a:t>General assumptions used for calculations:</a:t>
          </a:r>
        </a:p>
        <a:p>
          <a:pPr algn="l"/>
          <a:r>
            <a:rPr lang="en-US" sz="1600"/>
            <a:t>1. For all non bottom discharge fans, the Perimeter Steel, Inertia bottom plates, Inertia rebar, &amp; Inertia concrete are all considered as a single unit with the COG the midplanes between the isolator holes. (Total weight is equally distributed to the 4 isolators) For all bottom discharge arrangements only Perimeter Steel is equally distributed, Inertia bottom plates, Inertia rebar, &amp; Inertia concrete are seperated into 2 zones and  weight is distributed accordingly. (See pictures tied to COG calculations to left for zone layouts)</a:t>
          </a:r>
        </a:p>
        <a:p>
          <a:pPr algn="l"/>
          <a:r>
            <a:rPr lang="en-US" sz="1600"/>
            <a:t>2. COG of all Internal Rails is assumed to be the intersection of the midplane in length and centerline in flange direction.</a:t>
          </a:r>
        </a:p>
        <a:p>
          <a:pPr algn="l"/>
          <a:r>
            <a:rPr lang="en-US" sz="1600"/>
            <a:t>3. COG of Motor Support Rails is assumed to be the intersection of the midplanes in length and height.</a:t>
          </a:r>
        </a:p>
        <a:p>
          <a:pPr algn="l"/>
          <a:r>
            <a:rPr lang="en-US" sz="1600"/>
            <a:t>4. COG of Fan is assumed to be the intersection of the shaft centerline and the fan discharge centerline. </a:t>
          </a:r>
        </a:p>
        <a:p>
          <a:pPr algn="l"/>
          <a:r>
            <a:rPr lang="en-US" sz="1600"/>
            <a:t>Fan sheave estimated weight is added to total fan weight.</a:t>
          </a:r>
        </a:p>
        <a:p>
          <a:pPr algn="l"/>
          <a:r>
            <a:rPr lang="en-US" sz="1600"/>
            <a:t>5. COG of Motor is assumed to be the intersection of the shaft centerline and the midpoint between the mounting holes. Motor sheave estimated weight is added to total motor weight</a:t>
          </a:r>
        </a:p>
        <a:p>
          <a:pPr algn="l"/>
          <a:r>
            <a:rPr lang="en-US" sz="1600"/>
            <a:t>6. COG of Motor Base is assumed to be the intersection of midplanes between mounting holes.</a:t>
          </a:r>
        </a:p>
        <a:p>
          <a:pPr algn="l"/>
          <a:r>
            <a:rPr lang="en-US" sz="1600"/>
            <a:t>7. Weight calculations for sheaves are just a general estimate based on HP of motor. (Motor HP/2)</a:t>
          </a:r>
        </a:p>
        <a:p>
          <a:pPr algn="l"/>
          <a:r>
            <a:rPr lang="en-US" sz="1600"/>
            <a:t>8. All dimensions (X</a:t>
          </a:r>
          <a:r>
            <a:rPr lang="en-US" sz="1200"/>
            <a:t>1</a:t>
          </a:r>
          <a:r>
            <a:rPr lang="en-US" sz="1600"/>
            <a:t>, X</a:t>
          </a:r>
          <a:r>
            <a:rPr lang="en-US" sz="1200"/>
            <a:t>2</a:t>
          </a:r>
          <a:r>
            <a:rPr lang="en-US" sz="1600"/>
            <a:t>, Z</a:t>
          </a:r>
          <a:r>
            <a:rPr lang="en-US" sz="1200"/>
            <a:t>1</a:t>
          </a:r>
          <a:r>
            <a:rPr lang="en-US" sz="1600"/>
            <a:t>, Z</a:t>
          </a:r>
          <a:r>
            <a:rPr lang="en-US" sz="1200"/>
            <a:t>2</a:t>
          </a:r>
          <a:r>
            <a:rPr lang="en-US" sz="1600"/>
            <a:t>) are to the assumed COG of the various components.</a:t>
          </a:r>
        </a:p>
        <a:p>
          <a:pPr algn="l"/>
          <a:endParaRPr lang="en-US" sz="1600"/>
        </a:p>
        <a:p>
          <a:pPr algn="l"/>
          <a:r>
            <a:rPr lang="en-US" sz="1600"/>
            <a:t>W = the weight of the component being calculated.</a:t>
          </a:r>
        </a:p>
      </xdr:txBody>
    </xdr:sp>
    <xdr:clientData/>
  </xdr:twoCellAnchor>
  <xdr:twoCellAnchor editAs="oneCell">
    <xdr:from>
      <xdr:col>8</xdr:col>
      <xdr:colOff>638736</xdr:colOff>
      <xdr:row>4</xdr:row>
      <xdr:rowOff>19050</xdr:rowOff>
    </xdr:from>
    <xdr:to>
      <xdr:col>8</xdr:col>
      <xdr:colOff>781611</xdr:colOff>
      <xdr:row>4</xdr:row>
      <xdr:rowOff>152400</xdr:rowOff>
    </xdr:to>
    <xdr:pic>
      <xdr:nvPicPr>
        <xdr:cNvPr id="512451" name="Picture 65088" descr="C:\Users\Bryan\AppData\Local\Microsoft\Windows\Temporary Internet Files\Content.IE5\MVT8L020\MC900433812[1].png">
          <a:extLst>
            <a:ext uri="{FF2B5EF4-FFF2-40B4-BE49-F238E27FC236}">
              <a16:creationId xmlns:a16="http://schemas.microsoft.com/office/drawing/2014/main" id="{00000000-0008-0000-0400-0000C3D10700}"/>
            </a:ext>
          </a:extLst>
        </xdr:cNvPr>
        <xdr:cNvPicPr>
          <a:picLocks noChangeAspect="1"/>
        </xdr:cNvPicPr>
      </xdr:nvPicPr>
      <xdr:blipFill>
        <a:blip xmlns:r="http://schemas.openxmlformats.org/officeDocument/2006/relationships" r:embed="rId2"/>
        <a:stretch>
          <a:fillRect/>
        </a:stretch>
      </xdr:blipFill>
      <xdr:spPr>
        <a:xfrm>
          <a:off x="8889014" y="735965"/>
          <a:ext cx="142875" cy="133350"/>
        </a:xfrm>
        <a:prstGeom prst="rect">
          <a:avLst/>
        </a:prstGeom>
        <a:noFill/>
        <a:ln>
          <a:noFill/>
        </a:ln>
      </xdr:spPr>
    </xdr:pic>
    <xdr:clientData/>
  </xdr:twoCellAnchor>
  <xdr:twoCellAnchor editAs="oneCell">
    <xdr:from>
      <xdr:col>8</xdr:col>
      <xdr:colOff>640417</xdr:colOff>
      <xdr:row>12</xdr:row>
      <xdr:rowOff>9525</xdr:rowOff>
    </xdr:from>
    <xdr:to>
      <xdr:col>8</xdr:col>
      <xdr:colOff>783292</xdr:colOff>
      <xdr:row>12</xdr:row>
      <xdr:rowOff>142875</xdr:rowOff>
    </xdr:to>
    <xdr:pic>
      <xdr:nvPicPr>
        <xdr:cNvPr id="512452" name="Picture 65088" descr="C:\Users\Bryan\AppData\Local\Microsoft\Windows\Temporary Internet Files\Content.IE5\MVT8L020\MC900433812[1].png">
          <a:extLst>
            <a:ext uri="{FF2B5EF4-FFF2-40B4-BE49-F238E27FC236}">
              <a16:creationId xmlns:a16="http://schemas.microsoft.com/office/drawing/2014/main" id="{00000000-0008-0000-0400-0000C4D10700}"/>
            </a:ext>
          </a:extLst>
        </xdr:cNvPr>
        <xdr:cNvPicPr>
          <a:picLocks noChangeAspect="1"/>
        </xdr:cNvPicPr>
      </xdr:nvPicPr>
      <xdr:blipFill>
        <a:blip xmlns:r="http://schemas.openxmlformats.org/officeDocument/2006/relationships" r:embed="rId2"/>
        <a:stretch>
          <a:fillRect/>
        </a:stretch>
      </xdr:blipFill>
      <xdr:spPr>
        <a:xfrm>
          <a:off x="8890695" y="2098040"/>
          <a:ext cx="142875" cy="133350"/>
        </a:xfrm>
        <a:prstGeom prst="rect">
          <a:avLst/>
        </a:prstGeom>
        <a:noFill/>
        <a:ln>
          <a:noFill/>
        </a:ln>
      </xdr:spPr>
    </xdr:pic>
    <xdr:clientData/>
  </xdr:twoCellAnchor>
  <xdr:twoCellAnchor editAs="oneCell">
    <xdr:from>
      <xdr:col>8</xdr:col>
      <xdr:colOff>629211</xdr:colOff>
      <xdr:row>28</xdr:row>
      <xdr:rowOff>20731</xdr:rowOff>
    </xdr:from>
    <xdr:to>
      <xdr:col>8</xdr:col>
      <xdr:colOff>772086</xdr:colOff>
      <xdr:row>28</xdr:row>
      <xdr:rowOff>154081</xdr:rowOff>
    </xdr:to>
    <xdr:pic>
      <xdr:nvPicPr>
        <xdr:cNvPr id="512453" name="Picture 65088" descr="C:\Users\Bryan\AppData\Local\Microsoft\Windows\Temporary Internet Files\Content.IE5\MVT8L020\MC900433812[1].png">
          <a:extLst>
            <a:ext uri="{FF2B5EF4-FFF2-40B4-BE49-F238E27FC236}">
              <a16:creationId xmlns:a16="http://schemas.microsoft.com/office/drawing/2014/main" id="{00000000-0008-0000-0400-0000C5D10700}"/>
            </a:ext>
          </a:extLst>
        </xdr:cNvPr>
        <xdr:cNvPicPr>
          <a:picLocks noChangeAspect="1"/>
        </xdr:cNvPicPr>
      </xdr:nvPicPr>
      <xdr:blipFill>
        <a:blip xmlns:r="http://schemas.openxmlformats.org/officeDocument/2006/relationships" r:embed="rId2"/>
        <a:stretch>
          <a:fillRect/>
        </a:stretch>
      </xdr:blipFill>
      <xdr:spPr>
        <a:xfrm>
          <a:off x="8879489" y="4852446"/>
          <a:ext cx="142875" cy="133350"/>
        </a:xfrm>
        <a:prstGeom prst="rect">
          <a:avLst/>
        </a:prstGeom>
        <a:noFill/>
        <a:ln>
          <a:noFill/>
        </a:ln>
      </xdr:spPr>
    </xdr:pic>
    <xdr:clientData/>
  </xdr:twoCellAnchor>
  <xdr:twoCellAnchor editAs="oneCell">
    <xdr:from>
      <xdr:col>8</xdr:col>
      <xdr:colOff>640417</xdr:colOff>
      <xdr:row>16</xdr:row>
      <xdr:rowOff>9525</xdr:rowOff>
    </xdr:from>
    <xdr:to>
      <xdr:col>8</xdr:col>
      <xdr:colOff>783292</xdr:colOff>
      <xdr:row>16</xdr:row>
      <xdr:rowOff>142875</xdr:rowOff>
    </xdr:to>
    <xdr:pic>
      <xdr:nvPicPr>
        <xdr:cNvPr id="512455" name="Picture 65088" descr="C:\Users\Bryan\AppData\Local\Microsoft\Windows\Temporary Internet Files\Content.IE5\MVT8L020\MC900433812[1].png">
          <a:extLst>
            <a:ext uri="{FF2B5EF4-FFF2-40B4-BE49-F238E27FC236}">
              <a16:creationId xmlns:a16="http://schemas.microsoft.com/office/drawing/2014/main" id="{00000000-0008-0000-0400-0000C7D10700}"/>
            </a:ext>
          </a:extLst>
        </xdr:cNvPr>
        <xdr:cNvPicPr>
          <a:picLocks noChangeAspect="1"/>
        </xdr:cNvPicPr>
      </xdr:nvPicPr>
      <xdr:blipFill>
        <a:blip xmlns:r="http://schemas.openxmlformats.org/officeDocument/2006/relationships" r:embed="rId2"/>
        <a:stretch>
          <a:fillRect/>
        </a:stretch>
      </xdr:blipFill>
      <xdr:spPr>
        <a:xfrm>
          <a:off x="8890695" y="2783840"/>
          <a:ext cx="142875" cy="133350"/>
        </a:xfrm>
        <a:prstGeom prst="rect">
          <a:avLst/>
        </a:prstGeom>
        <a:noFill/>
        <a:ln>
          <a:noFill/>
        </a:ln>
      </xdr:spPr>
    </xdr:pic>
    <xdr:clientData/>
  </xdr:twoCellAnchor>
  <xdr:twoCellAnchor editAs="oneCell">
    <xdr:from>
      <xdr:col>8</xdr:col>
      <xdr:colOff>640417</xdr:colOff>
      <xdr:row>24</xdr:row>
      <xdr:rowOff>9525</xdr:rowOff>
    </xdr:from>
    <xdr:to>
      <xdr:col>8</xdr:col>
      <xdr:colOff>783292</xdr:colOff>
      <xdr:row>24</xdr:row>
      <xdr:rowOff>142875</xdr:rowOff>
    </xdr:to>
    <xdr:pic>
      <xdr:nvPicPr>
        <xdr:cNvPr id="512456" name="Picture 65088" descr="C:\Users\Bryan\AppData\Local\Microsoft\Windows\Temporary Internet Files\Content.IE5\MVT8L020\MC900433812[1].png">
          <a:extLst>
            <a:ext uri="{FF2B5EF4-FFF2-40B4-BE49-F238E27FC236}">
              <a16:creationId xmlns:a16="http://schemas.microsoft.com/office/drawing/2014/main" id="{00000000-0008-0000-0400-0000C8D10700}"/>
            </a:ext>
          </a:extLst>
        </xdr:cNvPr>
        <xdr:cNvPicPr>
          <a:picLocks noChangeAspect="1"/>
        </xdr:cNvPicPr>
      </xdr:nvPicPr>
      <xdr:blipFill>
        <a:blip xmlns:r="http://schemas.openxmlformats.org/officeDocument/2006/relationships" r:embed="rId2"/>
        <a:stretch>
          <a:fillRect/>
        </a:stretch>
      </xdr:blipFill>
      <xdr:spPr>
        <a:xfrm>
          <a:off x="8890695" y="4155440"/>
          <a:ext cx="142875" cy="133350"/>
        </a:xfrm>
        <a:prstGeom prst="rect">
          <a:avLst/>
        </a:prstGeom>
        <a:noFill/>
        <a:ln>
          <a:noFill/>
        </a:ln>
      </xdr:spPr>
    </xdr:pic>
    <xdr:clientData/>
  </xdr:twoCellAnchor>
  <xdr:twoCellAnchor editAs="oneCell">
    <xdr:from>
      <xdr:col>8</xdr:col>
      <xdr:colOff>640417</xdr:colOff>
      <xdr:row>8</xdr:row>
      <xdr:rowOff>19050</xdr:rowOff>
    </xdr:from>
    <xdr:to>
      <xdr:col>8</xdr:col>
      <xdr:colOff>783292</xdr:colOff>
      <xdr:row>8</xdr:row>
      <xdr:rowOff>152400</xdr:rowOff>
    </xdr:to>
    <xdr:pic>
      <xdr:nvPicPr>
        <xdr:cNvPr id="512457" name="Picture 65088" descr="C:\Users\Bryan\AppData\Local\Microsoft\Windows\Temporary Internet Files\Content.IE5\MVT8L020\MC900433812[1].png">
          <a:extLst>
            <a:ext uri="{FF2B5EF4-FFF2-40B4-BE49-F238E27FC236}">
              <a16:creationId xmlns:a16="http://schemas.microsoft.com/office/drawing/2014/main" id="{00000000-0008-0000-0400-0000C9D10700}"/>
            </a:ext>
          </a:extLst>
        </xdr:cNvPr>
        <xdr:cNvPicPr>
          <a:picLocks noChangeAspect="1"/>
        </xdr:cNvPicPr>
      </xdr:nvPicPr>
      <xdr:blipFill>
        <a:blip xmlns:r="http://schemas.openxmlformats.org/officeDocument/2006/relationships" r:embed="rId2"/>
        <a:stretch>
          <a:fillRect/>
        </a:stretch>
      </xdr:blipFill>
      <xdr:spPr>
        <a:xfrm>
          <a:off x="8890695" y="1421765"/>
          <a:ext cx="142875" cy="133350"/>
        </a:xfrm>
        <a:prstGeom prst="rect">
          <a:avLst/>
        </a:prstGeom>
        <a:noFill/>
        <a:ln>
          <a:noFill/>
        </a:ln>
      </xdr:spPr>
    </xdr:pic>
    <xdr:clientData/>
  </xdr:twoCellAnchor>
  <xdr:twoCellAnchor editAs="oneCell">
    <xdr:from>
      <xdr:col>8</xdr:col>
      <xdr:colOff>640417</xdr:colOff>
      <xdr:row>2</xdr:row>
      <xdr:rowOff>22412</xdr:rowOff>
    </xdr:from>
    <xdr:to>
      <xdr:col>8</xdr:col>
      <xdr:colOff>783292</xdr:colOff>
      <xdr:row>2</xdr:row>
      <xdr:rowOff>155762</xdr:rowOff>
    </xdr:to>
    <xdr:pic>
      <xdr:nvPicPr>
        <xdr:cNvPr id="512458" name="Picture 65088" descr="C:\Users\Bryan\AppData\Local\Microsoft\Windows\Temporary Internet Files\Content.IE5\MVT8L020\MC900433812[1].png">
          <a:extLst>
            <a:ext uri="{FF2B5EF4-FFF2-40B4-BE49-F238E27FC236}">
              <a16:creationId xmlns:a16="http://schemas.microsoft.com/office/drawing/2014/main" id="{00000000-0008-0000-0400-0000CAD10700}"/>
            </a:ext>
          </a:extLst>
        </xdr:cNvPr>
        <xdr:cNvPicPr>
          <a:picLocks noChangeAspect="1"/>
        </xdr:cNvPicPr>
      </xdr:nvPicPr>
      <xdr:blipFill>
        <a:blip xmlns:r="http://schemas.openxmlformats.org/officeDocument/2006/relationships" r:embed="rId2"/>
        <a:stretch>
          <a:fillRect/>
        </a:stretch>
      </xdr:blipFill>
      <xdr:spPr>
        <a:xfrm>
          <a:off x="8890695" y="396427"/>
          <a:ext cx="142875" cy="133350"/>
        </a:xfrm>
        <a:prstGeom prst="rect">
          <a:avLst/>
        </a:prstGeom>
        <a:noFill/>
        <a:ln>
          <a:noFill/>
        </a:ln>
      </xdr:spPr>
    </xdr:pic>
    <xdr:clientData/>
  </xdr:twoCellAnchor>
  <xdr:twoCellAnchor editAs="oneCell">
    <xdr:from>
      <xdr:col>8</xdr:col>
      <xdr:colOff>640417</xdr:colOff>
      <xdr:row>20</xdr:row>
      <xdr:rowOff>9525</xdr:rowOff>
    </xdr:from>
    <xdr:to>
      <xdr:col>8</xdr:col>
      <xdr:colOff>783292</xdr:colOff>
      <xdr:row>20</xdr:row>
      <xdr:rowOff>142875</xdr:rowOff>
    </xdr:to>
    <xdr:pic>
      <xdr:nvPicPr>
        <xdr:cNvPr id="13" name="Picture 65088" descr="C:\Users\Bryan\AppData\Local\Microsoft\Windows\Temporary Internet Files\Content.IE5\MVT8L020\MC900433812[1].png">
          <a:extLst>
            <a:ext uri="{FF2B5EF4-FFF2-40B4-BE49-F238E27FC236}">
              <a16:creationId xmlns:a16="http://schemas.microsoft.com/office/drawing/2014/main" id="{00000000-0008-0000-0400-00000D000000}"/>
            </a:ext>
          </a:extLst>
        </xdr:cNvPr>
        <xdr:cNvPicPr>
          <a:picLocks noChangeAspect="1"/>
        </xdr:cNvPicPr>
      </xdr:nvPicPr>
      <xdr:blipFill>
        <a:blip xmlns:r="http://schemas.openxmlformats.org/officeDocument/2006/relationships" r:embed="rId2"/>
        <a:stretch>
          <a:fillRect/>
        </a:stretch>
      </xdr:blipFill>
      <xdr:spPr>
        <a:xfrm>
          <a:off x="8890695" y="3469640"/>
          <a:ext cx="142875" cy="133350"/>
        </a:xfrm>
        <a:prstGeom prst="rect">
          <a:avLst/>
        </a:prstGeom>
        <a:noFill/>
        <a:ln>
          <a:noFill/>
        </a:ln>
      </xdr:spPr>
    </xdr:pic>
    <xdr:clientData/>
  </xdr:twoCellAnchor>
  <xdr:twoCellAnchor editAs="oneCell">
    <xdr:from>
      <xdr:col>8</xdr:col>
      <xdr:colOff>627536</xdr:colOff>
      <xdr:row>36</xdr:row>
      <xdr:rowOff>22412</xdr:rowOff>
    </xdr:from>
    <xdr:to>
      <xdr:col>8</xdr:col>
      <xdr:colOff>770411</xdr:colOff>
      <xdr:row>36</xdr:row>
      <xdr:rowOff>155762</xdr:rowOff>
    </xdr:to>
    <xdr:pic>
      <xdr:nvPicPr>
        <xdr:cNvPr id="12" name="Picture 65088" descr="C:\Users\Bryan\AppData\Local\Microsoft\Windows\Temporary Internet Files\Content.IE5\MVT8L020\MC900433812[1].png">
          <a:extLst>
            <a:ext uri="{FF2B5EF4-FFF2-40B4-BE49-F238E27FC236}">
              <a16:creationId xmlns:a16="http://schemas.microsoft.com/office/drawing/2014/main" id="{00000000-0008-0000-0400-00000C000000}"/>
            </a:ext>
          </a:extLst>
        </xdr:cNvPr>
        <xdr:cNvPicPr>
          <a:picLocks noChangeAspect="1"/>
        </xdr:cNvPicPr>
      </xdr:nvPicPr>
      <xdr:blipFill>
        <a:blip xmlns:r="http://schemas.openxmlformats.org/officeDocument/2006/relationships" r:embed="rId2"/>
        <a:stretch>
          <a:fillRect/>
        </a:stretch>
      </xdr:blipFill>
      <xdr:spPr>
        <a:xfrm>
          <a:off x="8877814" y="6225727"/>
          <a:ext cx="142875" cy="133350"/>
        </a:xfrm>
        <a:prstGeom prst="rect">
          <a:avLst/>
        </a:prstGeom>
        <a:noFill/>
        <a:ln>
          <a:noFill/>
        </a:ln>
      </xdr:spPr>
    </xdr:pic>
    <xdr:clientData/>
  </xdr:twoCellAnchor>
  <xdr:twoCellAnchor editAs="oneCell">
    <xdr:from>
      <xdr:col>8</xdr:col>
      <xdr:colOff>627533</xdr:colOff>
      <xdr:row>44</xdr:row>
      <xdr:rowOff>11206</xdr:rowOff>
    </xdr:from>
    <xdr:to>
      <xdr:col>8</xdr:col>
      <xdr:colOff>770408</xdr:colOff>
      <xdr:row>44</xdr:row>
      <xdr:rowOff>144556</xdr:rowOff>
    </xdr:to>
    <xdr:pic>
      <xdr:nvPicPr>
        <xdr:cNvPr id="15" name="Picture 65088" descr="C:\Users\Bryan\AppData\Local\Microsoft\Windows\Temporary Internet Files\Content.IE5\MVT8L020\MC900433812[1].png">
          <a:extLst>
            <a:ext uri="{FF2B5EF4-FFF2-40B4-BE49-F238E27FC236}">
              <a16:creationId xmlns:a16="http://schemas.microsoft.com/office/drawing/2014/main" id="{00000000-0008-0000-0400-00000F000000}"/>
            </a:ext>
          </a:extLst>
        </xdr:cNvPr>
        <xdr:cNvPicPr>
          <a:picLocks noChangeAspect="1"/>
        </xdr:cNvPicPr>
      </xdr:nvPicPr>
      <xdr:blipFill>
        <a:blip xmlns:r="http://schemas.openxmlformats.org/officeDocument/2006/relationships" r:embed="rId2"/>
        <a:stretch>
          <a:fillRect/>
        </a:stretch>
      </xdr:blipFill>
      <xdr:spPr>
        <a:xfrm>
          <a:off x="8877811" y="7586121"/>
          <a:ext cx="142875" cy="133350"/>
        </a:xfrm>
        <a:prstGeom prst="rect">
          <a:avLst/>
        </a:prstGeom>
        <a:noFill/>
        <a:ln>
          <a:noFill/>
        </a:ln>
      </xdr:spPr>
    </xdr:pic>
    <xdr:clientData/>
  </xdr:twoCellAnchor>
  <xdr:twoCellAnchor editAs="oneCell">
    <xdr:from>
      <xdr:col>8</xdr:col>
      <xdr:colOff>627536</xdr:colOff>
      <xdr:row>52</xdr:row>
      <xdr:rowOff>22412</xdr:rowOff>
    </xdr:from>
    <xdr:to>
      <xdr:col>8</xdr:col>
      <xdr:colOff>770411</xdr:colOff>
      <xdr:row>52</xdr:row>
      <xdr:rowOff>155762</xdr:rowOff>
    </xdr:to>
    <xdr:pic>
      <xdr:nvPicPr>
        <xdr:cNvPr id="16" name="Picture 65088" descr="C:\Users\Bryan\AppData\Local\Microsoft\Windows\Temporary Internet Files\Content.IE5\MVT8L020\MC900433812[1].png">
          <a:extLst>
            <a:ext uri="{FF2B5EF4-FFF2-40B4-BE49-F238E27FC236}">
              <a16:creationId xmlns:a16="http://schemas.microsoft.com/office/drawing/2014/main" id="{00000000-0008-0000-0400-000010000000}"/>
            </a:ext>
          </a:extLst>
        </xdr:cNvPr>
        <xdr:cNvPicPr>
          <a:picLocks noChangeAspect="1"/>
        </xdr:cNvPicPr>
      </xdr:nvPicPr>
      <xdr:blipFill>
        <a:blip xmlns:r="http://schemas.openxmlformats.org/officeDocument/2006/relationships" r:embed="rId2"/>
        <a:stretch>
          <a:fillRect/>
        </a:stretch>
      </xdr:blipFill>
      <xdr:spPr>
        <a:xfrm>
          <a:off x="8877814" y="8930827"/>
          <a:ext cx="142875" cy="13335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161925</xdr:colOff>
      <xdr:row>0</xdr:row>
      <xdr:rowOff>151258</xdr:rowOff>
    </xdr:from>
    <xdr:to>
      <xdr:col>14</xdr:col>
      <xdr:colOff>295275</xdr:colOff>
      <xdr:row>27</xdr:row>
      <xdr:rowOff>148510</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4035316" y="151258"/>
          <a:ext cx="5279687" cy="4454952"/>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2790825</xdr:colOff>
      <xdr:row>5</xdr:row>
      <xdr:rowOff>19050</xdr:rowOff>
    </xdr:from>
    <xdr:to>
      <xdr:col>9</xdr:col>
      <xdr:colOff>2924175</xdr:colOff>
      <xdr:row>5</xdr:row>
      <xdr:rowOff>152400</xdr:rowOff>
    </xdr:to>
    <xdr:pic>
      <xdr:nvPicPr>
        <xdr:cNvPr id="504353" name="Picture 65088" descr="C:\Users\Bryan\AppData\Local\Microsoft\Windows\Temporary Internet Files\Content.IE5\MVT8L020\MC900433812[1].png">
          <a:extLst>
            <a:ext uri="{FF2B5EF4-FFF2-40B4-BE49-F238E27FC236}">
              <a16:creationId xmlns:a16="http://schemas.microsoft.com/office/drawing/2014/main" id="{00000000-0008-0000-0600-000021B20700}"/>
            </a:ext>
          </a:extLst>
        </xdr:cNvPr>
        <xdr:cNvPicPr>
          <a:picLocks noChangeAspect="1"/>
        </xdr:cNvPicPr>
      </xdr:nvPicPr>
      <xdr:blipFill>
        <a:blip xmlns:r="http://schemas.openxmlformats.org/officeDocument/2006/relationships" r:embed="rId1"/>
        <a:stretch>
          <a:fillRect/>
        </a:stretch>
      </xdr:blipFill>
      <xdr:spPr>
        <a:xfrm>
          <a:off x="11725880" y="946150"/>
          <a:ext cx="133350" cy="133350"/>
        </a:xfrm>
        <a:prstGeom prst="rect">
          <a:avLst/>
        </a:prstGeom>
        <a:noFill/>
        <a:ln>
          <a:noFill/>
        </a:ln>
      </xdr:spPr>
    </xdr:pic>
    <xdr:clientData/>
  </xdr:twoCellAnchor>
  <xdr:twoCellAnchor editAs="oneCell">
    <xdr:from>
      <xdr:col>9</xdr:col>
      <xdr:colOff>2790825</xdr:colOff>
      <xdr:row>7</xdr:row>
      <xdr:rowOff>28575</xdr:rowOff>
    </xdr:from>
    <xdr:to>
      <xdr:col>9</xdr:col>
      <xdr:colOff>2924175</xdr:colOff>
      <xdr:row>8</xdr:row>
      <xdr:rowOff>9525</xdr:rowOff>
    </xdr:to>
    <xdr:pic>
      <xdr:nvPicPr>
        <xdr:cNvPr id="504354" name="Picture 65088" descr="C:\Users\Bryan\AppData\Local\Microsoft\Windows\Temporary Internet Files\Content.IE5\MVT8L020\MC900433812[1].png">
          <a:extLst>
            <a:ext uri="{FF2B5EF4-FFF2-40B4-BE49-F238E27FC236}">
              <a16:creationId xmlns:a16="http://schemas.microsoft.com/office/drawing/2014/main" id="{00000000-0008-0000-0600-000022B20700}"/>
            </a:ext>
          </a:extLst>
        </xdr:cNvPr>
        <xdr:cNvPicPr>
          <a:picLocks noChangeAspect="1"/>
        </xdr:cNvPicPr>
      </xdr:nvPicPr>
      <xdr:blipFill>
        <a:blip xmlns:r="http://schemas.openxmlformats.org/officeDocument/2006/relationships" r:embed="rId2"/>
        <a:stretch>
          <a:fillRect/>
        </a:stretch>
      </xdr:blipFill>
      <xdr:spPr>
        <a:xfrm>
          <a:off x="11725880" y="1284605"/>
          <a:ext cx="133350" cy="145415"/>
        </a:xfrm>
        <a:prstGeom prst="rect">
          <a:avLst/>
        </a:prstGeom>
        <a:noFill/>
        <a:ln>
          <a:noFill/>
        </a:ln>
      </xdr:spPr>
    </xdr:pic>
    <xdr:clientData/>
  </xdr:twoCellAnchor>
  <xdr:twoCellAnchor editAs="oneCell">
    <xdr:from>
      <xdr:col>7</xdr:col>
      <xdr:colOff>1378323</xdr:colOff>
      <xdr:row>11</xdr:row>
      <xdr:rowOff>78442</xdr:rowOff>
    </xdr:from>
    <xdr:to>
      <xdr:col>10</xdr:col>
      <xdr:colOff>1729540</xdr:colOff>
      <xdr:row>56</xdr:row>
      <xdr:rowOff>72331</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3"/>
        <a:stretch>
          <a:fillRect/>
        </a:stretch>
      </xdr:blipFill>
      <xdr:spPr>
        <a:xfrm>
          <a:off x="8245978" y="1992332"/>
          <a:ext cx="5619166" cy="7392274"/>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542925</xdr:colOff>
      <xdr:row>25</xdr:row>
      <xdr:rowOff>114300</xdr:rowOff>
    </xdr:from>
    <xdr:to>
      <xdr:col>15</xdr:col>
      <xdr:colOff>704850</xdr:colOff>
      <xdr:row>25</xdr:row>
      <xdr:rowOff>4267200</xdr:rowOff>
    </xdr:to>
    <xdr:pic>
      <xdr:nvPicPr>
        <xdr:cNvPr id="454222" name="Picture 3">
          <a:extLst>
            <a:ext uri="{FF2B5EF4-FFF2-40B4-BE49-F238E27FC236}">
              <a16:creationId xmlns:a16="http://schemas.microsoft.com/office/drawing/2014/main" id="{00000000-0008-0000-0800-00004EEE0600}"/>
            </a:ext>
          </a:extLst>
        </xdr:cNvPr>
        <xdr:cNvPicPr>
          <a:picLocks noChangeAspect="1"/>
        </xdr:cNvPicPr>
      </xdr:nvPicPr>
      <xdr:blipFill>
        <a:blip xmlns:r="http://schemas.openxmlformats.org/officeDocument/2006/relationships" r:embed="rId1"/>
        <a:stretch>
          <a:fillRect/>
        </a:stretch>
      </xdr:blipFill>
      <xdr:spPr>
        <a:xfrm>
          <a:off x="4999939" y="4241800"/>
          <a:ext cx="7600132" cy="4152900"/>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381000</xdr:colOff>
      <xdr:row>8</xdr:row>
      <xdr:rowOff>85725</xdr:rowOff>
    </xdr:from>
    <xdr:to>
      <xdr:col>8</xdr:col>
      <xdr:colOff>1447800</xdr:colOff>
      <xdr:row>8</xdr:row>
      <xdr:rowOff>1419225</xdr:rowOff>
    </xdr:to>
    <xdr:pic>
      <xdr:nvPicPr>
        <xdr:cNvPr id="513145" name="Picture 1">
          <a:extLst>
            <a:ext uri="{FF2B5EF4-FFF2-40B4-BE49-F238E27FC236}">
              <a16:creationId xmlns:a16="http://schemas.microsoft.com/office/drawing/2014/main" id="{00000000-0008-0000-0700-000079D40700}"/>
            </a:ext>
          </a:extLst>
        </xdr:cNvPr>
        <xdr:cNvPicPr>
          <a:picLocks noChangeAspect="1"/>
        </xdr:cNvPicPr>
      </xdr:nvPicPr>
      <xdr:blipFill>
        <a:blip xmlns:r="http://schemas.openxmlformats.org/officeDocument/2006/relationships" r:embed="rId1"/>
        <a:stretch>
          <a:fillRect/>
        </a:stretch>
      </xdr:blipFill>
      <xdr:spPr>
        <a:xfrm>
          <a:off x="8558255" y="1967230"/>
          <a:ext cx="2427829" cy="1333500"/>
        </a:xfrm>
        <a:prstGeom prst="rect">
          <a:avLst/>
        </a:prstGeom>
        <a:noFill/>
        <a:ln>
          <a:noFill/>
        </a:ln>
      </xdr:spPr>
    </xdr:pic>
    <xdr:clientData/>
  </xdr:twoCellAnchor>
  <xdr:twoCellAnchor editAs="oneCell">
    <xdr:from>
      <xdr:col>5</xdr:col>
      <xdr:colOff>295275</xdr:colOff>
      <xdr:row>8</xdr:row>
      <xdr:rowOff>152400</xdr:rowOff>
    </xdr:from>
    <xdr:to>
      <xdr:col>6</xdr:col>
      <xdr:colOff>1038225</xdr:colOff>
      <xdr:row>8</xdr:row>
      <xdr:rowOff>1304925</xdr:rowOff>
    </xdr:to>
    <xdr:pic>
      <xdr:nvPicPr>
        <xdr:cNvPr id="513146" name="Picture 3">
          <a:extLst>
            <a:ext uri="{FF2B5EF4-FFF2-40B4-BE49-F238E27FC236}">
              <a16:creationId xmlns:a16="http://schemas.microsoft.com/office/drawing/2014/main" id="{00000000-0008-0000-0700-00007AD40700}"/>
            </a:ext>
          </a:extLst>
        </xdr:cNvPr>
        <xdr:cNvPicPr>
          <a:picLocks noChangeAspect="1"/>
        </xdr:cNvPicPr>
      </xdr:nvPicPr>
      <xdr:blipFill>
        <a:blip xmlns:r="http://schemas.openxmlformats.org/officeDocument/2006/relationships" r:embed="rId2"/>
        <a:stretch>
          <a:fillRect/>
        </a:stretch>
      </xdr:blipFill>
      <xdr:spPr>
        <a:xfrm>
          <a:off x="5750472" y="2033905"/>
          <a:ext cx="2103979" cy="1152525"/>
        </a:xfrm>
        <a:prstGeom prst="rect">
          <a:avLst/>
        </a:prstGeom>
        <a:noFill/>
        <a:ln>
          <a:noFill/>
        </a:ln>
      </xdr:spPr>
    </xdr:pic>
    <xdr:clientData/>
  </xdr:twoCellAnchor>
  <xdr:twoCellAnchor editAs="oneCell">
    <xdr:from>
      <xdr:col>3</xdr:col>
      <xdr:colOff>38100</xdr:colOff>
      <xdr:row>8</xdr:row>
      <xdr:rowOff>190500</xdr:rowOff>
    </xdr:from>
    <xdr:to>
      <xdr:col>4</xdr:col>
      <xdr:colOff>1295400</xdr:colOff>
      <xdr:row>8</xdr:row>
      <xdr:rowOff>1228725</xdr:rowOff>
    </xdr:to>
    <xdr:pic>
      <xdr:nvPicPr>
        <xdr:cNvPr id="513147" name="Picture 4">
          <a:extLst>
            <a:ext uri="{FF2B5EF4-FFF2-40B4-BE49-F238E27FC236}">
              <a16:creationId xmlns:a16="http://schemas.microsoft.com/office/drawing/2014/main" id="{00000000-0008-0000-0700-00007BD40700}"/>
            </a:ext>
          </a:extLst>
        </xdr:cNvPr>
        <xdr:cNvPicPr>
          <a:picLocks noChangeAspect="1"/>
        </xdr:cNvPicPr>
      </xdr:nvPicPr>
      <xdr:blipFill>
        <a:blip xmlns:r="http://schemas.openxmlformats.org/officeDocument/2006/relationships" r:embed="rId3"/>
        <a:stretch>
          <a:fillRect/>
        </a:stretch>
      </xdr:blipFill>
      <xdr:spPr>
        <a:xfrm>
          <a:off x="2500738" y="2072005"/>
          <a:ext cx="2753579" cy="1038225"/>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142875</xdr:colOff>
      <xdr:row>23</xdr:row>
      <xdr:rowOff>85725</xdr:rowOff>
    </xdr:from>
    <xdr:to>
      <xdr:col>11</xdr:col>
      <xdr:colOff>161925</xdr:colOff>
      <xdr:row>37</xdr:row>
      <xdr:rowOff>123825</xdr:rowOff>
    </xdr:to>
    <xdr:grpSp>
      <xdr:nvGrpSpPr>
        <xdr:cNvPr id="514836" name="Group 37">
          <a:extLst>
            <a:ext uri="{FF2B5EF4-FFF2-40B4-BE49-F238E27FC236}">
              <a16:creationId xmlns:a16="http://schemas.microsoft.com/office/drawing/2014/main" id="{00000000-0008-0000-0900-000014DB0700}"/>
            </a:ext>
          </a:extLst>
        </xdr:cNvPr>
        <xdr:cNvGrpSpPr/>
      </xdr:nvGrpSpPr>
      <xdr:grpSpPr>
        <a:xfrm>
          <a:off x="378199" y="3783666"/>
          <a:ext cx="5532344" cy="2234453"/>
          <a:chOff x="47625" y="5707176"/>
          <a:chExt cx="6532789" cy="2556782"/>
        </a:xfrm>
      </xdr:grpSpPr>
      <xdr:pic>
        <xdr:nvPicPr>
          <xdr:cNvPr id="514840" name="Picture 5" descr="motor2">
            <a:extLst>
              <a:ext uri="{FF2B5EF4-FFF2-40B4-BE49-F238E27FC236}">
                <a16:creationId xmlns:a16="http://schemas.microsoft.com/office/drawing/2014/main" id="{00000000-0008-0000-0900-000018DB0700}"/>
              </a:ext>
            </a:extLst>
          </xdr:cNvPr>
          <xdr:cNvPicPr>
            <a:picLocks noChangeAspect="1"/>
          </xdr:cNvPicPr>
        </xdr:nvPicPr>
        <xdr:blipFill>
          <a:blip xmlns:r="http://schemas.openxmlformats.org/officeDocument/2006/relationships" r:embed="rId1"/>
          <a:stretch>
            <a:fillRect/>
          </a:stretch>
        </xdr:blipFill>
        <xdr:spPr>
          <a:xfrm>
            <a:off x="620146" y="5707176"/>
            <a:ext cx="5960268" cy="2300287"/>
          </a:xfrm>
          <a:prstGeom prst="rect">
            <a:avLst/>
          </a:prstGeom>
          <a:noFill/>
          <a:ln>
            <a:noFill/>
          </a:ln>
        </xdr:spPr>
      </xdr:pic>
      <xdr:sp macro="" textlink="">
        <xdr:nvSpPr>
          <xdr:cNvPr id="4" name="Text Box 6">
            <a:extLst>
              <a:ext uri="{FF2B5EF4-FFF2-40B4-BE49-F238E27FC236}">
                <a16:creationId xmlns:a16="http://schemas.microsoft.com/office/drawing/2014/main" id="{00000000-0008-0000-0900-000004000000}"/>
              </a:ext>
            </a:extLst>
          </xdr:cNvPr>
          <xdr:cNvSpPr txBox="1"/>
        </xdr:nvSpPr>
        <xdr:spPr>
          <a:xfrm>
            <a:off x="3583413" y="6404480"/>
            <a:ext cx="999000" cy="538826"/>
          </a:xfrm>
          <a:prstGeom prst="rect">
            <a:avLst/>
          </a:prstGeom>
          <a:noFill/>
          <a:ln w="9525">
            <a:noFill/>
          </a:ln>
        </xdr:spPr>
        <xdr:txBody>
          <a:bodyPr lIns="27432" tIns="27432" rIns="0" bIns="0" rtlCol="0"/>
          <a:lstStyle/>
          <a:p>
            <a:pPr algn="l"/>
            <a:r>
              <a:rPr lang="en-US" sz="1100" b="1">
                <a:solidFill>
                  <a:srgbClr val="000000"/>
                </a:solidFill>
              </a:rPr>
              <a:t>KWL</a:t>
            </a:r>
            <a:endParaRPr lang="en-US" sz="800">
              <a:solidFill>
                <a:srgbClr val="000000"/>
              </a:solidFill>
            </a:endParaRPr>
          </a:p>
          <a:p>
            <a:pPr algn="l"/>
            <a:r>
              <a:rPr lang="en-US" sz="800">
                <a:solidFill>
                  <a:srgbClr val="000000"/>
                </a:solidFill>
              </a:rPr>
              <a:t>Keyway length</a:t>
            </a:r>
          </a:p>
        </xdr:txBody>
      </xdr:sp>
      <xdr:sp macro="" textlink="">
        <xdr:nvSpPr>
          <xdr:cNvPr id="514842" name="Line 7">
            <a:extLst>
              <a:ext uri="{FF2B5EF4-FFF2-40B4-BE49-F238E27FC236}">
                <a16:creationId xmlns:a16="http://schemas.microsoft.com/office/drawing/2014/main" id="{00000000-0008-0000-0900-00001ADB0700}"/>
              </a:ext>
            </a:extLst>
          </xdr:cNvPr>
          <xdr:cNvSpPr/>
        </xdr:nvSpPr>
        <xdr:spPr>
          <a:xfrm flipH="1">
            <a:off x="3269796" y="6496050"/>
            <a:ext cx="238125" cy="437129"/>
          </a:xfrm>
          <a:prstGeom prst="line">
            <a:avLst/>
          </a:prstGeom>
          <a:noFill/>
          <a:ln w="9525">
            <a:solidFill>
              <a:srgbClr val="000000"/>
            </a:solidFill>
          </a:ln>
        </xdr:spPr>
        <xdr:txBody>
          <a:bodyPr rtlCol="0" anchor="ctr"/>
          <a:lstStyle/>
          <a:p>
            <a:pPr algn="ctr"/>
            <a:endParaRPr/>
          </a:p>
        </xdr:txBody>
      </xdr:sp>
      <xdr:sp macro="" textlink="">
        <xdr:nvSpPr>
          <xdr:cNvPr id="514843" name="Line 8">
            <a:extLst>
              <a:ext uri="{FF2B5EF4-FFF2-40B4-BE49-F238E27FC236}">
                <a16:creationId xmlns:a16="http://schemas.microsoft.com/office/drawing/2014/main" id="{00000000-0008-0000-0900-00001BDB0700}"/>
              </a:ext>
            </a:extLst>
          </xdr:cNvPr>
          <xdr:cNvSpPr/>
        </xdr:nvSpPr>
        <xdr:spPr>
          <a:xfrm>
            <a:off x="3507921" y="6496050"/>
            <a:ext cx="66675" cy="0"/>
          </a:xfrm>
          <a:prstGeom prst="line">
            <a:avLst/>
          </a:prstGeom>
          <a:noFill/>
          <a:ln w="9525">
            <a:solidFill>
              <a:srgbClr val="000000"/>
            </a:solidFill>
          </a:ln>
        </xdr:spPr>
        <xdr:txBody>
          <a:bodyPr rtlCol="0" anchor="ctr"/>
          <a:lstStyle/>
          <a:p>
            <a:pPr algn="ctr"/>
            <a:endParaRPr/>
          </a:p>
        </xdr:txBody>
      </xdr:sp>
      <xdr:sp macro="" textlink="">
        <xdr:nvSpPr>
          <xdr:cNvPr id="7" name="Text Box 9">
            <a:extLst>
              <a:ext uri="{FF2B5EF4-FFF2-40B4-BE49-F238E27FC236}">
                <a16:creationId xmlns:a16="http://schemas.microsoft.com/office/drawing/2014/main" id="{00000000-0008-0000-0900-000007000000}"/>
              </a:ext>
            </a:extLst>
          </xdr:cNvPr>
          <xdr:cNvSpPr txBox="1"/>
        </xdr:nvSpPr>
        <xdr:spPr>
          <a:xfrm>
            <a:off x="47625" y="5738872"/>
            <a:ext cx="572461" cy="200739"/>
          </a:xfrm>
          <a:prstGeom prst="rect">
            <a:avLst/>
          </a:prstGeom>
          <a:solidFill>
            <a:srgbClr val="FFFFFF"/>
          </a:solidFill>
          <a:ln w="9525">
            <a:solidFill>
              <a:srgbClr val="000000"/>
            </a:solidFill>
          </a:ln>
        </xdr:spPr>
        <xdr:txBody>
          <a:bodyPr lIns="36576" tIns="27432" rIns="0" bIns="0" rtlCol="0"/>
          <a:lstStyle/>
          <a:p>
            <a:pPr algn="l"/>
            <a:r>
              <a:rPr lang="en-US" sz="1400">
                <a:solidFill>
                  <a:srgbClr val="000000"/>
                </a:solidFill>
              </a:rPr>
              <a:t>TEFC</a:t>
            </a:r>
          </a:p>
        </xdr:txBody>
      </xdr:sp>
      <xdr:sp macro="" textlink="">
        <xdr:nvSpPr>
          <xdr:cNvPr id="514845" name="Line 10">
            <a:extLst>
              <a:ext uri="{FF2B5EF4-FFF2-40B4-BE49-F238E27FC236}">
                <a16:creationId xmlns:a16="http://schemas.microsoft.com/office/drawing/2014/main" id="{00000000-0008-0000-0900-00001DDB0700}"/>
              </a:ext>
            </a:extLst>
          </xdr:cNvPr>
          <xdr:cNvSpPr/>
        </xdr:nvSpPr>
        <xdr:spPr>
          <a:xfrm>
            <a:off x="1194707" y="7151914"/>
            <a:ext cx="19050" cy="1083469"/>
          </a:xfrm>
          <a:prstGeom prst="line">
            <a:avLst/>
          </a:prstGeom>
          <a:noFill/>
          <a:ln w="9525">
            <a:solidFill>
              <a:srgbClr val="000000"/>
            </a:solidFill>
          </a:ln>
        </xdr:spPr>
        <xdr:txBody>
          <a:bodyPr rtlCol="0" anchor="ctr"/>
          <a:lstStyle/>
          <a:p>
            <a:pPr algn="ctr"/>
            <a:endParaRPr/>
          </a:p>
        </xdr:txBody>
      </xdr:sp>
      <xdr:sp macro="" textlink="">
        <xdr:nvSpPr>
          <xdr:cNvPr id="514846" name="Line 11">
            <a:extLst>
              <a:ext uri="{FF2B5EF4-FFF2-40B4-BE49-F238E27FC236}">
                <a16:creationId xmlns:a16="http://schemas.microsoft.com/office/drawing/2014/main" id="{00000000-0008-0000-0900-00001EDB0700}"/>
              </a:ext>
            </a:extLst>
          </xdr:cNvPr>
          <xdr:cNvSpPr/>
        </xdr:nvSpPr>
        <xdr:spPr>
          <a:xfrm>
            <a:off x="2494189" y="7836354"/>
            <a:ext cx="9525" cy="399029"/>
          </a:xfrm>
          <a:prstGeom prst="line">
            <a:avLst/>
          </a:prstGeom>
          <a:noFill/>
          <a:ln w="9525">
            <a:solidFill>
              <a:srgbClr val="000000"/>
            </a:solidFill>
          </a:ln>
        </xdr:spPr>
        <xdr:txBody>
          <a:bodyPr rtlCol="0" anchor="ctr"/>
          <a:lstStyle/>
          <a:p>
            <a:pPr algn="ctr"/>
            <a:endParaRPr/>
          </a:p>
        </xdr:txBody>
      </xdr:sp>
      <xdr:sp macro="" textlink="">
        <xdr:nvSpPr>
          <xdr:cNvPr id="514847" name="Line 12">
            <a:extLst>
              <a:ext uri="{FF2B5EF4-FFF2-40B4-BE49-F238E27FC236}">
                <a16:creationId xmlns:a16="http://schemas.microsoft.com/office/drawing/2014/main" id="{00000000-0008-0000-0900-00001FDB0700}"/>
              </a:ext>
            </a:extLst>
          </xdr:cNvPr>
          <xdr:cNvSpPr/>
        </xdr:nvSpPr>
        <xdr:spPr>
          <a:xfrm>
            <a:off x="1213757" y="8140473"/>
            <a:ext cx="1299482" cy="0"/>
          </a:xfrm>
          <a:prstGeom prst="line">
            <a:avLst/>
          </a:prstGeom>
          <a:noFill/>
          <a:ln w="9525">
            <a:solidFill>
              <a:srgbClr val="000000"/>
            </a:solidFill>
          </a:ln>
        </xdr:spPr>
        <xdr:txBody>
          <a:bodyPr rtlCol="0" anchor="ctr"/>
          <a:lstStyle/>
          <a:p>
            <a:pPr algn="ctr"/>
            <a:endParaRPr/>
          </a:p>
        </xdr:txBody>
      </xdr:sp>
      <xdr:sp macro="" textlink="">
        <xdr:nvSpPr>
          <xdr:cNvPr id="11" name="Text Box 13">
            <a:extLst>
              <a:ext uri="{FF2B5EF4-FFF2-40B4-BE49-F238E27FC236}">
                <a16:creationId xmlns:a16="http://schemas.microsoft.com/office/drawing/2014/main" id="{00000000-0008-0000-0900-00000B000000}"/>
              </a:ext>
            </a:extLst>
          </xdr:cNvPr>
          <xdr:cNvSpPr txBox="1"/>
        </xdr:nvSpPr>
        <xdr:spPr>
          <a:xfrm>
            <a:off x="1686435" y="7999828"/>
            <a:ext cx="269393" cy="264130"/>
          </a:xfrm>
          <a:prstGeom prst="rect">
            <a:avLst/>
          </a:prstGeom>
          <a:solidFill>
            <a:srgbClr val="FFFFFF"/>
          </a:solidFill>
          <a:ln w="9525">
            <a:noFill/>
          </a:ln>
        </xdr:spPr>
        <xdr:txBody>
          <a:bodyPr lIns="27432" tIns="22860" rIns="27432" bIns="22860" rtlCol="0" anchor="ctr"/>
          <a:lstStyle/>
          <a:p>
            <a:pPr algn="ctr"/>
            <a:r>
              <a:rPr lang="en-US">
                <a:solidFill>
                  <a:srgbClr val="000000"/>
                </a:solidFill>
              </a:rPr>
              <a:t>BL</a:t>
            </a:r>
          </a:p>
        </xdr:txBody>
      </xdr:sp>
      <xdr:sp macro="" textlink="">
        <xdr:nvSpPr>
          <xdr:cNvPr id="514849" name="Line 14">
            <a:extLst>
              <a:ext uri="{FF2B5EF4-FFF2-40B4-BE49-F238E27FC236}">
                <a16:creationId xmlns:a16="http://schemas.microsoft.com/office/drawing/2014/main" id="{00000000-0008-0000-0900-000021DB0700}"/>
              </a:ext>
            </a:extLst>
          </xdr:cNvPr>
          <xdr:cNvSpPr/>
        </xdr:nvSpPr>
        <xdr:spPr>
          <a:xfrm>
            <a:off x="5109482" y="7655719"/>
            <a:ext cx="0" cy="494279"/>
          </a:xfrm>
          <a:prstGeom prst="line">
            <a:avLst/>
          </a:prstGeom>
          <a:noFill/>
          <a:ln w="9525">
            <a:solidFill>
              <a:srgbClr val="000000"/>
            </a:solidFill>
          </a:ln>
        </xdr:spPr>
        <xdr:txBody>
          <a:bodyPr rtlCol="0" anchor="ctr"/>
          <a:lstStyle/>
          <a:p>
            <a:pPr algn="ctr"/>
            <a:endParaRPr/>
          </a:p>
        </xdr:txBody>
      </xdr:sp>
      <xdr:sp macro="" textlink="">
        <xdr:nvSpPr>
          <xdr:cNvPr id="514850" name="Line 15">
            <a:extLst>
              <a:ext uri="{FF2B5EF4-FFF2-40B4-BE49-F238E27FC236}">
                <a16:creationId xmlns:a16="http://schemas.microsoft.com/office/drawing/2014/main" id="{00000000-0008-0000-0900-000022DB0700}"/>
              </a:ext>
            </a:extLst>
          </xdr:cNvPr>
          <xdr:cNvSpPr/>
        </xdr:nvSpPr>
        <xdr:spPr>
          <a:xfrm>
            <a:off x="6399439" y="7655719"/>
            <a:ext cx="0" cy="494279"/>
          </a:xfrm>
          <a:prstGeom prst="line">
            <a:avLst/>
          </a:prstGeom>
          <a:noFill/>
          <a:ln w="9525">
            <a:solidFill>
              <a:srgbClr val="000000"/>
            </a:solidFill>
          </a:ln>
        </xdr:spPr>
        <xdr:txBody>
          <a:bodyPr rtlCol="0" anchor="ctr"/>
          <a:lstStyle/>
          <a:p>
            <a:pPr algn="ctr"/>
            <a:endParaRPr/>
          </a:p>
        </xdr:txBody>
      </xdr:sp>
      <xdr:sp macro="" textlink="">
        <xdr:nvSpPr>
          <xdr:cNvPr id="514851" name="Line 16">
            <a:extLst>
              <a:ext uri="{FF2B5EF4-FFF2-40B4-BE49-F238E27FC236}">
                <a16:creationId xmlns:a16="http://schemas.microsoft.com/office/drawing/2014/main" id="{00000000-0008-0000-0900-000023DB0700}"/>
              </a:ext>
            </a:extLst>
          </xdr:cNvPr>
          <xdr:cNvSpPr/>
        </xdr:nvSpPr>
        <xdr:spPr>
          <a:xfrm>
            <a:off x="5138057" y="8073798"/>
            <a:ext cx="1270907" cy="0"/>
          </a:xfrm>
          <a:prstGeom prst="line">
            <a:avLst/>
          </a:prstGeom>
          <a:noFill/>
          <a:ln w="9525">
            <a:solidFill>
              <a:srgbClr val="000000"/>
            </a:solidFill>
          </a:ln>
        </xdr:spPr>
        <xdr:txBody>
          <a:bodyPr rtlCol="0" anchor="ctr"/>
          <a:lstStyle/>
          <a:p>
            <a:pPr algn="ctr"/>
            <a:endParaRPr/>
          </a:p>
        </xdr:txBody>
      </xdr:sp>
      <xdr:sp macro="" textlink="">
        <xdr:nvSpPr>
          <xdr:cNvPr id="15" name="Text Box 17">
            <a:extLst>
              <a:ext uri="{FF2B5EF4-FFF2-40B4-BE49-F238E27FC236}">
                <a16:creationId xmlns:a16="http://schemas.microsoft.com/office/drawing/2014/main" id="{00000000-0008-0000-0900-00000F000000}"/>
              </a:ext>
            </a:extLst>
          </xdr:cNvPr>
          <xdr:cNvSpPr txBox="1"/>
        </xdr:nvSpPr>
        <xdr:spPr>
          <a:xfrm>
            <a:off x="5626313" y="7936436"/>
            <a:ext cx="291843" cy="264130"/>
          </a:xfrm>
          <a:prstGeom prst="rect">
            <a:avLst/>
          </a:prstGeom>
          <a:solidFill>
            <a:srgbClr val="FFFFFF"/>
          </a:solidFill>
          <a:ln w="9525">
            <a:noFill/>
          </a:ln>
        </xdr:spPr>
        <xdr:txBody>
          <a:bodyPr lIns="27432" tIns="22860" rIns="27432" bIns="22860" rtlCol="0" anchor="ctr"/>
          <a:lstStyle/>
          <a:p>
            <a:pPr algn="ctr"/>
            <a:r>
              <a:rPr lang="en-US">
                <a:solidFill>
                  <a:srgbClr val="000000"/>
                </a:solidFill>
              </a:rPr>
              <a:t>BW</a:t>
            </a:r>
          </a:p>
        </xdr:txBody>
      </xdr:sp>
      <xdr:sp macro="" textlink="">
        <xdr:nvSpPr>
          <xdr:cNvPr id="514853" name="Line 18">
            <a:extLst>
              <a:ext uri="{FF2B5EF4-FFF2-40B4-BE49-F238E27FC236}">
                <a16:creationId xmlns:a16="http://schemas.microsoft.com/office/drawing/2014/main" id="{00000000-0008-0000-0900-000025DB0700}"/>
              </a:ext>
            </a:extLst>
          </xdr:cNvPr>
          <xdr:cNvSpPr/>
        </xdr:nvSpPr>
        <xdr:spPr>
          <a:xfrm>
            <a:off x="2227489" y="7969363"/>
            <a:ext cx="190500" cy="0"/>
          </a:xfrm>
          <a:prstGeom prst="line">
            <a:avLst/>
          </a:prstGeom>
          <a:noFill/>
          <a:ln w="9525">
            <a:solidFill>
              <a:srgbClr val="000000"/>
            </a:solidFill>
          </a:ln>
        </xdr:spPr>
        <xdr:txBody>
          <a:bodyPr rtlCol="0" anchor="ctr"/>
          <a:lstStyle/>
          <a:p>
            <a:pPr algn="ctr"/>
            <a:endParaRPr/>
          </a:p>
        </xdr:txBody>
      </xdr:sp>
      <xdr:sp macro="" textlink="">
        <xdr:nvSpPr>
          <xdr:cNvPr id="17" name="Text Box 19">
            <a:extLst>
              <a:ext uri="{FF2B5EF4-FFF2-40B4-BE49-F238E27FC236}">
                <a16:creationId xmlns:a16="http://schemas.microsoft.com/office/drawing/2014/main" id="{00000000-0008-0000-0900-000011000000}"/>
              </a:ext>
            </a:extLst>
          </xdr:cNvPr>
          <xdr:cNvSpPr txBox="1"/>
        </xdr:nvSpPr>
        <xdr:spPr>
          <a:xfrm>
            <a:off x="2662986" y="7873045"/>
            <a:ext cx="291843" cy="264130"/>
          </a:xfrm>
          <a:prstGeom prst="rect">
            <a:avLst/>
          </a:prstGeom>
          <a:noFill/>
          <a:ln w="9525">
            <a:noFill/>
          </a:ln>
        </xdr:spPr>
        <xdr:txBody>
          <a:bodyPr lIns="27432" tIns="22860" rIns="0" bIns="0" rtlCol="0"/>
          <a:lstStyle/>
          <a:p>
            <a:pPr algn="l"/>
            <a:r>
              <a:rPr lang="en-US">
                <a:solidFill>
                  <a:srgbClr val="000000"/>
                </a:solidFill>
              </a:rPr>
              <a:t>D1</a:t>
            </a:r>
          </a:p>
        </xdr:txBody>
      </xdr:sp>
      <xdr:sp macro="" textlink="">
        <xdr:nvSpPr>
          <xdr:cNvPr id="514855" name="Line 20">
            <a:extLst>
              <a:ext uri="{FF2B5EF4-FFF2-40B4-BE49-F238E27FC236}">
                <a16:creationId xmlns:a16="http://schemas.microsoft.com/office/drawing/2014/main" id="{00000000-0008-0000-0900-000027DB0700}"/>
              </a:ext>
            </a:extLst>
          </xdr:cNvPr>
          <xdr:cNvSpPr/>
        </xdr:nvSpPr>
        <xdr:spPr>
          <a:xfrm>
            <a:off x="2494189" y="7969363"/>
            <a:ext cx="187779" cy="0"/>
          </a:xfrm>
          <a:prstGeom prst="line">
            <a:avLst/>
          </a:prstGeom>
          <a:noFill/>
          <a:ln w="9525">
            <a:solidFill>
              <a:srgbClr val="000000"/>
            </a:solidFill>
          </a:ln>
        </xdr:spPr>
        <xdr:txBody>
          <a:bodyPr rtlCol="0" anchor="ctr"/>
          <a:lstStyle/>
          <a:p>
            <a:pPr algn="ctr"/>
            <a:endParaRPr/>
          </a:p>
        </xdr:txBody>
      </xdr:sp>
      <xdr:sp macro="" textlink="">
        <xdr:nvSpPr>
          <xdr:cNvPr id="514856" name="Line 21">
            <a:extLst>
              <a:ext uri="{FF2B5EF4-FFF2-40B4-BE49-F238E27FC236}">
                <a16:creationId xmlns:a16="http://schemas.microsoft.com/office/drawing/2014/main" id="{00000000-0008-0000-0900-000028DB0700}"/>
              </a:ext>
            </a:extLst>
          </xdr:cNvPr>
          <xdr:cNvSpPr/>
        </xdr:nvSpPr>
        <xdr:spPr>
          <a:xfrm>
            <a:off x="2417989" y="7722054"/>
            <a:ext cx="0" cy="304459"/>
          </a:xfrm>
          <a:prstGeom prst="line">
            <a:avLst/>
          </a:prstGeom>
          <a:noFill/>
          <a:ln w="9525">
            <a:solidFill>
              <a:srgbClr val="000000"/>
            </a:solidFill>
          </a:ln>
        </xdr:spPr>
        <xdr:txBody>
          <a:bodyPr rtlCol="0" anchor="ctr"/>
          <a:lstStyle/>
          <a:p>
            <a:pPr algn="ctr"/>
            <a:endParaRPr/>
          </a:p>
        </xdr:txBody>
      </xdr:sp>
      <xdr:sp macro="" textlink="">
        <xdr:nvSpPr>
          <xdr:cNvPr id="514857" name="Line 22">
            <a:extLst>
              <a:ext uri="{FF2B5EF4-FFF2-40B4-BE49-F238E27FC236}">
                <a16:creationId xmlns:a16="http://schemas.microsoft.com/office/drawing/2014/main" id="{00000000-0008-0000-0900-000029DB0700}"/>
              </a:ext>
            </a:extLst>
          </xdr:cNvPr>
          <xdr:cNvSpPr/>
        </xdr:nvSpPr>
        <xdr:spPr>
          <a:xfrm>
            <a:off x="2494189" y="7684294"/>
            <a:ext cx="0" cy="85385"/>
          </a:xfrm>
          <a:prstGeom prst="line">
            <a:avLst/>
          </a:prstGeom>
          <a:noFill/>
          <a:ln w="9525">
            <a:solidFill>
              <a:srgbClr val="000000"/>
            </a:solidFill>
          </a:ln>
        </xdr:spPr>
        <xdr:txBody>
          <a:bodyPr rtlCol="0" anchor="ctr"/>
          <a:lstStyle/>
          <a:p>
            <a:pPr algn="ctr"/>
            <a:endParaRPr/>
          </a:p>
        </xdr:txBody>
      </xdr:sp>
      <xdr:sp macro="" textlink="">
        <xdr:nvSpPr>
          <xdr:cNvPr id="514858" name="Line 18">
            <a:extLst>
              <a:ext uri="{FF2B5EF4-FFF2-40B4-BE49-F238E27FC236}">
                <a16:creationId xmlns:a16="http://schemas.microsoft.com/office/drawing/2014/main" id="{00000000-0008-0000-0900-00002ADB0700}"/>
              </a:ext>
            </a:extLst>
          </xdr:cNvPr>
          <xdr:cNvSpPr/>
        </xdr:nvSpPr>
        <xdr:spPr>
          <a:xfrm>
            <a:off x="3096613" y="7526249"/>
            <a:ext cx="191351" cy="0"/>
          </a:xfrm>
          <a:prstGeom prst="line">
            <a:avLst/>
          </a:prstGeom>
          <a:noFill/>
          <a:ln w="9525">
            <a:solidFill>
              <a:srgbClr val="000000"/>
            </a:solidFill>
          </a:ln>
        </xdr:spPr>
        <xdr:txBody>
          <a:bodyPr rtlCol="0" anchor="ctr"/>
          <a:lstStyle/>
          <a:p>
            <a:pPr algn="ctr"/>
            <a:endParaRPr/>
          </a:p>
        </xdr:txBody>
      </xdr:sp>
      <xdr:sp macro="" textlink="">
        <xdr:nvSpPr>
          <xdr:cNvPr id="514859" name="Line 20">
            <a:extLst>
              <a:ext uri="{FF2B5EF4-FFF2-40B4-BE49-F238E27FC236}">
                <a16:creationId xmlns:a16="http://schemas.microsoft.com/office/drawing/2014/main" id="{00000000-0008-0000-0900-00002BDB0700}"/>
              </a:ext>
            </a:extLst>
          </xdr:cNvPr>
          <xdr:cNvSpPr/>
        </xdr:nvSpPr>
        <xdr:spPr>
          <a:xfrm>
            <a:off x="3098629" y="7772094"/>
            <a:ext cx="193732" cy="0"/>
          </a:xfrm>
          <a:prstGeom prst="line">
            <a:avLst/>
          </a:prstGeom>
          <a:noFill/>
          <a:ln w="9525">
            <a:solidFill>
              <a:srgbClr val="000000"/>
            </a:solidFill>
          </a:ln>
        </xdr:spPr>
        <xdr:txBody>
          <a:bodyPr rtlCol="0" anchor="ctr"/>
          <a:lstStyle/>
          <a:p>
            <a:pPr algn="ctr"/>
            <a:endParaRPr/>
          </a:p>
        </xdr:txBody>
      </xdr:sp>
      <xdr:sp macro="" textlink="">
        <xdr:nvSpPr>
          <xdr:cNvPr id="25" name="Text Box 19">
            <a:extLst>
              <a:ext uri="{FF2B5EF4-FFF2-40B4-BE49-F238E27FC236}">
                <a16:creationId xmlns:a16="http://schemas.microsoft.com/office/drawing/2014/main" id="{00000000-0008-0000-0900-000019000000}"/>
              </a:ext>
            </a:extLst>
          </xdr:cNvPr>
          <xdr:cNvSpPr txBox="1"/>
        </xdr:nvSpPr>
        <xdr:spPr>
          <a:xfrm>
            <a:off x="3302795" y="7323654"/>
            <a:ext cx="280618" cy="274696"/>
          </a:xfrm>
          <a:prstGeom prst="rect">
            <a:avLst/>
          </a:prstGeom>
          <a:noFill/>
          <a:ln w="9525">
            <a:noFill/>
          </a:ln>
        </xdr:spPr>
        <xdr:txBody>
          <a:bodyPr lIns="27432" tIns="22860" rIns="0" bIns="0" rtlCol="0"/>
          <a:lstStyle/>
          <a:p>
            <a:pPr algn="l"/>
            <a:r>
              <a:rPr lang="en-US">
                <a:solidFill>
                  <a:srgbClr val="000000"/>
                </a:solidFill>
              </a:rPr>
              <a:t>D2</a:t>
            </a:r>
          </a:p>
        </xdr:txBody>
      </xdr:sp>
      <xdr:sp macro="" textlink="">
        <xdr:nvSpPr>
          <xdr:cNvPr id="514863" name="Line 20">
            <a:extLst>
              <a:ext uri="{FF2B5EF4-FFF2-40B4-BE49-F238E27FC236}">
                <a16:creationId xmlns:a16="http://schemas.microsoft.com/office/drawing/2014/main" id="{00000000-0008-0000-0900-00002FDB0700}"/>
              </a:ext>
            </a:extLst>
          </xdr:cNvPr>
          <xdr:cNvSpPr/>
        </xdr:nvSpPr>
        <xdr:spPr>
          <a:xfrm>
            <a:off x="3186294" y="7431444"/>
            <a:ext cx="135304" cy="0"/>
          </a:xfrm>
          <a:prstGeom prst="line">
            <a:avLst/>
          </a:prstGeom>
          <a:noFill/>
          <a:ln w="9525">
            <a:solidFill>
              <a:srgbClr val="000000"/>
            </a:solidFill>
          </a:ln>
        </xdr:spPr>
        <xdr:txBody>
          <a:bodyPr rtlCol="0" anchor="ctr"/>
          <a:lstStyle/>
          <a:p>
            <a:pPr algn="ctr"/>
            <a:endParaRPr/>
          </a:p>
        </xdr:txBody>
      </xdr:sp>
    </xdr:grpSp>
    <xdr:clientData/>
  </xdr:twoCellAnchor>
  <xdr:twoCellAnchor>
    <xdr:from>
      <xdr:col>13</xdr:col>
      <xdr:colOff>47625</xdr:colOff>
      <xdr:row>23</xdr:row>
      <xdr:rowOff>38100</xdr:rowOff>
    </xdr:from>
    <xdr:to>
      <xdr:col>14</xdr:col>
      <xdr:colOff>552450</xdr:colOff>
      <xdr:row>30</xdr:row>
      <xdr:rowOff>104775</xdr:rowOff>
    </xdr:to>
    <xdr:pic>
      <xdr:nvPicPr>
        <xdr:cNvPr id="514837" name="Picture 23" descr="shaft1">
          <a:extLst>
            <a:ext uri="{FF2B5EF4-FFF2-40B4-BE49-F238E27FC236}">
              <a16:creationId xmlns:a16="http://schemas.microsoft.com/office/drawing/2014/main" id="{00000000-0008-0000-0900-000015DB0700}"/>
            </a:ext>
          </a:extLst>
        </xdr:cNvPr>
        <xdr:cNvPicPr>
          <a:picLocks noChangeAspect="1"/>
        </xdr:cNvPicPr>
      </xdr:nvPicPr>
      <xdr:blipFill>
        <a:blip xmlns:r="http://schemas.openxmlformats.org/officeDocument/2006/relationships" r:embed="rId2"/>
        <a:stretch>
          <a:fillRect/>
        </a:stretch>
      </xdr:blipFill>
      <xdr:spPr>
        <a:xfrm>
          <a:off x="7423606" y="3895725"/>
          <a:ext cx="1138456" cy="1222375"/>
        </a:xfrm>
        <a:prstGeom prst="rect">
          <a:avLst/>
        </a:prstGeom>
        <a:noFill/>
        <a:ln>
          <a:noFill/>
        </a:ln>
      </xdr:spPr>
    </xdr:pic>
    <xdr:clientData/>
  </xdr:twoCellAnchor>
  <xdr:twoCellAnchor>
    <xdr:from>
      <xdr:col>15</xdr:col>
      <xdr:colOff>437030</xdr:colOff>
      <xdr:row>26</xdr:row>
      <xdr:rowOff>145677</xdr:rowOff>
    </xdr:from>
    <xdr:to>
      <xdr:col>20</xdr:col>
      <xdr:colOff>240103</xdr:colOff>
      <xdr:row>34</xdr:row>
      <xdr:rowOff>56029</xdr:rowOff>
    </xdr:to>
    <xdr:sp macro="" textlink="">
      <xdr:nvSpPr>
        <xdr:cNvPr id="28" name="Text Box 15">
          <a:extLst>
            <a:ext uri="{FF2B5EF4-FFF2-40B4-BE49-F238E27FC236}">
              <a16:creationId xmlns:a16="http://schemas.microsoft.com/office/drawing/2014/main" id="{00000000-0008-0000-0900-00001C000000}"/>
            </a:ext>
          </a:extLst>
        </xdr:cNvPr>
        <xdr:cNvSpPr txBox="1"/>
      </xdr:nvSpPr>
      <xdr:spPr>
        <a:xfrm>
          <a:off x="9080274" y="4498602"/>
          <a:ext cx="2919801" cy="1231152"/>
        </a:xfrm>
        <a:prstGeom prst="rect">
          <a:avLst/>
        </a:prstGeom>
        <a:solidFill>
          <a:srgbClr val="FFFFFF"/>
        </a:solidFill>
        <a:ln w="9525">
          <a:solidFill>
            <a:srgbClr val="000000"/>
          </a:solidFill>
        </a:ln>
      </xdr:spPr>
      <xdr:txBody>
        <a:bodyPr lIns="36576" tIns="22860" rIns="0" bIns="0" rtlCol="0"/>
        <a:lstStyle/>
        <a:p>
          <a:pPr algn="l"/>
          <a:r>
            <a:rPr lang="en-US" sz="1200">
              <a:solidFill>
                <a:srgbClr val="000000"/>
              </a:solidFill>
            </a:rPr>
            <a:t>The "C" dimension on a </a:t>
          </a:r>
          <a:r>
            <a:rPr lang="en-US" sz="1200" b="1">
              <a:solidFill>
                <a:srgbClr val="000000"/>
              </a:solidFill>
            </a:rPr>
            <a:t>TEFC</a:t>
          </a:r>
          <a:r>
            <a:rPr lang="en-US" sz="1200">
              <a:solidFill>
                <a:srgbClr val="000000"/>
              </a:solidFill>
            </a:rPr>
            <a:t> motor is larger,  than the "C" dimension on an </a:t>
          </a:r>
          <a:r>
            <a:rPr lang="en-US" sz="1200" b="1">
              <a:solidFill>
                <a:srgbClr val="000000"/>
              </a:solidFill>
            </a:rPr>
            <a:t>ODP</a:t>
          </a:r>
          <a:r>
            <a:rPr lang="en-US" sz="1200">
              <a:solidFill>
                <a:srgbClr val="000000"/>
              </a:solidFill>
            </a:rPr>
            <a:t> motor.</a:t>
          </a:r>
        </a:p>
        <a:p>
          <a:pPr algn="l"/>
          <a:endParaRPr lang="en-US" sz="1200">
            <a:solidFill>
              <a:srgbClr val="000000"/>
            </a:solidFill>
          </a:endParaRPr>
        </a:p>
        <a:p>
          <a:pPr algn="l"/>
          <a:r>
            <a:rPr lang="en-US" sz="1200">
              <a:solidFill>
                <a:srgbClr val="000000"/>
              </a:solidFill>
            </a:rPr>
            <a:t>Table dimensions are based on TEFC as a worst case scenario</a:t>
          </a:r>
        </a:p>
      </xdr:txBody>
    </xdr:sp>
    <xdr:clientData/>
  </xdr:twoCellAnchor>
  <xdr:twoCellAnchor editAs="oneCell">
    <xdr:from>
      <xdr:col>22</xdr:col>
      <xdr:colOff>190500</xdr:colOff>
      <xdr:row>0</xdr:row>
      <xdr:rowOff>0</xdr:rowOff>
    </xdr:from>
    <xdr:to>
      <xdr:col>37</xdr:col>
      <xdr:colOff>447675</xdr:colOff>
      <xdr:row>64</xdr:row>
      <xdr:rowOff>79375</xdr:rowOff>
    </xdr:to>
    <xdr:pic>
      <xdr:nvPicPr>
        <xdr:cNvPr id="514839" name="Picture 1">
          <a:extLst>
            <a:ext uri="{FF2B5EF4-FFF2-40B4-BE49-F238E27FC236}">
              <a16:creationId xmlns:a16="http://schemas.microsoft.com/office/drawing/2014/main" id="{00000000-0008-0000-0900-000017DB0700}"/>
            </a:ext>
          </a:extLst>
        </xdr:cNvPr>
        <xdr:cNvPicPr>
          <a:picLocks noChangeAspect="1"/>
        </xdr:cNvPicPr>
      </xdr:nvPicPr>
      <xdr:blipFill>
        <a:blip xmlns:r="http://schemas.openxmlformats.org/officeDocument/2006/relationships" r:embed="rId3"/>
        <a:stretch>
          <a:fillRect/>
        </a:stretch>
      </xdr:blipFill>
      <xdr:spPr>
        <a:xfrm>
          <a:off x="12417597" y="0"/>
          <a:ext cx="9098464" cy="1070610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220755</xdr:colOff>
      <xdr:row>36</xdr:row>
      <xdr:rowOff>33057</xdr:rowOff>
    </xdr:from>
    <xdr:to>
      <xdr:col>17</xdr:col>
      <xdr:colOff>393325</xdr:colOff>
      <xdr:row>61</xdr:row>
      <xdr:rowOff>74332</xdr:rowOff>
    </xdr:to>
    <xdr:pic>
      <xdr:nvPicPr>
        <xdr:cNvPr id="495015" name="Picture 3">
          <a:extLst>
            <a:ext uri="{FF2B5EF4-FFF2-40B4-BE49-F238E27FC236}">
              <a16:creationId xmlns:a16="http://schemas.microsoft.com/office/drawing/2014/main" id="{00000000-0008-0000-0A00-0000A78D0700}"/>
            </a:ext>
          </a:extLst>
        </xdr:cNvPr>
        <xdr:cNvPicPr>
          <a:picLocks noChangeAspect="1"/>
        </xdr:cNvPicPr>
      </xdr:nvPicPr>
      <xdr:blipFill>
        <a:blip xmlns:r="http://schemas.openxmlformats.org/officeDocument/2006/relationships" r:embed="rId1"/>
        <a:stretch>
          <a:fillRect/>
        </a:stretch>
      </xdr:blipFill>
      <xdr:spPr>
        <a:xfrm>
          <a:off x="1322080" y="1988857"/>
          <a:ext cx="11507469" cy="4168775"/>
        </a:xfrm>
        <a:prstGeom prst="rect">
          <a:avLst/>
        </a:prstGeom>
        <a:noFill/>
        <a:ln>
          <a:noFill/>
        </a:ln>
      </xdr:spPr>
    </xdr:pic>
    <xdr:clientData/>
  </xdr:twoCellAnchor>
  <xdr:twoCellAnchor>
    <xdr:from>
      <xdr:col>4</xdr:col>
      <xdr:colOff>582707</xdr:colOff>
      <xdr:row>63</xdr:row>
      <xdr:rowOff>67235</xdr:rowOff>
    </xdr:from>
    <xdr:to>
      <xdr:col>19</xdr:col>
      <xdr:colOff>414618</xdr:colOff>
      <xdr:row>69</xdr:row>
      <xdr:rowOff>100852</xdr:rowOff>
    </xdr:to>
    <xdr:sp macro="" textlink="">
      <xdr:nvSpPr>
        <xdr:cNvPr id="2" name="TextBox 1">
          <a:extLst>
            <a:ext uri="{FF2B5EF4-FFF2-40B4-BE49-F238E27FC236}">
              <a16:creationId xmlns:a16="http://schemas.microsoft.com/office/drawing/2014/main" id="{00000000-0008-0000-0A00-000002000000}"/>
            </a:ext>
          </a:extLst>
        </xdr:cNvPr>
        <xdr:cNvSpPr txBox="1"/>
      </xdr:nvSpPr>
      <xdr:spPr>
        <a:xfrm>
          <a:off x="1684032" y="6480735"/>
          <a:ext cx="12621320" cy="1024217"/>
        </a:xfrm>
        <a:prstGeom prst="rect">
          <a:avLst/>
        </a:prstGeom>
        <a:solidFill>
          <a:schemeClr val="lt1"/>
        </a:solidFill>
        <a:ln>
          <a:solidFill>
            <a:schemeClr val="dk2">
              <a:lumMod val="60000"/>
              <a:lumOff val="40000"/>
            </a:schemeClr>
          </a:solidFill>
        </a:ln>
      </xdr:spPr>
      <xdr:style>
        <a:lnRef idx="0">
          <a:scrgbClr r="0" g="0" b="0"/>
        </a:lnRef>
        <a:fillRef idx="0">
          <a:scrgbClr r="0" g="0" b="0"/>
        </a:fillRef>
        <a:effectRef idx="0">
          <a:scrgbClr r="0" g="0" b="0"/>
        </a:effectRef>
        <a:fontRef idx="minor">
          <a:schemeClr val="dk1"/>
        </a:fontRef>
      </xdr:style>
      <xdr:txBody>
        <a:bodyPr rtlCol="0" anchor="ctr"/>
        <a:lstStyle/>
        <a:p>
          <a:pPr algn="ctr"/>
          <a:r>
            <a:rPr lang="en-US" sz="2400">
              <a:solidFill>
                <a:schemeClr val="dk2">
                  <a:lumMod val="59999"/>
                  <a:lumOff val="40001"/>
                </a:schemeClr>
              </a:solidFill>
            </a:rPr>
            <a:t>Any changes to isolator plate, all-thread or plate assembly part numbers must also include updates to Isolator Part Select document  in TKO Edit Manual document: Fans-025</a:t>
          </a:r>
        </a:p>
      </xdr:txBody>
    </xdr:sp>
    <xdr:clientData/>
  </xdr:twoCellAnchor>
  <xdr:twoCellAnchor>
    <xdr:from>
      <xdr:col>24</xdr:col>
      <xdr:colOff>33617</xdr:colOff>
      <xdr:row>10</xdr:row>
      <xdr:rowOff>33618</xdr:rowOff>
    </xdr:from>
    <xdr:to>
      <xdr:col>31</xdr:col>
      <xdr:colOff>481853</xdr:colOff>
      <xdr:row>19</xdr:row>
      <xdr:rowOff>44824</xdr:rowOff>
    </xdr:to>
    <xdr:sp macro="" textlink="">
      <xdr:nvSpPr>
        <xdr:cNvPr id="3" name="TextBox 2">
          <a:extLst>
            <a:ext uri="{FF2B5EF4-FFF2-40B4-BE49-F238E27FC236}">
              <a16:creationId xmlns:a16="http://schemas.microsoft.com/office/drawing/2014/main" id="{13B69CC4-0B91-F4F4-73AB-61148C1F9E40}"/>
            </a:ext>
          </a:extLst>
        </xdr:cNvPr>
        <xdr:cNvSpPr txBox="1"/>
      </xdr:nvSpPr>
      <xdr:spPr>
        <a:xfrm>
          <a:off x="15912352" y="2005853"/>
          <a:ext cx="4224619" cy="1423147"/>
        </a:xfrm>
        <a:prstGeom prst="rect">
          <a:avLst/>
        </a:prstGeom>
        <a:solidFill>
          <a:srgbClr val="FFFF00"/>
        </a:solidFill>
        <a:ln w="762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rgbClr val="FF0000"/>
              </a:solidFill>
            </a:rPr>
            <a:t>Plate</a:t>
          </a:r>
          <a:r>
            <a:rPr lang="en-US" sz="2000" b="1" baseline="0">
              <a:solidFill>
                <a:srgbClr val="FF0000"/>
              </a:solidFill>
            </a:rPr>
            <a:t> Assy Part Numbers can be found in Mapics and are connected to BOM_Map_30103_318  and BOM_Map_30103_143</a:t>
          </a:r>
          <a:endParaRPr lang="en-US" sz="2000" b="1">
            <a:solidFill>
              <a:srgbClr val="FF0000"/>
            </a:solidFill>
          </a:endParaRP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790575</xdr:colOff>
      <xdr:row>1</xdr:row>
      <xdr:rowOff>57150</xdr:rowOff>
    </xdr:from>
    <xdr:to>
      <xdr:col>7</xdr:col>
      <xdr:colOff>923925</xdr:colOff>
      <xdr:row>1</xdr:row>
      <xdr:rowOff>180975</xdr:rowOff>
    </xdr:to>
    <xdr:pic>
      <xdr:nvPicPr>
        <xdr:cNvPr id="503659" name="Picture 65088" descr="C:\Users\Bryan\AppData\Local\Microsoft\Windows\Temporary Internet Files\Content.IE5\MVT8L020\MC900433812[1].png">
          <a:extLst>
            <a:ext uri="{FF2B5EF4-FFF2-40B4-BE49-F238E27FC236}">
              <a16:creationId xmlns:a16="http://schemas.microsoft.com/office/drawing/2014/main" id="{00000000-0008-0000-0B00-00006BAF0700}"/>
            </a:ext>
          </a:extLst>
        </xdr:cNvPr>
        <xdr:cNvPicPr>
          <a:picLocks noChangeAspect="1"/>
        </xdr:cNvPicPr>
      </xdr:nvPicPr>
      <xdr:blipFill>
        <a:blip xmlns:r="http://schemas.openxmlformats.org/officeDocument/2006/relationships" r:embed="rId1"/>
        <a:stretch>
          <a:fillRect/>
        </a:stretch>
      </xdr:blipFill>
      <xdr:spPr>
        <a:xfrm>
          <a:off x="6244919" y="247015"/>
          <a:ext cx="133350" cy="123825"/>
        </a:xfrm>
        <a:prstGeom prst="rect">
          <a:avLst/>
        </a:prstGeom>
        <a:noFill/>
        <a:ln>
          <a:noFill/>
        </a:ln>
      </xdr:spPr>
    </xdr:pic>
    <xdr:clientData/>
  </xdr:twoCellAnchor>
  <xdr:twoCellAnchor editAs="oneCell">
    <xdr:from>
      <xdr:col>24</xdr:col>
      <xdr:colOff>4352925</xdr:colOff>
      <xdr:row>0</xdr:row>
      <xdr:rowOff>0</xdr:rowOff>
    </xdr:from>
    <xdr:to>
      <xdr:col>24</xdr:col>
      <xdr:colOff>7667625</xdr:colOff>
      <xdr:row>23</xdr:row>
      <xdr:rowOff>78740</xdr:rowOff>
    </xdr:to>
    <xdr:pic>
      <xdr:nvPicPr>
        <xdr:cNvPr id="503660" name="Picture 47">
          <a:extLst>
            <a:ext uri="{FF2B5EF4-FFF2-40B4-BE49-F238E27FC236}">
              <a16:creationId xmlns:a16="http://schemas.microsoft.com/office/drawing/2014/main" id="{00000000-0008-0000-0B00-00006CAF0700}"/>
            </a:ext>
          </a:extLst>
        </xdr:cNvPr>
        <xdr:cNvPicPr>
          <a:picLocks noChangeAspect="1"/>
        </xdr:cNvPicPr>
      </xdr:nvPicPr>
      <xdr:blipFill>
        <a:blip xmlns:r="http://schemas.openxmlformats.org/officeDocument/2006/relationships" r:embed="rId2"/>
        <a:stretch>
          <a:fillRect/>
        </a:stretch>
      </xdr:blipFill>
      <xdr:spPr>
        <a:xfrm>
          <a:off x="23324360" y="0"/>
          <a:ext cx="3314700" cy="4992370"/>
        </a:xfrm>
        <a:prstGeom prst="rect">
          <a:avLst/>
        </a:prstGeom>
        <a:noFill/>
        <a:ln>
          <a:noFill/>
        </a:ln>
      </xdr:spPr>
    </xdr:pic>
    <xdr:clientData/>
  </xdr:twoCellAnchor>
  <xdr:twoCellAnchor editAs="oneCell">
    <xdr:from>
      <xdr:col>24</xdr:col>
      <xdr:colOff>8020050</xdr:colOff>
      <xdr:row>0</xdr:row>
      <xdr:rowOff>0</xdr:rowOff>
    </xdr:from>
    <xdr:to>
      <xdr:col>24</xdr:col>
      <xdr:colOff>11134725</xdr:colOff>
      <xdr:row>23</xdr:row>
      <xdr:rowOff>116840</xdr:rowOff>
    </xdr:to>
    <xdr:pic>
      <xdr:nvPicPr>
        <xdr:cNvPr id="503661" name="Picture 48">
          <a:extLst>
            <a:ext uri="{FF2B5EF4-FFF2-40B4-BE49-F238E27FC236}">
              <a16:creationId xmlns:a16="http://schemas.microsoft.com/office/drawing/2014/main" id="{00000000-0008-0000-0B00-00006DAF0700}"/>
            </a:ext>
          </a:extLst>
        </xdr:cNvPr>
        <xdr:cNvPicPr>
          <a:picLocks noChangeAspect="1"/>
        </xdr:cNvPicPr>
      </xdr:nvPicPr>
      <xdr:blipFill>
        <a:blip xmlns:r="http://schemas.openxmlformats.org/officeDocument/2006/relationships" r:embed="rId3"/>
        <a:stretch>
          <a:fillRect/>
        </a:stretch>
      </xdr:blipFill>
      <xdr:spPr>
        <a:xfrm>
          <a:off x="26991485" y="0"/>
          <a:ext cx="3114675" cy="5030470"/>
        </a:xfrm>
        <a:prstGeom prst="rect">
          <a:avLst/>
        </a:prstGeom>
        <a:noFill/>
        <a:ln>
          <a:noFill/>
        </a:ln>
      </xdr:spPr>
    </xdr:pic>
    <xdr:clientData/>
  </xdr:twoCellAnchor>
  <xdr:twoCellAnchor editAs="oneCell">
    <xdr:from>
      <xdr:col>24</xdr:col>
      <xdr:colOff>495300</xdr:colOff>
      <xdr:row>0</xdr:row>
      <xdr:rowOff>0</xdr:rowOff>
    </xdr:from>
    <xdr:to>
      <xdr:col>24</xdr:col>
      <xdr:colOff>4200525</xdr:colOff>
      <xdr:row>23</xdr:row>
      <xdr:rowOff>354965</xdr:rowOff>
    </xdr:to>
    <xdr:pic>
      <xdr:nvPicPr>
        <xdr:cNvPr id="503662" name="Picture 2">
          <a:extLst>
            <a:ext uri="{FF2B5EF4-FFF2-40B4-BE49-F238E27FC236}">
              <a16:creationId xmlns:a16="http://schemas.microsoft.com/office/drawing/2014/main" id="{00000000-0008-0000-0B00-00006EAF0700}"/>
            </a:ext>
          </a:extLst>
        </xdr:cNvPr>
        <xdr:cNvPicPr>
          <a:picLocks noChangeAspect="1"/>
        </xdr:cNvPicPr>
      </xdr:nvPicPr>
      <xdr:blipFill>
        <a:blip xmlns:r="http://schemas.openxmlformats.org/officeDocument/2006/relationships" r:embed="rId4"/>
        <a:stretch>
          <a:fillRect/>
        </a:stretch>
      </xdr:blipFill>
      <xdr:spPr>
        <a:xfrm>
          <a:off x="19466735" y="0"/>
          <a:ext cx="3705225" cy="5268595"/>
        </a:xfrm>
        <a:prstGeom prst="rect">
          <a:avLst/>
        </a:prstGeom>
        <a:noFill/>
        <a:ln>
          <a:noFill/>
        </a:ln>
      </xdr:spPr>
    </xdr:pic>
    <xdr:clientData/>
  </xdr:twoCellAnchor>
  <xdr:twoCellAnchor editAs="oneCell">
    <xdr:from>
      <xdr:col>2</xdr:col>
      <xdr:colOff>224117</xdr:colOff>
      <xdr:row>23</xdr:row>
      <xdr:rowOff>224116</xdr:rowOff>
    </xdr:from>
    <xdr:to>
      <xdr:col>5</xdr:col>
      <xdr:colOff>393375</xdr:colOff>
      <xdr:row>23</xdr:row>
      <xdr:rowOff>1591235</xdr:rowOff>
    </xdr:to>
    <xdr:sp macro="" textlink="">
      <xdr:nvSpPr>
        <xdr:cNvPr id="2" name="TextBox 1">
          <a:extLst>
            <a:ext uri="{FF2B5EF4-FFF2-40B4-BE49-F238E27FC236}">
              <a16:creationId xmlns:a16="http://schemas.microsoft.com/office/drawing/2014/main" id="{00000000-0008-0000-0B00-000002000000}"/>
            </a:ext>
          </a:extLst>
        </xdr:cNvPr>
        <xdr:cNvSpPr txBox="1"/>
      </xdr:nvSpPr>
      <xdr:spPr>
        <a:xfrm>
          <a:off x="1266264" y="5154704"/>
          <a:ext cx="2802640" cy="1367119"/>
        </a:xfrm>
        <a:prstGeom prst="rect">
          <a:avLst/>
        </a:prstGeom>
        <a:solidFill>
          <a:srgbClr val="92D050"/>
        </a:solidFill>
        <a:ln w="38100" cap="rnd">
          <a:solidFill>
            <a:schemeClr val="dk1"/>
          </a:solidFill>
        </a:ln>
      </xdr:spPr>
      <xdr:style>
        <a:lnRef idx="0">
          <a:scrgbClr r="0" g="0" b="0"/>
        </a:lnRef>
        <a:fillRef idx="0">
          <a:scrgbClr r="0" g="0" b="0"/>
        </a:fillRef>
        <a:effectRef idx="0">
          <a:scrgbClr r="0" g="0" b="0"/>
        </a:effectRef>
        <a:fontRef idx="minor">
          <a:schemeClr val="dk1"/>
        </a:fontRef>
      </xdr:style>
      <xdr:txBody>
        <a:bodyPr rtlCol="0">
          <a:noAutofit/>
        </a:bodyPr>
        <a:lstStyle/>
        <a:p>
          <a:pPr algn="l"/>
          <a:r>
            <a:rPr lang="en-US" sz="1400" b="1"/>
            <a:t>This specific ID number is used in isolator Plate Designation calcs in Excel Calcs tab. If this number changes values in cells H11, H18, H23 &amp; H30 must also change accordingly</a:t>
          </a:r>
        </a:p>
      </xdr:txBody>
    </xdr:sp>
    <xdr:clientData/>
  </xdr:twoCellAnchor>
  <xdr:twoCellAnchor editAs="oneCell">
    <xdr:from>
      <xdr:col>7</xdr:col>
      <xdr:colOff>1351</xdr:colOff>
      <xdr:row>23</xdr:row>
      <xdr:rowOff>54067</xdr:rowOff>
    </xdr:from>
    <xdr:to>
      <xdr:col>15</xdr:col>
      <xdr:colOff>134470</xdr:colOff>
      <xdr:row>24</xdr:row>
      <xdr:rowOff>0</xdr:rowOff>
    </xdr:to>
    <xdr:pic>
      <xdr:nvPicPr>
        <xdr:cNvPr id="503665" name="Picture 14">
          <a:extLst>
            <a:ext uri="{FF2B5EF4-FFF2-40B4-BE49-F238E27FC236}">
              <a16:creationId xmlns:a16="http://schemas.microsoft.com/office/drawing/2014/main" id="{00000000-0008-0000-0B00-000071AF0700}"/>
            </a:ext>
          </a:extLst>
        </xdr:cNvPr>
        <xdr:cNvPicPr>
          <a:picLocks noChangeAspect="1"/>
        </xdr:cNvPicPr>
      </xdr:nvPicPr>
      <xdr:blipFill>
        <a:blip xmlns:r="http://schemas.openxmlformats.org/officeDocument/2006/relationships" r:embed="rId5"/>
        <a:stretch>
          <a:fillRect/>
        </a:stretch>
      </xdr:blipFill>
      <xdr:spPr>
        <a:xfrm>
          <a:off x="5455695" y="4967697"/>
          <a:ext cx="7052487" cy="3079658"/>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838200</xdr:colOff>
      <xdr:row>1</xdr:row>
      <xdr:rowOff>47625</xdr:rowOff>
    </xdr:from>
    <xdr:to>
      <xdr:col>4</xdr:col>
      <xdr:colOff>971550</xdr:colOff>
      <xdr:row>1</xdr:row>
      <xdr:rowOff>171450</xdr:rowOff>
    </xdr:to>
    <xdr:pic>
      <xdr:nvPicPr>
        <xdr:cNvPr id="508355" name="Picture 65088" descr="C:\Users\Bryan\AppData\Local\Microsoft\Windows\Temporary Internet Files\Content.IE5\MVT8L020\MC900433812[1].png">
          <a:extLst>
            <a:ext uri="{FF2B5EF4-FFF2-40B4-BE49-F238E27FC236}">
              <a16:creationId xmlns:a16="http://schemas.microsoft.com/office/drawing/2014/main" id="{00000000-0008-0000-0C00-0000C3C10700}"/>
            </a:ext>
          </a:extLst>
        </xdr:cNvPr>
        <xdr:cNvPicPr>
          <a:picLocks noChangeAspect="1"/>
        </xdr:cNvPicPr>
      </xdr:nvPicPr>
      <xdr:blipFill>
        <a:blip xmlns:r="http://schemas.openxmlformats.org/officeDocument/2006/relationships" r:embed="rId1"/>
        <a:stretch>
          <a:fillRect/>
        </a:stretch>
      </xdr:blipFill>
      <xdr:spPr>
        <a:xfrm>
          <a:off x="3903214" y="237490"/>
          <a:ext cx="133350" cy="123825"/>
        </a:xfrm>
        <a:prstGeom prst="rect">
          <a:avLst/>
        </a:prstGeom>
        <a:noFill/>
        <a:ln>
          <a:noFill/>
        </a:ln>
      </xdr:spPr>
    </xdr:pic>
    <xdr:clientData/>
  </xdr:twoCellAnchor>
  <xdr:twoCellAnchor editAs="oneCell">
    <xdr:from>
      <xdr:col>11</xdr:col>
      <xdr:colOff>809625</xdr:colOff>
      <xdr:row>11</xdr:row>
      <xdr:rowOff>676275</xdr:rowOff>
    </xdr:from>
    <xdr:to>
      <xdr:col>16</xdr:col>
      <xdr:colOff>57150</xdr:colOff>
      <xdr:row>11</xdr:row>
      <xdr:rowOff>3076575</xdr:rowOff>
    </xdr:to>
    <xdr:pic>
      <xdr:nvPicPr>
        <xdr:cNvPr id="508356" name="Picture 2">
          <a:extLst>
            <a:ext uri="{FF2B5EF4-FFF2-40B4-BE49-F238E27FC236}">
              <a16:creationId xmlns:a16="http://schemas.microsoft.com/office/drawing/2014/main" id="{00000000-0008-0000-0C00-0000C4C10700}"/>
            </a:ext>
          </a:extLst>
        </xdr:cNvPr>
        <xdr:cNvPicPr>
          <a:picLocks noChangeAspect="1"/>
        </xdr:cNvPicPr>
      </xdr:nvPicPr>
      <xdr:blipFill>
        <a:blip xmlns:r="http://schemas.openxmlformats.org/officeDocument/2006/relationships" r:embed="rId2"/>
        <a:stretch>
          <a:fillRect/>
        </a:stretch>
      </xdr:blipFill>
      <xdr:spPr>
        <a:xfrm>
          <a:off x="10025410" y="3088640"/>
          <a:ext cx="3902585" cy="2400300"/>
        </a:xfrm>
        <a:prstGeom prst="rect">
          <a:avLst/>
        </a:prstGeom>
        <a:noFill/>
        <a:ln>
          <a:noFill/>
        </a:ln>
      </xdr:spPr>
    </xdr:pic>
    <xdr:clientData/>
  </xdr:twoCellAnchor>
  <xdr:twoCellAnchor editAs="oneCell">
    <xdr:from>
      <xdr:col>5</xdr:col>
      <xdr:colOff>742950</xdr:colOff>
      <xdr:row>11</xdr:row>
      <xdr:rowOff>57150</xdr:rowOff>
    </xdr:from>
    <xdr:to>
      <xdr:col>11</xdr:col>
      <xdr:colOff>200025</xdr:colOff>
      <xdr:row>11</xdr:row>
      <xdr:rowOff>3200400</xdr:rowOff>
    </xdr:to>
    <xdr:pic>
      <xdr:nvPicPr>
        <xdr:cNvPr id="508357" name="Picture 3">
          <a:extLst>
            <a:ext uri="{FF2B5EF4-FFF2-40B4-BE49-F238E27FC236}">
              <a16:creationId xmlns:a16="http://schemas.microsoft.com/office/drawing/2014/main" id="{00000000-0008-0000-0C00-0000C5C10700}"/>
            </a:ext>
          </a:extLst>
        </xdr:cNvPr>
        <xdr:cNvPicPr>
          <a:picLocks noChangeAspect="1"/>
        </xdr:cNvPicPr>
      </xdr:nvPicPr>
      <xdr:blipFill>
        <a:blip xmlns:r="http://schemas.openxmlformats.org/officeDocument/2006/relationships" r:embed="rId3"/>
        <a:stretch>
          <a:fillRect/>
        </a:stretch>
      </xdr:blipFill>
      <xdr:spPr>
        <a:xfrm>
          <a:off x="4909289" y="2469515"/>
          <a:ext cx="4506520" cy="3143250"/>
        </a:xfrm>
        <a:prstGeom prst="rect">
          <a:avLst/>
        </a:prstGeom>
        <a:noFill/>
        <a:ln>
          <a:noFill/>
        </a:ln>
      </xdr:spPr>
    </xdr:pic>
    <xdr:clientData/>
  </xdr:twoCellAnchor>
  <xdr:twoCellAnchor editAs="oneCell">
    <xdr:from>
      <xdr:col>1</xdr:col>
      <xdr:colOff>112058</xdr:colOff>
      <xdr:row>9</xdr:row>
      <xdr:rowOff>145677</xdr:rowOff>
    </xdr:from>
    <xdr:to>
      <xdr:col>4</xdr:col>
      <xdr:colOff>302058</xdr:colOff>
      <xdr:row>11</xdr:row>
      <xdr:rowOff>1255059</xdr:rowOff>
    </xdr:to>
    <xdr:sp macro="" textlink="">
      <xdr:nvSpPr>
        <xdr:cNvPr id="5" name="TextBox 4">
          <a:extLst>
            <a:ext uri="{FF2B5EF4-FFF2-40B4-BE49-F238E27FC236}">
              <a16:creationId xmlns:a16="http://schemas.microsoft.com/office/drawing/2014/main" id="{00000000-0008-0000-0C00-000005000000}"/>
            </a:ext>
          </a:extLst>
        </xdr:cNvPr>
        <xdr:cNvSpPr txBox="1"/>
      </xdr:nvSpPr>
      <xdr:spPr>
        <a:xfrm>
          <a:off x="313764" y="2263589"/>
          <a:ext cx="2789765" cy="1423146"/>
        </a:xfrm>
        <a:prstGeom prst="rect">
          <a:avLst/>
        </a:prstGeom>
        <a:solidFill>
          <a:srgbClr val="92D050"/>
        </a:solidFill>
        <a:ln w="38100" cap="rnd">
          <a:solidFill>
            <a:schemeClr val="dk1"/>
          </a:solidFill>
        </a:ln>
      </xdr:spPr>
      <xdr:style>
        <a:lnRef idx="0">
          <a:scrgbClr r="0" g="0" b="0"/>
        </a:lnRef>
        <a:fillRef idx="0">
          <a:scrgbClr r="0" g="0" b="0"/>
        </a:fillRef>
        <a:effectRef idx="0">
          <a:scrgbClr r="0" g="0" b="0"/>
        </a:effectRef>
        <a:fontRef idx="minor">
          <a:schemeClr val="dk1"/>
        </a:fontRef>
      </xdr:style>
      <xdr:txBody>
        <a:bodyPr rtlCol="0">
          <a:noAutofit/>
        </a:bodyPr>
        <a:lstStyle/>
        <a:p>
          <a:pPr algn="l"/>
          <a:r>
            <a:rPr lang="en-US" sz="1400" b="1"/>
            <a:t>These specific values used in calcs in support angle offset calculations in Excel Calcs tab. If modified values in cells K103-K106 must be checked to verify desired output is maintained</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7</xdr:col>
      <xdr:colOff>1116667</xdr:colOff>
      <xdr:row>0</xdr:row>
      <xdr:rowOff>17929</xdr:rowOff>
    </xdr:from>
    <xdr:to>
      <xdr:col>11</xdr:col>
      <xdr:colOff>164726</xdr:colOff>
      <xdr:row>7</xdr:row>
      <xdr:rowOff>108137</xdr:rowOff>
    </xdr:to>
    <xdr:sp macro="" textlink="">
      <xdr:nvSpPr>
        <xdr:cNvPr id="2" name="Text Box 1">
          <a:extLst>
            <a:ext uri="{FF2B5EF4-FFF2-40B4-BE49-F238E27FC236}">
              <a16:creationId xmlns:a16="http://schemas.microsoft.com/office/drawing/2014/main" id="{00000000-0008-0000-0D00-000002000000}"/>
            </a:ext>
          </a:extLst>
        </xdr:cNvPr>
        <xdr:cNvSpPr txBox="1"/>
      </xdr:nvSpPr>
      <xdr:spPr>
        <a:xfrm>
          <a:off x="8896978" y="17929"/>
          <a:ext cx="2485296" cy="1245908"/>
        </a:xfrm>
        <a:prstGeom prst="rect">
          <a:avLst/>
        </a:prstGeom>
        <a:solidFill>
          <a:srgbClr val="FFFFFF"/>
        </a:solidFill>
        <a:ln w="9525">
          <a:solidFill>
            <a:srgbClr val="000000"/>
          </a:solidFill>
        </a:ln>
      </xdr:spPr>
      <xdr:txBody>
        <a:bodyPr lIns="27432" tIns="22860" rIns="0" bIns="0" rtlCol="0"/>
        <a:lstStyle/>
        <a:p>
          <a:pPr algn="l"/>
          <a:r>
            <a:rPr lang="en-US">
              <a:solidFill>
                <a:srgbClr val="000000"/>
              </a:solidFill>
            </a:rPr>
            <a:t>Standard hole sizes used in the project.  Any special hole size needs to be listed below the special hole size heading.  Hole sizes used in models should be referenced back to the hole size chart on this tab.  Any changes to hole sizes must be done on the holes sizes tab.</a:t>
          </a: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1266825</xdr:colOff>
      <xdr:row>5</xdr:row>
      <xdr:rowOff>19050</xdr:rowOff>
    </xdr:from>
    <xdr:to>
      <xdr:col>3</xdr:col>
      <xdr:colOff>1409700</xdr:colOff>
      <xdr:row>5</xdr:row>
      <xdr:rowOff>152400</xdr:rowOff>
    </xdr:to>
    <xdr:pic>
      <xdr:nvPicPr>
        <xdr:cNvPr id="516158" name="Picture 65088" descr="C:\Users\Bryan\AppData\Local\Microsoft\Windows\Temporary Internet Files\Content.IE5\MVT8L020\MC900433812[1].png">
          <a:extLst>
            <a:ext uri="{FF2B5EF4-FFF2-40B4-BE49-F238E27FC236}">
              <a16:creationId xmlns:a16="http://schemas.microsoft.com/office/drawing/2014/main" id="{00000000-0008-0000-0F00-00003EE00700}"/>
            </a:ext>
          </a:extLst>
        </xdr:cNvPr>
        <xdr:cNvPicPr>
          <a:picLocks noChangeAspect="1"/>
        </xdr:cNvPicPr>
      </xdr:nvPicPr>
      <xdr:blipFill>
        <a:blip xmlns:r="http://schemas.openxmlformats.org/officeDocument/2006/relationships" r:embed="rId1"/>
        <a:stretch>
          <a:fillRect/>
        </a:stretch>
      </xdr:blipFill>
      <xdr:spPr>
        <a:xfrm>
          <a:off x="3438504" y="1444625"/>
          <a:ext cx="142875" cy="133350"/>
        </a:xfrm>
        <a:prstGeom prst="rect">
          <a:avLst/>
        </a:prstGeom>
        <a:noFill/>
        <a:ln>
          <a:noFill/>
        </a:ln>
      </xdr:spPr>
    </xdr:pic>
    <xdr:clientData/>
  </xdr:twoCellAnchor>
  <xdr:twoCellAnchor editAs="oneCell">
    <xdr:from>
      <xdr:col>3</xdr:col>
      <xdr:colOff>1266825</xdr:colOff>
      <xdr:row>15</xdr:row>
      <xdr:rowOff>19050</xdr:rowOff>
    </xdr:from>
    <xdr:to>
      <xdr:col>3</xdr:col>
      <xdr:colOff>1409700</xdr:colOff>
      <xdr:row>15</xdr:row>
      <xdr:rowOff>152400</xdr:rowOff>
    </xdr:to>
    <xdr:pic>
      <xdr:nvPicPr>
        <xdr:cNvPr id="516159" name="Picture 65088" descr="C:\Users\Bryan\AppData\Local\Microsoft\Windows\Temporary Internet Files\Content.IE5\MVT8L020\MC900433812[1].png">
          <a:extLst>
            <a:ext uri="{FF2B5EF4-FFF2-40B4-BE49-F238E27FC236}">
              <a16:creationId xmlns:a16="http://schemas.microsoft.com/office/drawing/2014/main" id="{00000000-0008-0000-0F00-00003FE00700}"/>
            </a:ext>
          </a:extLst>
        </xdr:cNvPr>
        <xdr:cNvPicPr>
          <a:picLocks noChangeAspect="1"/>
        </xdr:cNvPicPr>
      </xdr:nvPicPr>
      <xdr:blipFill>
        <a:blip xmlns:r="http://schemas.openxmlformats.org/officeDocument/2006/relationships" r:embed="rId1"/>
        <a:stretch>
          <a:fillRect/>
        </a:stretch>
      </xdr:blipFill>
      <xdr:spPr>
        <a:xfrm>
          <a:off x="3438504" y="3159125"/>
          <a:ext cx="142875" cy="133350"/>
        </a:xfrm>
        <a:prstGeom prst="rect">
          <a:avLst/>
        </a:prstGeom>
        <a:noFill/>
        <a:ln>
          <a:noFill/>
        </a:ln>
      </xdr:spPr>
    </xdr:pic>
    <xdr:clientData/>
  </xdr:twoCellAnchor>
  <xdr:twoCellAnchor editAs="oneCell">
    <xdr:from>
      <xdr:col>3</xdr:col>
      <xdr:colOff>1266825</xdr:colOff>
      <xdr:row>29</xdr:row>
      <xdr:rowOff>19050</xdr:rowOff>
    </xdr:from>
    <xdr:to>
      <xdr:col>3</xdr:col>
      <xdr:colOff>1409700</xdr:colOff>
      <xdr:row>29</xdr:row>
      <xdr:rowOff>152400</xdr:rowOff>
    </xdr:to>
    <xdr:pic>
      <xdr:nvPicPr>
        <xdr:cNvPr id="516160" name="Picture 65088" descr="C:\Users\Bryan\AppData\Local\Microsoft\Windows\Temporary Internet Files\Content.IE5\MVT8L020\MC900433812[1].png">
          <a:extLst>
            <a:ext uri="{FF2B5EF4-FFF2-40B4-BE49-F238E27FC236}">
              <a16:creationId xmlns:a16="http://schemas.microsoft.com/office/drawing/2014/main" id="{00000000-0008-0000-0F00-000040E00700}"/>
            </a:ext>
          </a:extLst>
        </xdr:cNvPr>
        <xdr:cNvPicPr>
          <a:picLocks noChangeAspect="1"/>
        </xdr:cNvPicPr>
      </xdr:nvPicPr>
      <xdr:blipFill>
        <a:blip xmlns:r="http://schemas.openxmlformats.org/officeDocument/2006/relationships" r:embed="rId1"/>
        <a:stretch>
          <a:fillRect/>
        </a:stretch>
      </xdr:blipFill>
      <xdr:spPr>
        <a:xfrm>
          <a:off x="3438504" y="5559425"/>
          <a:ext cx="142875" cy="133350"/>
        </a:xfrm>
        <a:prstGeom prst="rect">
          <a:avLst/>
        </a:prstGeom>
        <a:noFill/>
        <a:ln>
          <a:noFill/>
        </a:ln>
      </xdr:spPr>
    </xdr:pic>
    <xdr:clientData/>
  </xdr:twoCellAnchor>
  <xdr:twoCellAnchor editAs="oneCell">
    <xdr:from>
      <xdr:col>3</xdr:col>
      <xdr:colOff>1266825</xdr:colOff>
      <xdr:row>34</xdr:row>
      <xdr:rowOff>19050</xdr:rowOff>
    </xdr:from>
    <xdr:to>
      <xdr:col>3</xdr:col>
      <xdr:colOff>1409700</xdr:colOff>
      <xdr:row>34</xdr:row>
      <xdr:rowOff>152400</xdr:rowOff>
    </xdr:to>
    <xdr:pic>
      <xdr:nvPicPr>
        <xdr:cNvPr id="516161" name="Picture 65088" descr="C:\Users\Bryan\AppData\Local\Microsoft\Windows\Temporary Internet Files\Content.IE5\MVT8L020\MC900433812[1].png">
          <a:extLst>
            <a:ext uri="{FF2B5EF4-FFF2-40B4-BE49-F238E27FC236}">
              <a16:creationId xmlns:a16="http://schemas.microsoft.com/office/drawing/2014/main" id="{00000000-0008-0000-0F00-000041E00700}"/>
            </a:ext>
          </a:extLst>
        </xdr:cNvPr>
        <xdr:cNvPicPr>
          <a:picLocks noChangeAspect="1"/>
        </xdr:cNvPicPr>
      </xdr:nvPicPr>
      <xdr:blipFill>
        <a:blip xmlns:r="http://schemas.openxmlformats.org/officeDocument/2006/relationships" r:embed="rId1"/>
        <a:stretch>
          <a:fillRect/>
        </a:stretch>
      </xdr:blipFill>
      <xdr:spPr>
        <a:xfrm>
          <a:off x="3438504" y="6416675"/>
          <a:ext cx="142875" cy="133350"/>
        </a:xfrm>
        <a:prstGeom prst="rect">
          <a:avLst/>
        </a:prstGeom>
        <a:noFill/>
        <a:ln>
          <a:noFill/>
        </a:ln>
      </xdr:spPr>
    </xdr:pic>
    <xdr:clientData/>
  </xdr:twoCellAnchor>
  <xdr:twoCellAnchor editAs="oneCell">
    <xdr:from>
      <xdr:col>3</xdr:col>
      <xdr:colOff>1257300</xdr:colOff>
      <xdr:row>63</xdr:row>
      <xdr:rowOff>19050</xdr:rowOff>
    </xdr:from>
    <xdr:to>
      <xdr:col>3</xdr:col>
      <xdr:colOff>1400175</xdr:colOff>
      <xdr:row>63</xdr:row>
      <xdr:rowOff>152400</xdr:rowOff>
    </xdr:to>
    <xdr:pic>
      <xdr:nvPicPr>
        <xdr:cNvPr id="516162" name="Picture 65088" descr="C:\Users\Bryan\AppData\Local\Microsoft\Windows\Temporary Internet Files\Content.IE5\MVT8L020\MC900433812[1].png">
          <a:extLst>
            <a:ext uri="{FF2B5EF4-FFF2-40B4-BE49-F238E27FC236}">
              <a16:creationId xmlns:a16="http://schemas.microsoft.com/office/drawing/2014/main" id="{00000000-0008-0000-0F00-000042E00700}"/>
            </a:ext>
          </a:extLst>
        </xdr:cNvPr>
        <xdr:cNvPicPr>
          <a:picLocks noChangeAspect="1"/>
        </xdr:cNvPicPr>
      </xdr:nvPicPr>
      <xdr:blipFill>
        <a:blip xmlns:r="http://schemas.openxmlformats.org/officeDocument/2006/relationships" r:embed="rId1"/>
        <a:stretch>
          <a:fillRect/>
        </a:stretch>
      </xdr:blipFill>
      <xdr:spPr>
        <a:xfrm>
          <a:off x="3428979" y="11674475"/>
          <a:ext cx="142875" cy="133350"/>
        </a:xfrm>
        <a:prstGeom prst="rect">
          <a:avLst/>
        </a:prstGeom>
        <a:noFill/>
        <a:ln>
          <a:noFill/>
        </a:ln>
      </xdr:spPr>
    </xdr:pic>
    <xdr:clientData/>
  </xdr:twoCellAnchor>
  <xdr:twoCellAnchor editAs="oneCell">
    <xdr:from>
      <xdr:col>3</xdr:col>
      <xdr:colOff>1257300</xdr:colOff>
      <xdr:row>64</xdr:row>
      <xdr:rowOff>19050</xdr:rowOff>
    </xdr:from>
    <xdr:to>
      <xdr:col>3</xdr:col>
      <xdr:colOff>1400175</xdr:colOff>
      <xdr:row>64</xdr:row>
      <xdr:rowOff>152400</xdr:rowOff>
    </xdr:to>
    <xdr:pic>
      <xdr:nvPicPr>
        <xdr:cNvPr id="516163" name="Picture 65088" descr="C:\Users\Bryan\AppData\Local\Microsoft\Windows\Temporary Internet Files\Content.IE5\MVT8L020\MC900433812[1].png">
          <a:extLst>
            <a:ext uri="{FF2B5EF4-FFF2-40B4-BE49-F238E27FC236}">
              <a16:creationId xmlns:a16="http://schemas.microsoft.com/office/drawing/2014/main" id="{00000000-0008-0000-0F00-000043E00700}"/>
            </a:ext>
          </a:extLst>
        </xdr:cNvPr>
        <xdr:cNvPicPr>
          <a:picLocks noChangeAspect="1"/>
        </xdr:cNvPicPr>
      </xdr:nvPicPr>
      <xdr:blipFill>
        <a:blip xmlns:r="http://schemas.openxmlformats.org/officeDocument/2006/relationships" r:embed="rId1"/>
        <a:stretch>
          <a:fillRect/>
        </a:stretch>
      </xdr:blipFill>
      <xdr:spPr>
        <a:xfrm>
          <a:off x="3428979" y="11845925"/>
          <a:ext cx="142875" cy="133350"/>
        </a:xfrm>
        <a:prstGeom prst="rect">
          <a:avLst/>
        </a:prstGeom>
        <a:noFill/>
        <a:ln>
          <a:noFill/>
        </a:ln>
      </xdr:spPr>
    </xdr:pic>
    <xdr:clientData/>
  </xdr:twoCellAnchor>
  <xdr:twoCellAnchor editAs="oneCell">
    <xdr:from>
      <xdr:col>3</xdr:col>
      <xdr:colOff>1266825</xdr:colOff>
      <xdr:row>71</xdr:row>
      <xdr:rowOff>19050</xdr:rowOff>
    </xdr:from>
    <xdr:to>
      <xdr:col>3</xdr:col>
      <xdr:colOff>1409700</xdr:colOff>
      <xdr:row>71</xdr:row>
      <xdr:rowOff>152400</xdr:rowOff>
    </xdr:to>
    <xdr:pic>
      <xdr:nvPicPr>
        <xdr:cNvPr id="516164" name="Picture 65088" descr="C:\Users\Bryan\AppData\Local\Microsoft\Windows\Temporary Internet Files\Content.IE5\MVT8L020\MC900433812[1].png">
          <a:extLst>
            <a:ext uri="{FF2B5EF4-FFF2-40B4-BE49-F238E27FC236}">
              <a16:creationId xmlns:a16="http://schemas.microsoft.com/office/drawing/2014/main" id="{00000000-0008-0000-0F00-000044E00700}"/>
            </a:ext>
          </a:extLst>
        </xdr:cNvPr>
        <xdr:cNvPicPr>
          <a:picLocks noChangeAspect="1"/>
        </xdr:cNvPicPr>
      </xdr:nvPicPr>
      <xdr:blipFill>
        <a:blip xmlns:r="http://schemas.openxmlformats.org/officeDocument/2006/relationships" r:embed="rId1"/>
        <a:stretch>
          <a:fillRect/>
        </a:stretch>
      </xdr:blipFill>
      <xdr:spPr>
        <a:xfrm>
          <a:off x="3438504" y="13141325"/>
          <a:ext cx="142875" cy="133350"/>
        </a:xfrm>
        <a:prstGeom prst="rect">
          <a:avLst/>
        </a:prstGeom>
        <a:noFill/>
        <a:ln>
          <a:noFill/>
        </a:ln>
      </xdr:spPr>
    </xdr:pic>
    <xdr:clientData/>
  </xdr:twoCellAnchor>
  <xdr:twoCellAnchor editAs="oneCell">
    <xdr:from>
      <xdr:col>3</xdr:col>
      <xdr:colOff>1266825</xdr:colOff>
      <xdr:row>73</xdr:row>
      <xdr:rowOff>19050</xdr:rowOff>
    </xdr:from>
    <xdr:to>
      <xdr:col>3</xdr:col>
      <xdr:colOff>1409700</xdr:colOff>
      <xdr:row>73</xdr:row>
      <xdr:rowOff>152400</xdr:rowOff>
    </xdr:to>
    <xdr:pic>
      <xdr:nvPicPr>
        <xdr:cNvPr id="516165" name="Picture 65088" descr="C:\Users\Bryan\AppData\Local\Microsoft\Windows\Temporary Internet Files\Content.IE5\MVT8L020\MC900433812[1].png">
          <a:extLst>
            <a:ext uri="{FF2B5EF4-FFF2-40B4-BE49-F238E27FC236}">
              <a16:creationId xmlns:a16="http://schemas.microsoft.com/office/drawing/2014/main" id="{00000000-0008-0000-0F00-000045E00700}"/>
            </a:ext>
          </a:extLst>
        </xdr:cNvPr>
        <xdr:cNvPicPr>
          <a:picLocks noChangeAspect="1"/>
        </xdr:cNvPicPr>
      </xdr:nvPicPr>
      <xdr:blipFill>
        <a:blip xmlns:r="http://schemas.openxmlformats.org/officeDocument/2006/relationships" r:embed="rId1"/>
        <a:stretch>
          <a:fillRect/>
        </a:stretch>
      </xdr:blipFill>
      <xdr:spPr>
        <a:xfrm>
          <a:off x="3438504" y="13484225"/>
          <a:ext cx="142875" cy="133350"/>
        </a:xfrm>
        <a:prstGeom prst="rect">
          <a:avLst/>
        </a:prstGeom>
        <a:noFill/>
        <a:ln>
          <a:noFill/>
        </a:ln>
      </xdr:spPr>
    </xdr:pic>
    <xdr:clientData/>
  </xdr:twoCellAnchor>
  <xdr:twoCellAnchor editAs="oneCell">
    <xdr:from>
      <xdr:col>3</xdr:col>
      <xdr:colOff>1266825</xdr:colOff>
      <xdr:row>19</xdr:row>
      <xdr:rowOff>19050</xdr:rowOff>
    </xdr:from>
    <xdr:to>
      <xdr:col>3</xdr:col>
      <xdr:colOff>1409700</xdr:colOff>
      <xdr:row>19</xdr:row>
      <xdr:rowOff>152400</xdr:rowOff>
    </xdr:to>
    <xdr:pic>
      <xdr:nvPicPr>
        <xdr:cNvPr id="516166" name="Picture 65088" descr="C:\Users\Bryan\AppData\Local\Microsoft\Windows\Temporary Internet Files\Content.IE5\MVT8L020\MC900433812[1].png">
          <a:extLst>
            <a:ext uri="{FF2B5EF4-FFF2-40B4-BE49-F238E27FC236}">
              <a16:creationId xmlns:a16="http://schemas.microsoft.com/office/drawing/2014/main" id="{00000000-0008-0000-0F00-000046E00700}"/>
            </a:ext>
          </a:extLst>
        </xdr:cNvPr>
        <xdr:cNvPicPr>
          <a:picLocks noChangeAspect="1"/>
        </xdr:cNvPicPr>
      </xdr:nvPicPr>
      <xdr:blipFill>
        <a:blip xmlns:r="http://schemas.openxmlformats.org/officeDocument/2006/relationships" r:embed="rId1"/>
        <a:stretch>
          <a:fillRect/>
        </a:stretch>
      </xdr:blipFill>
      <xdr:spPr>
        <a:xfrm>
          <a:off x="3438504" y="3844925"/>
          <a:ext cx="142875" cy="133350"/>
        </a:xfrm>
        <a:prstGeom prst="rect">
          <a:avLst/>
        </a:prstGeom>
        <a:noFill/>
        <a:ln>
          <a:noFill/>
        </a:ln>
      </xdr:spPr>
    </xdr:pic>
    <xdr:clientData/>
  </xdr:twoCellAnchor>
  <xdr:twoCellAnchor editAs="oneCell">
    <xdr:from>
      <xdr:col>3</xdr:col>
      <xdr:colOff>1266825</xdr:colOff>
      <xdr:row>77</xdr:row>
      <xdr:rowOff>19050</xdr:rowOff>
    </xdr:from>
    <xdr:to>
      <xdr:col>3</xdr:col>
      <xdr:colOff>1409700</xdr:colOff>
      <xdr:row>77</xdr:row>
      <xdr:rowOff>152400</xdr:rowOff>
    </xdr:to>
    <xdr:pic>
      <xdr:nvPicPr>
        <xdr:cNvPr id="516167" name="Picture 65088" descr="C:\Users\Bryan\AppData\Local\Microsoft\Windows\Temporary Internet Files\Content.IE5\MVT8L020\MC900433812[1].png">
          <a:extLst>
            <a:ext uri="{FF2B5EF4-FFF2-40B4-BE49-F238E27FC236}">
              <a16:creationId xmlns:a16="http://schemas.microsoft.com/office/drawing/2014/main" id="{00000000-0008-0000-0F00-000047E00700}"/>
            </a:ext>
          </a:extLst>
        </xdr:cNvPr>
        <xdr:cNvPicPr>
          <a:picLocks noChangeAspect="1"/>
        </xdr:cNvPicPr>
      </xdr:nvPicPr>
      <xdr:blipFill>
        <a:blip xmlns:r="http://schemas.openxmlformats.org/officeDocument/2006/relationships" r:embed="rId1"/>
        <a:stretch>
          <a:fillRect/>
        </a:stretch>
      </xdr:blipFill>
      <xdr:spPr>
        <a:xfrm>
          <a:off x="3438504" y="14255750"/>
          <a:ext cx="142875" cy="13335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A1:M565"/>
  <sheetViews>
    <sheetView zoomScale="85" workbookViewId="0">
      <selection activeCell="A384" sqref="A384"/>
    </sheetView>
  </sheetViews>
  <sheetFormatPr defaultColWidth="9.140625" defaultRowHeight="12.75" x14ac:dyDescent="0.2"/>
  <cols>
    <col min="1" max="1" width="57.5703125" style="75" customWidth="1"/>
    <col min="2" max="2" width="8.5703125" style="243" customWidth="1"/>
    <col min="3" max="3" width="14.42578125" style="72" bestFit="1" customWidth="1"/>
    <col min="4" max="4" width="4.140625" style="80" customWidth="1"/>
    <col min="5" max="5" width="7.140625" style="72" bestFit="1" customWidth="1"/>
    <col min="6" max="6" width="7.5703125" style="75" bestFit="1" customWidth="1"/>
    <col min="7" max="7" width="40.85546875" style="75" bestFit="1" customWidth="1"/>
    <col min="8" max="8" width="3.140625" style="75" customWidth="1"/>
    <col min="9" max="9" width="6.140625" style="75" bestFit="1" customWidth="1"/>
    <col min="10" max="10" width="33.85546875" style="75" bestFit="1" customWidth="1"/>
    <col min="11" max="11" width="14.7109375" style="75" bestFit="1" customWidth="1"/>
    <col min="12" max="12" width="5.140625" style="75" bestFit="1" customWidth="1"/>
    <col min="13" max="13" width="2.7109375" style="75" customWidth="1"/>
    <col min="14" max="14" width="22" style="75" customWidth="1"/>
    <col min="15" max="15" width="31.7109375" style="75" bestFit="1" customWidth="1"/>
    <col min="16" max="16" width="14.7109375" style="75" bestFit="1" customWidth="1"/>
    <col min="17" max="17" width="5.140625" style="75" bestFit="1" customWidth="1"/>
    <col min="18" max="16384" width="9.140625" style="75"/>
  </cols>
  <sheetData>
    <row r="1" spans="1:12" ht="15.75" x14ac:dyDescent="0.25">
      <c r="A1" s="147" t="s">
        <v>2052</v>
      </c>
      <c r="B1" s="147" t="s">
        <v>1089</v>
      </c>
      <c r="C1" s="147" t="s">
        <v>289</v>
      </c>
      <c r="D1" s="75"/>
      <c r="E1" s="147" t="s">
        <v>543</v>
      </c>
      <c r="F1" s="147" t="s">
        <v>1089</v>
      </c>
      <c r="G1" s="147" t="s">
        <v>129</v>
      </c>
      <c r="I1" s="147" t="s">
        <v>130</v>
      </c>
      <c r="J1" s="147" t="s">
        <v>289</v>
      </c>
      <c r="K1" s="147" t="s">
        <v>1245</v>
      </c>
      <c r="L1" s="147" t="s">
        <v>1658</v>
      </c>
    </row>
    <row r="2" spans="1:12" x14ac:dyDescent="0.2">
      <c r="A2" s="190" t="s">
        <v>2184</v>
      </c>
      <c r="B2" s="805">
        <f>'Excel Calcs'!B164</f>
        <v>1.1299999999999999</v>
      </c>
      <c r="C2" s="190" t="str">
        <f>CONCATENATE('Excel Calcs'!B123," THRU")</f>
        <v>0.5 THRU</v>
      </c>
      <c r="D2" s="75"/>
      <c r="E2" s="190" t="s">
        <v>2185</v>
      </c>
      <c r="F2" s="805">
        <f>'Excel Calcs'!B151</f>
        <v>87.03</v>
      </c>
      <c r="G2" s="706" t="str">
        <f>IF(F2="-","-","ISO to ISO OVERALL WIDTH")</f>
        <v>ISO to ISO OVERALL WIDTH</v>
      </c>
      <c r="I2" s="190">
        <v>1</v>
      </c>
      <c r="J2" s="637" t="str">
        <f>IF('Excel Calcs'!B86=4,CONCATENATE(VLOOKUP('Excel Calcs'!N17,Steel_List_Table,MATCH(STL_DESC,Steel_List_Column_Names,0),FALSE)," x ",ROUND('Excel Calcs'!N18,2)),CONCATENATE(VLOOKUP('Excel Calcs'!K13,Steel_List_Table,MATCH(STL_DESC,Steel_List_Column_Names,0),FALSE)," x ",ROUND('Excel Calcs'!K14,2)))</f>
        <v>6" x 8.2# Structural Channel x 77.53</v>
      </c>
      <c r="K2" s="806" t="str">
        <f>IF('Excel Calcs'!B86=4,VLOOKUP('Excel Calcs'!N17,Steel_List_Table,MATCH(STL_PNUM,Steel_List_Column_Names,0),FALSE),VLOOKUP('Excel Calcs'!K13,Steel_List_Table,MATCH(STL_PNUM,Steel_List_Column_Names,0),FALSE))</f>
        <v>001 08405 006</v>
      </c>
      <c r="L2" s="190">
        <v>1</v>
      </c>
    </row>
    <row r="3" spans="1:12" x14ac:dyDescent="0.2">
      <c r="A3" s="190" t="s">
        <v>544</v>
      </c>
      <c r="B3" s="805">
        <f>'Excel Calcs'!B165</f>
        <v>45.5</v>
      </c>
      <c r="C3" s="190" t="str">
        <f t="shared" ref="C3:C7" si="0">IF(B3="-","-",$C$2)</f>
        <v>0.5 THRU</v>
      </c>
      <c r="D3" s="75"/>
      <c r="E3" s="190" t="s">
        <v>1090</v>
      </c>
      <c r="F3" s="805">
        <f>'Excel Calcs'!B152</f>
        <v>43.61</v>
      </c>
      <c r="G3" s="706" t="str">
        <f>IF(F3="-","-","ISO to ISO OVERALL LENGTH")</f>
        <v>ISO to ISO OVERALL LENGTH</v>
      </c>
      <c r="I3" s="190">
        <v>2</v>
      </c>
      <c r="J3" s="637" t="str">
        <f>IF('Excel Calcs'!B86=4,CONCATENATE(VLOOKUP('Excel Calcs'!N39,Steel_List_Table,MATCH(STL_DESC,Steel_List_Column_Names,0),FALSE)," x ",ROUND('Excel Calcs'!N40,2)),CONCATENATE(VLOOKUP('Excel Calcs'!K13,Steel_List_Table,MATCH(STL_DESC,Steel_List_Column_Names,0),FALSE)," x ",ROUND('Excel Calcs'!K14,2)))</f>
        <v>6" x 8.2# Structural Channel x 77.53</v>
      </c>
      <c r="K3" s="806" t="str">
        <f>IF('Excel Calcs'!B86=4,VLOOKUP('Excel Calcs'!N39,Steel_List_Table,MATCH(STL_PNUM,Steel_List_Column_Names,0),FALSE),VLOOKUP('Excel Calcs'!K13,Steel_List_Table,MATCH(STL_PNUM,Steel_List_Column_Names,0),FALSE))</f>
        <v>001 08405 006</v>
      </c>
      <c r="L3" s="190">
        <v>1</v>
      </c>
    </row>
    <row r="4" spans="1:12" x14ac:dyDescent="0.2">
      <c r="A4" s="190" t="s">
        <v>1091</v>
      </c>
      <c r="B4" s="805">
        <f>'Excel Calcs'!B166</f>
        <v>30.9</v>
      </c>
      <c r="C4" s="190" t="str">
        <f t="shared" si="0"/>
        <v>0.5 THRU</v>
      </c>
      <c r="D4" s="75"/>
      <c r="E4" s="190" t="s">
        <v>1092</v>
      </c>
      <c r="F4" s="805">
        <f>'Excel Calcs'!B153</f>
        <v>51.61</v>
      </c>
      <c r="G4" s="706" t="str">
        <f>IF(F4="-","-","TOTAL FAN SKID LENGTH")</f>
        <v>TOTAL FAN SKID LENGTH</v>
      </c>
      <c r="I4" s="190">
        <v>3</v>
      </c>
      <c r="J4" s="637" t="str">
        <f>IF('Excel Calcs'!B86=4,CONCATENATE(VLOOKUP('Excel Calcs'!N60,Steel_List_Table,MATCH(STL_DESC,Steel_List_Column_Names,0),FALSE)," x ",ROUND('Excel Calcs'!N62,2)),CONCATENATE(VLOOKUP('Excel Calcs'!K24,Steel_List_Table,MATCH(STL_DESC,Steel_List_Column_Names,0),FALSE)," x ",ROUND('Excel Calcs'!K25,2)))</f>
        <v>6" x 8.2# Structural Channel x 47.77</v>
      </c>
      <c r="K4" s="806" t="str">
        <f>IF('Excel Calcs'!B86=4,VLOOKUP('Excel Calcs'!N60,Steel_List_Table,MATCH(STL_PNUM,Steel_List_Column_Names,0),FALSE),VLOOKUP('Excel Calcs'!K24,Steel_List_Table,MATCH(STL_PNUM,Steel_List_Column_Names,0),FALSE))</f>
        <v>001 08405 006</v>
      </c>
      <c r="L4" s="190">
        <v>1</v>
      </c>
    </row>
    <row r="5" spans="1:12" x14ac:dyDescent="0.2">
      <c r="A5" s="190" t="s">
        <v>1804</v>
      </c>
      <c r="B5" s="805">
        <f>'Excel Calcs'!B167</f>
        <v>11.92</v>
      </c>
      <c r="C5" s="190" t="str">
        <f t="shared" si="0"/>
        <v>0.5 THRU</v>
      </c>
      <c r="D5" s="75"/>
      <c r="E5" s="190" t="s">
        <v>1659</v>
      </c>
      <c r="F5" s="805">
        <f>'Excel Calcs'!B154</f>
        <v>77.53</v>
      </c>
      <c r="G5" s="706" t="str">
        <f>IF(F5="-","-","TOTAL FAN SKID WIDTH")</f>
        <v>TOTAL FAN SKID WIDTH</v>
      </c>
      <c r="I5" s="190">
        <v>4</v>
      </c>
      <c r="J5" s="637" t="str">
        <f>IF('Excel Calcs'!B86=4,CONCATENATE(VLOOKUP('Excel Calcs'!N60,Steel_List_Table,MATCH(STL_DESC,Steel_List_Column_Names,0),FALSE)," x ",ROUND('Excel Calcs'!N62,2)),CONCATENATE(VLOOKUP('Excel Calcs'!K24,Steel_List_Table,MATCH(STL_DESC,Steel_List_Column_Names,0),FALSE)," x ",ROUND('Excel Calcs'!K25,2)))</f>
        <v>6" x 8.2# Structural Channel x 47.77</v>
      </c>
      <c r="K5" s="190" t="str">
        <f>IF('Excel Calcs'!B86=4,VLOOKUP('Excel Calcs'!N60,Steel_List_Table,MATCH(STL_PNUM,Steel_List_Column_Names,0),FALSE),VLOOKUP('Excel Calcs'!K24,Steel_List_Table,MATCH(STL_PNUM,Steel_List_Column_Names,0),FALSE))</f>
        <v>001 08405 006</v>
      </c>
      <c r="L5" s="190">
        <v>1</v>
      </c>
    </row>
    <row r="6" spans="1:12" x14ac:dyDescent="0.2">
      <c r="A6" s="190" t="s">
        <v>131</v>
      </c>
      <c r="B6" s="805">
        <f>'Excel Calcs'!B168</f>
        <v>31.76</v>
      </c>
      <c r="C6" s="190" t="str">
        <f t="shared" si="0"/>
        <v>0.5 THRU</v>
      </c>
      <c r="D6" s="75"/>
      <c r="E6" s="190" t="s">
        <v>2186</v>
      </c>
      <c r="F6" s="805">
        <f>'Excel Calcs'!B155</f>
        <v>45.5</v>
      </c>
      <c r="G6" s="706" t="str">
        <f>IF(F6="-","-","INTERNAL DOA RAIL1 LOCATION")</f>
        <v>INTERNAL DOA RAIL1 LOCATION</v>
      </c>
      <c r="I6" s="190">
        <v>5</v>
      </c>
      <c r="J6" s="637" t="str">
        <f>IF('Excel Calcs'!B86=4,CONCATENATE(VLOOKUP('Excel Calcs'!N75,Steel_List_Table,MATCH(STL_DESC,Steel_List_Column_Names,0),FALSE)," x ",ROUND('Excel Calcs'!N76,2)),CONCATENATE(VLOOKUP('Excel Calcs'!K41,Steel_List_Table,MATCH(STL_DESC,Steel_List_Column_Names,0),FALSE)," x ",ROUND('Excel Calcs'!K42,2)))</f>
        <v>6" x 8.2# Structural Channel x 47.77</v>
      </c>
      <c r="K6" s="190" t="str">
        <f>IF('Excel Calcs'!B86=4,VLOOKUP('Excel Calcs'!N75,Steel_List_Table,MATCH(STL_PNUM,Steel_List_Column_Names,0),FALSE),VLOOKUP('Excel Calcs'!K41,Steel_List_Table,MATCH(STL_PNUM,Steel_List_Column_Names,0),FALSE))</f>
        <v>001 08405 006</v>
      </c>
      <c r="L6" s="190">
        <f>IF(J6="-","-",IF(AND('Excel Calcs'!N72=1,'Excel Calcs'!B9=1),2,'Excel Calcs'!K35+'Excel Calcs'!K36))</f>
        <v>2</v>
      </c>
    </row>
    <row r="7" spans="1:12" x14ac:dyDescent="0.2">
      <c r="A7" s="190" t="s">
        <v>684</v>
      </c>
      <c r="B7" s="805">
        <f>'Excel Calcs'!B169</f>
        <v>7.93</v>
      </c>
      <c r="C7" s="190" t="str">
        <f t="shared" si="0"/>
        <v>0.5 THRU</v>
      </c>
      <c r="D7" s="75"/>
      <c r="E7" s="190" t="s">
        <v>545</v>
      </c>
      <c r="F7" s="805">
        <f>'Excel Calcs'!B156</f>
        <v>62.56</v>
      </c>
      <c r="G7" s="706" t="str">
        <f>IF(F7="-","-","INTERNAL DOA RAIL2 LOCATION")</f>
        <v>INTERNAL DOA RAIL2 LOCATION</v>
      </c>
      <c r="I7" s="190">
        <v>6</v>
      </c>
      <c r="J7" s="637" t="str">
        <f>IF('Excel Calcs'!B86=4,"-",CONCATENATE(VLOOKUP('Excel Calcs'!K66,Steel_List_Table,MATCH(STL_DESC,Steel_List_Column_Names,0),FALSE)," x ",ROUND('Excel Calcs'!K69,2)))</f>
        <v>4" x 5.4# Structural Channel x 21.25</v>
      </c>
      <c r="K7" s="190" t="str">
        <f>IF(J7="-","-",VLOOKUP('Excel Calcs'!K66,Steel_List_Table,MATCH(STL_PNUM,Steel_List_Column_Names,0),FALSE))</f>
        <v>001 08405 004</v>
      </c>
      <c r="L7" s="190">
        <f>IF(J7="-","-",2)</f>
        <v>2</v>
      </c>
    </row>
    <row r="8" spans="1:12" x14ac:dyDescent="0.2">
      <c r="A8" s="190" t="s">
        <v>1805</v>
      </c>
      <c r="B8" s="805">
        <f>'Excel Calcs'!B170</f>
        <v>1.38</v>
      </c>
      <c r="C8" s="190" t="str">
        <f>CONCATENATE('Excel Calcs'!B136," THRU")</f>
        <v>0.75 THRU</v>
      </c>
      <c r="D8" s="75"/>
      <c r="E8" s="190" t="s">
        <v>1093</v>
      </c>
      <c r="F8" s="805" t="str">
        <f>'Excel Calcs'!B157</f>
        <v>-</v>
      </c>
      <c r="G8" s="706" t="str">
        <f>IF(F8="-","-","INTERNAL DOW RAIL LOCATION")</f>
        <v>-</v>
      </c>
      <c r="I8" s="190">
        <v>7</v>
      </c>
      <c r="J8" s="637" t="str">
        <f>IF(AND(B520=0,B521=0),"-",IF(OR(B520=1,Sheet1!B520=2),CONCATENATE(VLOOKUP('Excel Calcs'!N50,Steel_List_Table,MATCH(STL_DESC,Steel_List_Column_Names,0),FALSE)," x ",ROUND('Excel Calcs'!N51,2)),CONCATENATE(VLOOKUP('Excel Calcs'!K55,Steel_List_Table,MATCH(STL_DESC,Steel_List_Column_Names,0),FALSE)," x ",ROUND('Excel Calcs'!K56,2))))</f>
        <v>-</v>
      </c>
      <c r="K8" s="190" t="str">
        <f>IF(J8="-","-",IF(B491=4,VLOOKUP('Excel Calcs'!N50,Steel_List_Table,MATCH(STL_PNUM,Steel_List_Column_Names,0),FALSE),VLOOKUP('Excel Calcs'!K55,Steel_List_Table,MATCH(STL_PNUM,Steel_List_Column_Names,0),FALSE)))</f>
        <v>-</v>
      </c>
      <c r="L8" s="190" t="str">
        <f t="shared" ref="L8:L12" si="1">IF(J8="-","-",1)</f>
        <v>-</v>
      </c>
    </row>
    <row r="9" spans="1:12" x14ac:dyDescent="0.2">
      <c r="A9" s="190" t="s">
        <v>132</v>
      </c>
      <c r="B9" s="805">
        <f>'Excel Calcs'!B171</f>
        <v>18.5</v>
      </c>
      <c r="C9" s="190" t="str">
        <f t="shared" ref="C9:C13" si="2">IF(B9="-","-",$C$8)</f>
        <v>0.75 THRU</v>
      </c>
      <c r="D9" s="75"/>
      <c r="E9" s="190" t="s">
        <v>1660</v>
      </c>
      <c r="F9" s="805" t="str">
        <f>'Excel Calcs'!B158</f>
        <v>-</v>
      </c>
      <c r="G9" s="706" t="str">
        <f>IF(F9="-","-","INTERNAL BTM DISCH DOW RAIL LOCATION")</f>
        <v>-</v>
      </c>
      <c r="I9" s="190">
        <v>8</v>
      </c>
      <c r="J9" s="637" t="str">
        <f>IF(Sheet1!B402=4,"-",CONCATENATE("Isolator Support Angle - S1 Location"))</f>
        <v>Isolator Support Angle - S1 Location</v>
      </c>
      <c r="K9" s="190" t="str">
        <f>IF(J9="-","-",VLOOKUP('Excel Calcs'!K83,Isolator_SupAng_Table,MATCH(SUPANG_PN,Isolator_SupAng_Column_Names,0),FALSE))</f>
        <v>091 20019 010</v>
      </c>
      <c r="L9" s="190">
        <f t="shared" si="1"/>
        <v>1</v>
      </c>
    </row>
    <row r="10" spans="1:12" x14ac:dyDescent="0.2">
      <c r="A10" s="190" t="s">
        <v>685</v>
      </c>
      <c r="B10" s="805">
        <f>'Excel Calcs'!B172</f>
        <v>1.370000000000001</v>
      </c>
      <c r="C10" s="190" t="str">
        <f t="shared" si="2"/>
        <v>0.75 THRU</v>
      </c>
      <c r="D10" s="75"/>
      <c r="E10" s="190" t="s">
        <v>133</v>
      </c>
      <c r="F10" s="805" t="str">
        <f>'Excel Calcs'!B159</f>
        <v>-</v>
      </c>
      <c r="G10" s="706" t="str">
        <f>IF(F10="-","-","FIA DOW RAIL LOCATION")</f>
        <v>-</v>
      </c>
      <c r="I10" s="190">
        <v>9</v>
      </c>
      <c r="J10" s="637" t="str">
        <f>IF(Sheet1!B402=4,"-",CONCATENATE("Isolator Support Angle - S2 Location"))</f>
        <v>Isolator Support Angle - S2 Location</v>
      </c>
      <c r="K10" s="190" t="str">
        <f>IF(J10="-","-",VLOOKUP('Excel Calcs'!K85,Isolator_SupAng_Table,MATCH(SUPANG_PN,Isolator_SupAng_Column_Names,0),FALSE))</f>
        <v>091 20019 010</v>
      </c>
      <c r="L10" s="190">
        <f t="shared" si="1"/>
        <v>1</v>
      </c>
    </row>
    <row r="11" spans="1:12" x14ac:dyDescent="0.2">
      <c r="A11" s="190" t="s">
        <v>1246</v>
      </c>
      <c r="B11" s="805">
        <f>'Excel Calcs'!B173</f>
        <v>2</v>
      </c>
      <c r="C11" s="190" t="str">
        <f t="shared" si="2"/>
        <v>0.75 THRU</v>
      </c>
      <c r="D11" s="75"/>
      <c r="E11" s="190" t="s">
        <v>686</v>
      </c>
      <c r="F11" s="805" t="str">
        <f>'Excel Calcs'!B160</f>
        <v>-</v>
      </c>
      <c r="G11" s="706" t="str">
        <f>IF(F11="-","-","LIA DOW RAIL LOCATION")</f>
        <v>-</v>
      </c>
      <c r="I11" s="190">
        <v>10</v>
      </c>
      <c r="J11" s="637" t="str">
        <f>IF(Sheet1!B402=4,"-",CONCATENATE("Isolator Support Angle - S3 Location"))</f>
        <v>Isolator Support Angle - S3 Location</v>
      </c>
      <c r="K11" s="190" t="str">
        <f>IF(J11="-","-",VLOOKUP('Excel Calcs'!K87,Isolator_SupAng_Table,MATCH(SUPANG_PN,Isolator_SupAng_Column_Names,0),FALSE))</f>
        <v>091 20019 010</v>
      </c>
      <c r="L11" s="190">
        <f t="shared" si="1"/>
        <v>1</v>
      </c>
    </row>
    <row r="12" spans="1:12" x14ac:dyDescent="0.2">
      <c r="A12" s="190" t="s">
        <v>1806</v>
      </c>
      <c r="B12" s="805">
        <f>'Excel Calcs'!B174</f>
        <v>16</v>
      </c>
      <c r="C12" s="190" t="str">
        <f t="shared" si="2"/>
        <v>0.75 THRU</v>
      </c>
      <c r="D12" s="75"/>
      <c r="E12" s="190" t="s">
        <v>1247</v>
      </c>
      <c r="F12" s="805">
        <f>'Excel Calcs'!B161</f>
        <v>1.92</v>
      </c>
      <c r="G12" s="706" t="str">
        <f>IF(F12="-","-","MOTOR SUP RAIL Z LOCATION")</f>
        <v>MOTOR SUP RAIL Z LOCATION</v>
      </c>
      <c r="I12" s="190">
        <v>11</v>
      </c>
      <c r="J12" s="637" t="str">
        <f>IF(Sheet1!B402=4,"-",CONCATENATE("Isolator Support Angle - S4 Location"))</f>
        <v>Isolator Support Angle - S4 Location</v>
      </c>
      <c r="K12" s="190" t="str">
        <f>IF(J12="-","-",VLOOKUP('Excel Calcs'!K89,Isolator_SupAng_Table,MATCH(SUPANG_PN,Isolator_SupAng_Column_Names,0),FALSE))</f>
        <v>091 20019 010</v>
      </c>
      <c r="L12" s="190">
        <f t="shared" si="1"/>
        <v>1</v>
      </c>
    </row>
    <row r="13" spans="1:12" x14ac:dyDescent="0.2">
      <c r="A13" s="190" t="s">
        <v>138</v>
      </c>
      <c r="B13" s="805" t="str">
        <f>'Excel Calcs'!B175</f>
        <v>-</v>
      </c>
      <c r="C13" s="190" t="str">
        <f t="shared" si="2"/>
        <v>-</v>
      </c>
      <c r="E13" s="190" t="s">
        <v>136</v>
      </c>
      <c r="F13" s="805">
        <f>'Excel Calcs'!B162</f>
        <v>16</v>
      </c>
      <c r="G13" s="706" t="str">
        <f>IF(F13="-","-","MOTOR SUP RAIL SPACING")</f>
        <v>MOTOR SUP RAIL SPACING</v>
      </c>
    </row>
    <row r="14" spans="1:12" x14ac:dyDescent="0.2">
      <c r="E14" s="190" t="s">
        <v>823</v>
      </c>
      <c r="F14" s="805">
        <f>'Excel Calcs'!B163</f>
        <v>2.48</v>
      </c>
      <c r="G14" s="706" t="str">
        <f>IF(F14="-","-","MOTOR SUP RAIL, MOTOR SIDE OVERHANG")</f>
        <v>MOTOR SUP RAIL, MOTOR SIDE OVERHANG</v>
      </c>
    </row>
    <row r="16" spans="1:12" x14ac:dyDescent="0.2">
      <c r="E16" s="75"/>
    </row>
    <row r="19" spans="1:7" x14ac:dyDescent="0.2">
      <c r="A19" s="545" t="s">
        <v>732</v>
      </c>
      <c r="B19" s="584" t="s">
        <v>1857</v>
      </c>
      <c r="C19" s="713" t="s">
        <v>1284</v>
      </c>
      <c r="D19" s="72"/>
    </row>
    <row r="20" spans="1:7" ht="12.75" customHeight="1" x14ac:dyDescent="0.2">
      <c r="A20" s="19" t="s">
        <v>327</v>
      </c>
      <c r="B20" s="243">
        <f>'Excel Calcs'!B5</f>
        <v>106</v>
      </c>
      <c r="C20" s="72" t="s">
        <v>554</v>
      </c>
    </row>
    <row r="21" spans="1:7" ht="12.75" customHeight="1" x14ac:dyDescent="0.2">
      <c r="A21" s="19" t="s">
        <v>1973</v>
      </c>
      <c r="B21" s="243">
        <f>'Excel Calcs'!B6</f>
        <v>134</v>
      </c>
      <c r="C21" s="72" t="s">
        <v>554</v>
      </c>
      <c r="G21" s="80"/>
    </row>
    <row r="22" spans="1:7" ht="12.75" customHeight="1" x14ac:dyDescent="0.2">
      <c r="A22" s="19" t="s">
        <v>115</v>
      </c>
      <c r="B22" s="243">
        <f>'Excel Calcs'!B7</f>
        <v>76</v>
      </c>
      <c r="C22" s="72" t="s">
        <v>554</v>
      </c>
      <c r="E22" s="75"/>
      <c r="G22" s="80"/>
    </row>
    <row r="23" spans="1:7" ht="12.75" customHeight="1" x14ac:dyDescent="0.2">
      <c r="A23" s="757" t="s">
        <v>1605</v>
      </c>
      <c r="B23" s="243">
        <f>'Excel Calcs'!B8</f>
        <v>1</v>
      </c>
      <c r="C23" s="72" t="s">
        <v>1975</v>
      </c>
      <c r="E23" s="75"/>
      <c r="G23" s="80"/>
    </row>
    <row r="24" spans="1:7" ht="12.75" customHeight="1" x14ac:dyDescent="0.2">
      <c r="A24" s="650" t="s">
        <v>85</v>
      </c>
      <c r="B24" s="243">
        <f>'Excel Calcs'!B9</f>
        <v>1</v>
      </c>
      <c r="C24" s="72" t="s">
        <v>1975</v>
      </c>
      <c r="E24" s="75"/>
    </row>
    <row r="25" spans="1:7" x14ac:dyDescent="0.2">
      <c r="A25" s="19" t="s">
        <v>333</v>
      </c>
      <c r="B25" s="243">
        <f>'Excel Calcs'!B10</f>
        <v>3.1E-2</v>
      </c>
      <c r="C25" s="72" t="s">
        <v>554</v>
      </c>
      <c r="D25" s="75"/>
      <c r="E25" s="75"/>
    </row>
    <row r="26" spans="1:7" x14ac:dyDescent="0.2">
      <c r="A26" s="19" t="s">
        <v>186</v>
      </c>
      <c r="B26" s="243">
        <f>'Excel Calcs'!B12</f>
        <v>0.31</v>
      </c>
      <c r="C26" s="72" t="s">
        <v>554</v>
      </c>
      <c r="D26" s="75"/>
      <c r="E26" s="75"/>
    </row>
    <row r="27" spans="1:7" x14ac:dyDescent="0.2">
      <c r="A27" s="19" t="s">
        <v>860</v>
      </c>
      <c r="B27" s="243">
        <f>'Excel Calcs'!B15</f>
        <v>48.69</v>
      </c>
      <c r="C27" s="72" t="s">
        <v>554</v>
      </c>
      <c r="D27" s="75"/>
      <c r="E27" s="75"/>
    </row>
    <row r="28" spans="1:7" x14ac:dyDescent="0.2">
      <c r="A28" s="19" t="s">
        <v>1000</v>
      </c>
      <c r="B28" s="243">
        <f>'Excel Calcs'!B16</f>
        <v>8.9060100000000002</v>
      </c>
      <c r="C28" s="72" t="s">
        <v>554</v>
      </c>
      <c r="D28" s="75"/>
      <c r="E28" s="75"/>
    </row>
    <row r="29" spans="1:7" x14ac:dyDescent="0.2">
      <c r="A29" s="19" t="s">
        <v>1156</v>
      </c>
      <c r="B29" s="243">
        <f>'Excel Calcs'!B17</f>
        <v>47.844999999999999</v>
      </c>
      <c r="C29" s="72" t="s">
        <v>554</v>
      </c>
      <c r="D29" s="75"/>
      <c r="E29" s="75"/>
    </row>
    <row r="30" spans="1:7" x14ac:dyDescent="0.2">
      <c r="A30" s="374" t="s">
        <v>398</v>
      </c>
      <c r="B30" s="243">
        <f>IF('Excel Calcs'!B26="FIA",1,2)</f>
        <v>2</v>
      </c>
      <c r="C30" s="72" t="s">
        <v>1975</v>
      </c>
      <c r="D30" s="75"/>
      <c r="E30" s="75"/>
    </row>
    <row r="31" spans="1:7" x14ac:dyDescent="0.2">
      <c r="A31" s="374" t="s">
        <v>110</v>
      </c>
      <c r="B31" s="243">
        <f>'Excel Calcs'!B27</f>
        <v>3</v>
      </c>
      <c r="C31" s="72" t="s">
        <v>1975</v>
      </c>
      <c r="D31" s="75"/>
      <c r="E31" s="75"/>
    </row>
    <row r="32" spans="1:7" x14ac:dyDescent="0.2">
      <c r="A32" s="374" t="s">
        <v>654</v>
      </c>
      <c r="B32" s="243">
        <f>'Excel Calcs'!B28</f>
        <v>1</v>
      </c>
      <c r="C32" s="72" t="s">
        <v>1975</v>
      </c>
      <c r="D32" s="75"/>
      <c r="E32" s="75"/>
    </row>
    <row r="33" spans="1:5" x14ac:dyDescent="0.2">
      <c r="A33" s="19" t="s">
        <v>923</v>
      </c>
      <c r="B33" s="243">
        <f>'Excel Calcs'!B29</f>
        <v>30</v>
      </c>
      <c r="C33" s="72" t="s">
        <v>554</v>
      </c>
      <c r="D33" s="75"/>
      <c r="E33" s="75"/>
    </row>
    <row r="34" spans="1:5" x14ac:dyDescent="0.2">
      <c r="A34" s="19" t="s">
        <v>2030</v>
      </c>
      <c r="B34" s="243">
        <f>'Excel Calcs'!B30</f>
        <v>1024</v>
      </c>
      <c r="C34" s="72" t="s">
        <v>554</v>
      </c>
      <c r="D34" s="75"/>
      <c r="E34" s="75"/>
    </row>
    <row r="35" spans="1:5" x14ac:dyDescent="0.2">
      <c r="A35" s="19" t="s">
        <v>653</v>
      </c>
      <c r="B35" s="243">
        <f>'Excel Calcs'!B31</f>
        <v>25</v>
      </c>
      <c r="C35" s="72" t="s">
        <v>554</v>
      </c>
      <c r="D35" s="75"/>
      <c r="E35" s="75"/>
    </row>
    <row r="36" spans="1:5" x14ac:dyDescent="0.2">
      <c r="A36" s="19" t="s">
        <v>650</v>
      </c>
      <c r="B36" s="243">
        <f>'Excel Calcs'!B32</f>
        <v>31.81</v>
      </c>
      <c r="C36" s="72" t="s">
        <v>554</v>
      </c>
      <c r="D36" s="75"/>
      <c r="E36" s="75"/>
    </row>
    <row r="37" spans="1:5" x14ac:dyDescent="0.2">
      <c r="A37" s="19" t="s">
        <v>1206</v>
      </c>
      <c r="B37" s="243">
        <f>'Excel Calcs'!B33</f>
        <v>42.75</v>
      </c>
      <c r="C37" s="72" t="s">
        <v>554</v>
      </c>
      <c r="D37" s="75"/>
      <c r="E37" s="75"/>
    </row>
    <row r="38" spans="1:5" x14ac:dyDescent="0.2">
      <c r="A38" s="19" t="s">
        <v>1053</v>
      </c>
      <c r="B38" s="243">
        <f>'Excel Calcs'!B34</f>
        <v>2.5</v>
      </c>
      <c r="C38" s="72" t="s">
        <v>554</v>
      </c>
      <c r="D38" s="75"/>
      <c r="E38" s="75"/>
    </row>
    <row r="39" spans="1:5" x14ac:dyDescent="0.2">
      <c r="A39" s="19" t="s">
        <v>651</v>
      </c>
      <c r="B39" s="243">
        <f>'Excel Calcs'!B35</f>
        <v>2.5</v>
      </c>
      <c r="C39" s="72" t="s">
        <v>554</v>
      </c>
      <c r="D39" s="75"/>
      <c r="E39" s="75"/>
    </row>
    <row r="40" spans="1:5" x14ac:dyDescent="0.2">
      <c r="A40" s="19" t="s">
        <v>1209</v>
      </c>
      <c r="B40" s="243">
        <f>'Excel Calcs'!B36</f>
        <v>0.25</v>
      </c>
      <c r="C40" s="72" t="s">
        <v>554</v>
      </c>
      <c r="D40" s="75"/>
      <c r="E40" s="75"/>
    </row>
    <row r="41" spans="1:5" x14ac:dyDescent="0.2">
      <c r="A41" s="19" t="s">
        <v>1904</v>
      </c>
      <c r="B41" s="243">
        <f>'Excel Calcs'!B37</f>
        <v>0.56000000000000005</v>
      </c>
      <c r="C41" s="72" t="s">
        <v>554</v>
      </c>
      <c r="D41" s="75"/>
      <c r="E41" s="75"/>
    </row>
    <row r="42" spans="1:5" x14ac:dyDescent="0.2">
      <c r="A42" s="19" t="s">
        <v>1354</v>
      </c>
      <c r="B42" s="243">
        <f>'Excel Calcs'!B38</f>
        <v>0.5</v>
      </c>
      <c r="C42" s="72" t="s">
        <v>554</v>
      </c>
      <c r="D42" s="75"/>
      <c r="E42" s="75"/>
    </row>
    <row r="43" spans="1:5" x14ac:dyDescent="0.2">
      <c r="A43" s="19" t="s">
        <v>248</v>
      </c>
      <c r="B43" s="243">
        <f>'Excel Calcs'!B39</f>
        <v>24.5</v>
      </c>
      <c r="C43" s="72" t="s">
        <v>554</v>
      </c>
      <c r="D43" s="75"/>
      <c r="E43" s="75"/>
    </row>
    <row r="44" spans="1:5" x14ac:dyDescent="0.2">
      <c r="A44" s="19" t="s">
        <v>792</v>
      </c>
      <c r="B44" s="243">
        <f>'Excel Calcs'!B40</f>
        <v>30.25</v>
      </c>
      <c r="C44" s="72" t="s">
        <v>554</v>
      </c>
      <c r="D44" s="75"/>
      <c r="E44" s="75"/>
    </row>
    <row r="45" spans="1:5" x14ac:dyDescent="0.2">
      <c r="A45" s="19" t="s">
        <v>1363</v>
      </c>
      <c r="B45" s="243">
        <f>'Excel Calcs'!B41</f>
        <v>14.75</v>
      </c>
      <c r="C45" s="72" t="s">
        <v>554</v>
      </c>
      <c r="D45" s="75"/>
      <c r="E45" s="75"/>
    </row>
    <row r="46" spans="1:5" x14ac:dyDescent="0.2">
      <c r="A46" s="19" t="s">
        <v>1057</v>
      </c>
      <c r="B46" s="243">
        <f>'Excel Calcs'!B42</f>
        <v>1.5</v>
      </c>
      <c r="C46" s="72" t="s">
        <v>554</v>
      </c>
      <c r="D46" s="75"/>
      <c r="E46" s="75"/>
    </row>
    <row r="47" spans="1:5" x14ac:dyDescent="0.2">
      <c r="A47" s="19" t="s">
        <v>1905</v>
      </c>
      <c r="B47" s="243">
        <f>'Excel Calcs'!B43</f>
        <v>41</v>
      </c>
      <c r="C47" s="72" t="s">
        <v>554</v>
      </c>
      <c r="D47" s="75"/>
      <c r="E47" s="75"/>
    </row>
    <row r="48" spans="1:5" x14ac:dyDescent="0.2">
      <c r="A48" s="19" t="s">
        <v>1907</v>
      </c>
      <c r="B48" s="243">
        <f>'Excel Calcs'!B44</f>
        <v>0.126</v>
      </c>
      <c r="C48" s="72" t="s">
        <v>554</v>
      </c>
      <c r="D48" s="75"/>
      <c r="E48" s="75"/>
    </row>
    <row r="49" spans="1:5" x14ac:dyDescent="0.2">
      <c r="A49" s="19" t="s">
        <v>249</v>
      </c>
      <c r="B49" s="243">
        <f>'Excel Calcs'!B45</f>
        <v>9.7000000000000003E-2</v>
      </c>
      <c r="C49" s="72" t="s">
        <v>554</v>
      </c>
      <c r="D49" s="75"/>
      <c r="E49" s="75"/>
    </row>
    <row r="50" spans="1:5" x14ac:dyDescent="0.2">
      <c r="A50" s="19" t="s">
        <v>787</v>
      </c>
      <c r="B50" s="243">
        <f>'Excel Calcs'!B46</f>
        <v>20.5</v>
      </c>
      <c r="C50" s="72" t="s">
        <v>554</v>
      </c>
      <c r="D50" s="75"/>
      <c r="E50" s="75"/>
    </row>
    <row r="51" spans="1:5" x14ac:dyDescent="0.2">
      <c r="A51" s="19" t="s">
        <v>247</v>
      </c>
      <c r="B51" s="243">
        <f>'Excel Calcs'!B47</f>
        <v>47.75</v>
      </c>
      <c r="C51" s="72" t="s">
        <v>554</v>
      </c>
      <c r="D51" s="75"/>
      <c r="E51" s="75"/>
    </row>
    <row r="52" spans="1:5" x14ac:dyDescent="0.2">
      <c r="A52" s="19" t="s">
        <v>1484</v>
      </c>
      <c r="B52" s="243">
        <f>'Excel Calcs'!B48</f>
        <v>25.75</v>
      </c>
      <c r="C52" s="72" t="s">
        <v>554</v>
      </c>
      <c r="D52" s="75"/>
      <c r="E52" s="75"/>
    </row>
    <row r="53" spans="1:5" x14ac:dyDescent="0.2">
      <c r="A53" s="19" t="s">
        <v>2029</v>
      </c>
      <c r="B53" s="243">
        <f>'Excel Calcs'!B49</f>
        <v>23.31</v>
      </c>
      <c r="C53" s="72" t="s">
        <v>554</v>
      </c>
      <c r="D53" s="75"/>
      <c r="E53" s="75"/>
    </row>
    <row r="54" spans="1:5" x14ac:dyDescent="0.2">
      <c r="A54" s="19" t="s">
        <v>2148</v>
      </c>
      <c r="B54" s="243">
        <f>'Excel Calcs'!B50</f>
        <v>31.75</v>
      </c>
      <c r="C54" s="72" t="s">
        <v>554</v>
      </c>
      <c r="D54" s="75"/>
      <c r="E54" s="75"/>
    </row>
    <row r="55" spans="1:5" x14ac:dyDescent="0.2">
      <c r="A55" s="19" t="s">
        <v>1355</v>
      </c>
      <c r="B55" s="243">
        <f>'Excel Calcs'!B51</f>
        <v>26.25</v>
      </c>
      <c r="C55" s="72" t="s">
        <v>554</v>
      </c>
      <c r="D55" s="75"/>
      <c r="E55" s="75"/>
    </row>
    <row r="56" spans="1:5" x14ac:dyDescent="0.2">
      <c r="A56" s="19" t="s">
        <v>383</v>
      </c>
      <c r="B56" s="243">
        <f>'Excel Calcs'!B52</f>
        <v>32.880000000000003</v>
      </c>
      <c r="C56" s="72" t="s">
        <v>554</v>
      </c>
      <c r="D56" s="75"/>
      <c r="E56" s="75"/>
    </row>
    <row r="57" spans="1:5" x14ac:dyDescent="0.2">
      <c r="A57" s="19" t="s">
        <v>919</v>
      </c>
      <c r="B57" s="243">
        <f>'Excel Calcs'!B53</f>
        <v>15.81</v>
      </c>
      <c r="C57" s="72" t="s">
        <v>554</v>
      </c>
      <c r="D57" s="75"/>
      <c r="E57" s="75"/>
    </row>
    <row r="58" spans="1:5" x14ac:dyDescent="0.2">
      <c r="A58" s="19" t="s">
        <v>1773</v>
      </c>
      <c r="B58" s="243">
        <f>'Excel Calcs'!B54</f>
        <v>2.4375</v>
      </c>
      <c r="C58" s="72" t="s">
        <v>554</v>
      </c>
      <c r="D58" s="75"/>
      <c r="E58" s="75"/>
    </row>
    <row r="59" spans="1:5" x14ac:dyDescent="0.2">
      <c r="A59" s="19" t="s">
        <v>1486</v>
      </c>
      <c r="B59" s="243">
        <f>'Excel Calcs'!B55</f>
        <v>5.5</v>
      </c>
      <c r="C59" s="72" t="s">
        <v>554</v>
      </c>
      <c r="D59" s="75"/>
      <c r="E59" s="75"/>
    </row>
    <row r="60" spans="1:5" x14ac:dyDescent="0.2">
      <c r="A60" s="19" t="s">
        <v>1207</v>
      </c>
      <c r="B60" s="243">
        <f>'Excel Calcs'!B56</f>
        <v>0.63</v>
      </c>
      <c r="C60" s="72" t="s">
        <v>554</v>
      </c>
      <c r="D60" s="75"/>
      <c r="E60" s="75"/>
    </row>
    <row r="61" spans="1:5" x14ac:dyDescent="0.2">
      <c r="A61" s="19" t="s">
        <v>1353</v>
      </c>
      <c r="B61" s="243">
        <f>'Excel Calcs'!B57</f>
        <v>0.31</v>
      </c>
      <c r="C61" s="72" t="s">
        <v>554</v>
      </c>
      <c r="D61" s="75"/>
      <c r="E61" s="75"/>
    </row>
    <row r="62" spans="1:5" x14ac:dyDescent="0.2">
      <c r="A62" s="19" t="s">
        <v>251</v>
      </c>
      <c r="B62" s="243">
        <f>'Excel Calcs'!B58</f>
        <v>1</v>
      </c>
      <c r="C62" s="72" t="s">
        <v>554</v>
      </c>
      <c r="D62" s="75"/>
      <c r="E62" s="75"/>
    </row>
    <row r="63" spans="1:5" x14ac:dyDescent="0.2">
      <c r="A63" s="19" t="s">
        <v>1906</v>
      </c>
      <c r="B63" s="243">
        <f>'Excel Calcs'!B59</f>
        <v>22.75</v>
      </c>
      <c r="C63" s="72" t="s">
        <v>554</v>
      </c>
      <c r="D63" s="75"/>
      <c r="E63" s="75"/>
    </row>
    <row r="64" spans="1:5" x14ac:dyDescent="0.2">
      <c r="A64" s="19" t="s">
        <v>918</v>
      </c>
      <c r="B64" s="243">
        <f>'Excel Calcs'!B60</f>
        <v>15.88</v>
      </c>
      <c r="C64" s="72" t="s">
        <v>554</v>
      </c>
      <c r="D64" s="75"/>
      <c r="E64" s="75"/>
    </row>
    <row r="65" spans="1:5" x14ac:dyDescent="0.2">
      <c r="A65" s="19" t="s">
        <v>1485</v>
      </c>
      <c r="B65" s="243">
        <f>'Excel Calcs'!B61</f>
        <v>1.1299999999999999</v>
      </c>
      <c r="C65" s="72" t="s">
        <v>554</v>
      </c>
      <c r="D65" s="75"/>
      <c r="E65" s="75"/>
    </row>
    <row r="66" spans="1:5" x14ac:dyDescent="0.2">
      <c r="A66" s="19" t="s">
        <v>2147</v>
      </c>
      <c r="B66" s="243">
        <f>'Excel Calcs'!B62</f>
        <v>4.6199999999999992</v>
      </c>
      <c r="C66" s="72" t="s">
        <v>554</v>
      </c>
      <c r="D66" s="75"/>
      <c r="E66" s="75"/>
    </row>
    <row r="67" spans="1:5" x14ac:dyDescent="0.2">
      <c r="A67" s="19" t="s">
        <v>1360</v>
      </c>
      <c r="B67" s="243">
        <f>'Excel Calcs'!B63</f>
        <v>36</v>
      </c>
      <c r="C67" s="72" t="s">
        <v>554</v>
      </c>
      <c r="D67" s="75"/>
      <c r="E67" s="75"/>
    </row>
    <row r="68" spans="1:5" x14ac:dyDescent="0.2">
      <c r="A68" s="374" t="s">
        <v>111</v>
      </c>
      <c r="B68" s="243">
        <f>'Excel Calcs'!B64</f>
        <v>23.400000000000002</v>
      </c>
      <c r="C68" s="72" t="s">
        <v>554</v>
      </c>
      <c r="D68" s="75"/>
      <c r="E68" s="75"/>
    </row>
    <row r="69" spans="1:5" x14ac:dyDescent="0.2">
      <c r="A69" s="374" t="s">
        <v>1488</v>
      </c>
      <c r="B69" s="243">
        <f>'Excel Calcs'!B65</f>
        <v>27.787500000000001</v>
      </c>
      <c r="C69" s="72" t="s">
        <v>554</v>
      </c>
      <c r="D69" s="75"/>
      <c r="E69" s="75"/>
    </row>
    <row r="70" spans="1:5" x14ac:dyDescent="0.2">
      <c r="A70" s="374" t="s">
        <v>926</v>
      </c>
      <c r="B70" s="243">
        <f>'Excel Calcs'!B66</f>
        <v>1.5</v>
      </c>
      <c r="C70" s="72" t="s">
        <v>554</v>
      </c>
      <c r="D70" s="75"/>
      <c r="E70" s="75"/>
    </row>
    <row r="71" spans="1:5" x14ac:dyDescent="0.2">
      <c r="A71" s="374" t="s">
        <v>1777</v>
      </c>
      <c r="B71" s="243">
        <f>'Excel Calcs'!B67</f>
        <v>3.5</v>
      </c>
      <c r="C71" s="72" t="s">
        <v>554</v>
      </c>
      <c r="D71" s="75"/>
      <c r="E71" s="75"/>
    </row>
    <row r="72" spans="1:5" x14ac:dyDescent="0.2">
      <c r="A72" s="374" t="s">
        <v>2163</v>
      </c>
      <c r="B72" s="243">
        <f>'Excel Calcs'!B68</f>
        <v>0.375</v>
      </c>
      <c r="C72" s="72" t="s">
        <v>554</v>
      </c>
      <c r="D72" s="75"/>
      <c r="E72" s="75"/>
    </row>
    <row r="73" spans="1:5" x14ac:dyDescent="0.2">
      <c r="A73" s="374" t="s">
        <v>1778</v>
      </c>
      <c r="B73" s="243">
        <f>'Excel Calcs'!B69</f>
        <v>3.65625</v>
      </c>
      <c r="C73" s="72" t="s">
        <v>554</v>
      </c>
      <c r="D73" s="75"/>
      <c r="E73" s="75"/>
    </row>
    <row r="74" spans="1:5" x14ac:dyDescent="0.2">
      <c r="A74" s="374" t="s">
        <v>2157</v>
      </c>
      <c r="B74" s="243">
        <f>'Excel Calcs'!B70</f>
        <v>3</v>
      </c>
      <c r="C74" s="72" t="s">
        <v>554</v>
      </c>
      <c r="D74" s="75"/>
      <c r="E74" s="75"/>
    </row>
    <row r="75" spans="1:5" x14ac:dyDescent="0.2">
      <c r="A75" s="374" t="s">
        <v>254</v>
      </c>
      <c r="B75" s="243">
        <f>'Excel Calcs'!B71</f>
        <v>3.78125</v>
      </c>
      <c r="C75" s="72" t="s">
        <v>554</v>
      </c>
      <c r="D75" s="75"/>
      <c r="E75" s="75"/>
    </row>
    <row r="76" spans="1:5" x14ac:dyDescent="0.2">
      <c r="A76" s="374" t="s">
        <v>523</v>
      </c>
      <c r="B76" s="243">
        <f>'Excel Calcs'!B72</f>
        <v>9.75</v>
      </c>
      <c r="C76" s="72" t="s">
        <v>554</v>
      </c>
      <c r="D76" s="75"/>
      <c r="E76" s="75"/>
    </row>
    <row r="77" spans="1:5" x14ac:dyDescent="0.2">
      <c r="A77" s="374" t="s">
        <v>524</v>
      </c>
      <c r="B77" s="243">
        <f>'Excel Calcs'!B73</f>
        <v>6.3E-2</v>
      </c>
      <c r="C77" s="72" t="s">
        <v>554</v>
      </c>
      <c r="D77" s="75"/>
      <c r="E77" s="75"/>
    </row>
    <row r="78" spans="1:5" x14ac:dyDescent="0.2">
      <c r="A78" s="374" t="s">
        <v>931</v>
      </c>
      <c r="B78" s="243">
        <f>'Excel Calcs'!B74</f>
        <v>1</v>
      </c>
      <c r="C78" s="72" t="s">
        <v>1975</v>
      </c>
      <c r="D78" s="75"/>
      <c r="E78" s="75"/>
    </row>
    <row r="79" spans="1:5" x14ac:dyDescent="0.2">
      <c r="A79" s="85" t="s">
        <v>1944</v>
      </c>
      <c r="B79" s="243">
        <f>'Excel Calcs'!E4</f>
        <v>30.28</v>
      </c>
      <c r="C79" s="72" t="s">
        <v>554</v>
      </c>
      <c r="D79" s="75"/>
      <c r="E79" s="75"/>
    </row>
    <row r="80" spans="1:5" x14ac:dyDescent="0.2">
      <c r="A80" s="85" t="s">
        <v>425</v>
      </c>
      <c r="B80" s="243">
        <f>'Excel Calcs'!E5</f>
        <v>8</v>
      </c>
      <c r="C80" s="72" t="s">
        <v>554</v>
      </c>
      <c r="D80" s="75"/>
      <c r="E80" s="75"/>
    </row>
    <row r="81" spans="1:5" x14ac:dyDescent="0.2">
      <c r="A81" s="85" t="s">
        <v>960</v>
      </c>
      <c r="B81" s="243">
        <f>'Excel Calcs'!E6</f>
        <v>6.25</v>
      </c>
      <c r="C81" s="72" t="s">
        <v>554</v>
      </c>
      <c r="D81" s="75"/>
      <c r="E81" s="75"/>
    </row>
    <row r="82" spans="1:5" x14ac:dyDescent="0.2">
      <c r="A82" s="85" t="s">
        <v>297</v>
      </c>
      <c r="B82" s="243">
        <f>'Excel Calcs'!E7</f>
        <v>12</v>
      </c>
      <c r="C82" s="72" t="s">
        <v>554</v>
      </c>
      <c r="D82" s="75"/>
      <c r="E82" s="75"/>
    </row>
    <row r="83" spans="1:5" x14ac:dyDescent="0.2">
      <c r="A83" s="85" t="s">
        <v>424</v>
      </c>
      <c r="B83" s="243">
        <f>'Excel Calcs'!E8</f>
        <v>0.65600000000000003</v>
      </c>
      <c r="C83" s="72" t="s">
        <v>554</v>
      </c>
      <c r="D83" s="75"/>
      <c r="E83" s="75"/>
    </row>
    <row r="84" spans="1:5" x14ac:dyDescent="0.2">
      <c r="A84" s="85" t="s">
        <v>557</v>
      </c>
      <c r="B84" s="243">
        <f>'Excel Calcs'!E9</f>
        <v>16.5</v>
      </c>
      <c r="C84" s="72" t="s">
        <v>554</v>
      </c>
      <c r="D84" s="75"/>
      <c r="E84" s="75"/>
    </row>
    <row r="85" spans="1:5" x14ac:dyDescent="0.2">
      <c r="A85" s="85" t="s">
        <v>693</v>
      </c>
      <c r="B85" s="243">
        <f>'Excel Calcs'!E10</f>
        <v>3.875</v>
      </c>
      <c r="C85" s="72" t="s">
        <v>554</v>
      </c>
      <c r="D85" s="75"/>
      <c r="E85" s="75"/>
    </row>
    <row r="86" spans="1:5" x14ac:dyDescent="0.2">
      <c r="A86" s="85" t="s">
        <v>1669</v>
      </c>
      <c r="B86" s="243">
        <f>'Excel Calcs'!E11</f>
        <v>1.8440000000000001</v>
      </c>
      <c r="C86" s="72" t="s">
        <v>554</v>
      </c>
      <c r="D86" s="75"/>
      <c r="E86" s="75"/>
    </row>
    <row r="87" spans="1:5" x14ac:dyDescent="0.2">
      <c r="A87" s="85" t="s">
        <v>4</v>
      </c>
      <c r="B87" s="243">
        <f>'Excel Calcs'!E12</f>
        <v>0.5</v>
      </c>
      <c r="C87" s="72" t="s">
        <v>554</v>
      </c>
      <c r="D87" s="75"/>
      <c r="E87" s="75"/>
    </row>
    <row r="88" spans="1:5" x14ac:dyDescent="0.2">
      <c r="A88" s="85" t="s">
        <v>1103</v>
      </c>
      <c r="B88" s="243">
        <f>'Excel Calcs'!E13</f>
        <v>2.125</v>
      </c>
      <c r="C88" s="72" t="s">
        <v>554</v>
      </c>
      <c r="D88" s="75"/>
      <c r="E88" s="75"/>
    </row>
    <row r="89" spans="1:5" x14ac:dyDescent="0.2">
      <c r="A89" s="85" t="s">
        <v>1815</v>
      </c>
      <c r="B89" s="243">
        <f>'Excel Calcs'!E14</f>
        <v>5.25</v>
      </c>
      <c r="C89" s="72" t="s">
        <v>554</v>
      </c>
      <c r="D89" s="75"/>
      <c r="E89" s="75"/>
    </row>
    <row r="90" spans="1:5" x14ac:dyDescent="0.2">
      <c r="A90" s="85" t="s">
        <v>1102</v>
      </c>
      <c r="B90" s="243">
        <f>'Excel Calcs'!E15</f>
        <v>14.61</v>
      </c>
      <c r="C90" s="72" t="s">
        <v>554</v>
      </c>
      <c r="D90" s="75"/>
      <c r="E90" s="75"/>
    </row>
    <row r="91" spans="1:5" x14ac:dyDescent="0.2">
      <c r="A91" s="85" t="s">
        <v>3</v>
      </c>
      <c r="B91" s="243">
        <f>'Excel Calcs'!E16</f>
        <v>5.25</v>
      </c>
      <c r="C91" s="72" t="s">
        <v>554</v>
      </c>
      <c r="D91" s="75"/>
      <c r="E91" s="75"/>
    </row>
    <row r="92" spans="1:5" x14ac:dyDescent="0.2">
      <c r="A92" s="85" t="s">
        <v>1943</v>
      </c>
      <c r="B92" s="243">
        <f>'Excel Calcs'!E17</f>
        <v>14</v>
      </c>
      <c r="C92" s="72" t="s">
        <v>554</v>
      </c>
      <c r="D92" s="75"/>
      <c r="E92" s="75"/>
    </row>
    <row r="93" spans="1:5" x14ac:dyDescent="0.2">
      <c r="A93" s="85" t="s">
        <v>1523</v>
      </c>
      <c r="B93" s="243">
        <f>'Excel Calcs'!E18</f>
        <v>14.5</v>
      </c>
      <c r="C93" s="72" t="s">
        <v>554</v>
      </c>
      <c r="D93" s="75"/>
      <c r="E93" s="75"/>
    </row>
    <row r="94" spans="1:5" x14ac:dyDescent="0.2">
      <c r="A94" s="85" t="s">
        <v>959</v>
      </c>
      <c r="B94" s="243">
        <f>'Excel Calcs'!E19</f>
        <v>1</v>
      </c>
      <c r="C94" s="72" t="s">
        <v>554</v>
      </c>
      <c r="D94" s="75"/>
      <c r="E94" s="75"/>
    </row>
    <row r="95" spans="1:5" x14ac:dyDescent="0.2">
      <c r="A95" s="85" t="s">
        <v>1522</v>
      </c>
      <c r="B95" s="243">
        <f>'Excel Calcs'!E20</f>
        <v>0.44</v>
      </c>
      <c r="C95" s="72" t="s">
        <v>554</v>
      </c>
      <c r="D95" s="75"/>
      <c r="E95" s="75"/>
    </row>
    <row r="96" spans="1:5" x14ac:dyDescent="0.2">
      <c r="A96" s="85" t="s">
        <v>2006</v>
      </c>
      <c r="B96" s="243">
        <f>'Excel Calcs'!E21</f>
        <v>700</v>
      </c>
      <c r="C96" s="72" t="s">
        <v>1975</v>
      </c>
      <c r="D96" s="75"/>
      <c r="E96" s="75"/>
    </row>
    <row r="97" spans="1:5" x14ac:dyDescent="0.2">
      <c r="A97" s="85" t="s">
        <v>1993</v>
      </c>
      <c r="B97" s="243">
        <f>'Excel Calcs'!E23</f>
        <v>1</v>
      </c>
      <c r="C97" s="72" t="s">
        <v>1975</v>
      </c>
      <c r="D97" s="75"/>
      <c r="E97" s="75"/>
    </row>
    <row r="98" spans="1:5" x14ac:dyDescent="0.2">
      <c r="A98" s="85" t="s">
        <v>216</v>
      </c>
      <c r="B98" s="243">
        <f>'Excel Calcs'!E24</f>
        <v>93.35</v>
      </c>
      <c r="C98" s="72" t="s">
        <v>554</v>
      </c>
      <c r="D98" s="75"/>
      <c r="E98" s="75"/>
    </row>
    <row r="99" spans="1:5" x14ac:dyDescent="0.2">
      <c r="A99" s="85" t="s">
        <v>2118</v>
      </c>
      <c r="B99" s="243">
        <f>'Excel Calcs'!E25</f>
        <v>62.599999999999994</v>
      </c>
      <c r="C99" s="72" t="s">
        <v>554</v>
      </c>
      <c r="D99" s="75"/>
      <c r="E99" s="75"/>
    </row>
    <row r="100" spans="1:5" x14ac:dyDescent="0.2">
      <c r="A100" s="85" t="s">
        <v>1588</v>
      </c>
      <c r="B100" s="243">
        <f>'Excel Calcs'!E26</f>
        <v>12.99001</v>
      </c>
      <c r="C100" s="72" t="s">
        <v>554</v>
      </c>
      <c r="D100" s="75"/>
      <c r="E100" s="75"/>
    </row>
    <row r="101" spans="1:5" x14ac:dyDescent="0.2">
      <c r="A101" s="85" t="s">
        <v>2117</v>
      </c>
      <c r="B101" s="243">
        <f>'Excel Calcs'!E27</f>
        <v>-15.88</v>
      </c>
      <c r="C101" s="72" t="s">
        <v>554</v>
      </c>
      <c r="D101" s="75"/>
      <c r="E101" s="75"/>
    </row>
    <row r="102" spans="1:5" x14ac:dyDescent="0.2">
      <c r="A102" s="85" t="s">
        <v>1743</v>
      </c>
      <c r="B102" s="243">
        <f>'Excel Calcs'!E28</f>
        <v>-15.88</v>
      </c>
      <c r="C102" s="72" t="s">
        <v>554</v>
      </c>
      <c r="D102" s="75"/>
      <c r="E102" s="75"/>
    </row>
    <row r="103" spans="1:5" x14ac:dyDescent="0.2">
      <c r="A103" s="85" t="s">
        <v>72</v>
      </c>
      <c r="B103" s="243">
        <f>'Excel Calcs'!E32</f>
        <v>22.75</v>
      </c>
      <c r="C103" s="72" t="s">
        <v>554</v>
      </c>
      <c r="D103" s="75"/>
      <c r="E103" s="75"/>
    </row>
    <row r="104" spans="1:5" x14ac:dyDescent="0.2">
      <c r="A104" s="85" t="s">
        <v>622</v>
      </c>
      <c r="B104" s="243">
        <f>'Excel Calcs'!E33</f>
        <v>20.75</v>
      </c>
      <c r="C104" s="72" t="s">
        <v>554</v>
      </c>
      <c r="D104" s="75"/>
      <c r="E104" s="75"/>
    </row>
    <row r="105" spans="1:5" x14ac:dyDescent="0.2">
      <c r="A105" s="85" t="s">
        <v>213</v>
      </c>
      <c r="B105" s="243">
        <f>'Excel Calcs'!E34</f>
        <v>2.5</v>
      </c>
      <c r="C105" s="72" t="s">
        <v>554</v>
      </c>
      <c r="D105" s="75"/>
      <c r="E105" s="75"/>
    </row>
    <row r="106" spans="1:5" x14ac:dyDescent="0.2">
      <c r="A106" s="85" t="s">
        <v>488</v>
      </c>
      <c r="B106" s="243">
        <f>'Excel Calcs'!E35</f>
        <v>15.5</v>
      </c>
      <c r="C106" s="72" t="s">
        <v>554</v>
      </c>
      <c r="D106" s="75"/>
      <c r="E106" s="75"/>
    </row>
    <row r="107" spans="1:5" x14ac:dyDescent="0.2">
      <c r="A107" s="85" t="s">
        <v>1584</v>
      </c>
      <c r="B107" s="243">
        <f>'Excel Calcs'!E37</f>
        <v>6.25</v>
      </c>
      <c r="C107" s="72" t="s">
        <v>554</v>
      </c>
      <c r="D107" s="75"/>
      <c r="E107" s="75"/>
    </row>
    <row r="108" spans="1:5" x14ac:dyDescent="0.2">
      <c r="A108" s="85" t="s">
        <v>2113</v>
      </c>
      <c r="B108" s="243">
        <f>'Excel Calcs'!E38</f>
        <v>6</v>
      </c>
      <c r="C108" s="72" t="s">
        <v>554</v>
      </c>
      <c r="D108" s="75"/>
      <c r="E108" s="75"/>
    </row>
    <row r="109" spans="1:5" x14ac:dyDescent="0.2">
      <c r="A109" s="85" t="s">
        <v>1740</v>
      </c>
      <c r="B109" s="243">
        <f>'Excel Calcs'!E39</f>
        <v>8</v>
      </c>
      <c r="C109" s="72" t="s">
        <v>554</v>
      </c>
      <c r="D109" s="75"/>
      <c r="E109" s="75"/>
    </row>
    <row r="110" spans="1:5" x14ac:dyDescent="0.2">
      <c r="A110" s="85" t="s">
        <v>1313</v>
      </c>
      <c r="B110" s="243">
        <f>'Excel Calcs'!E40</f>
        <v>9.25</v>
      </c>
      <c r="C110" s="72" t="s">
        <v>554</v>
      </c>
      <c r="D110" s="75"/>
      <c r="E110" s="75"/>
    </row>
    <row r="111" spans="1:5" x14ac:dyDescent="0.2">
      <c r="A111" s="85" t="s">
        <v>754</v>
      </c>
      <c r="B111" s="243">
        <f>'Excel Calcs'!E41</f>
        <v>0.75</v>
      </c>
      <c r="C111" s="72" t="s">
        <v>554</v>
      </c>
      <c r="D111" s="75"/>
      <c r="E111" s="75"/>
    </row>
    <row r="112" spans="1:5" x14ac:dyDescent="0.2">
      <c r="A112" s="85" t="s">
        <v>1874</v>
      </c>
      <c r="B112" s="243">
        <f>'Excel Calcs'!E42</f>
        <v>5.25</v>
      </c>
      <c r="C112" s="72" t="s">
        <v>554</v>
      </c>
      <c r="D112" s="75"/>
      <c r="E112" s="75"/>
    </row>
    <row r="113" spans="1:5" x14ac:dyDescent="0.2">
      <c r="A113" s="85" t="s">
        <v>214</v>
      </c>
      <c r="B113" s="243">
        <f>'Excel Calcs'!E43</f>
        <v>0.1875</v>
      </c>
      <c r="C113" s="72" t="s">
        <v>554</v>
      </c>
      <c r="D113" s="75"/>
      <c r="E113" s="75"/>
    </row>
    <row r="114" spans="1:5" x14ac:dyDescent="0.2">
      <c r="A114" s="85" t="s">
        <v>489</v>
      </c>
      <c r="B114" s="243">
        <f>'Excel Calcs'!E44</f>
        <v>2.125</v>
      </c>
      <c r="C114" s="72" t="s">
        <v>554</v>
      </c>
      <c r="D114" s="75"/>
      <c r="E114" s="75"/>
    </row>
    <row r="115" spans="1:5" x14ac:dyDescent="0.2">
      <c r="A115" s="85" t="s">
        <v>1585</v>
      </c>
      <c r="B115" s="243">
        <f>'Excel Calcs'!E45</f>
        <v>0.625</v>
      </c>
      <c r="C115" s="72" t="s">
        <v>554</v>
      </c>
      <c r="D115" s="75"/>
      <c r="E115" s="75"/>
    </row>
    <row r="116" spans="1:5" x14ac:dyDescent="0.2">
      <c r="A116" s="85" t="s">
        <v>1586</v>
      </c>
      <c r="B116" s="243">
        <f>'Excel Calcs'!E46</f>
        <v>2.5</v>
      </c>
      <c r="C116" s="72" t="s">
        <v>554</v>
      </c>
      <c r="D116" s="75"/>
      <c r="E116" s="75"/>
    </row>
    <row r="117" spans="1:5" x14ac:dyDescent="0.2">
      <c r="A117" s="85" t="s">
        <v>73</v>
      </c>
      <c r="B117" s="243">
        <f>'Excel Calcs'!E47</f>
        <v>0.75</v>
      </c>
      <c r="C117" s="72" t="s">
        <v>554</v>
      </c>
      <c r="D117" s="75"/>
      <c r="E117" s="75"/>
    </row>
    <row r="118" spans="1:5" x14ac:dyDescent="0.2">
      <c r="A118" s="85" t="s">
        <v>74</v>
      </c>
      <c r="B118" s="243">
        <f>'Excel Calcs'!E48</f>
        <v>9</v>
      </c>
      <c r="C118" s="72" t="s">
        <v>554</v>
      </c>
      <c r="D118" s="75"/>
      <c r="E118" s="75"/>
    </row>
    <row r="119" spans="1:5" x14ac:dyDescent="0.2">
      <c r="A119" s="85" t="s">
        <v>1886</v>
      </c>
      <c r="B119" s="243">
        <f>'Excel Calcs'!E49</f>
        <v>31</v>
      </c>
      <c r="C119" s="72" t="s">
        <v>1975</v>
      </c>
      <c r="D119" s="75"/>
      <c r="E119" s="75"/>
    </row>
    <row r="120" spans="1:5" x14ac:dyDescent="0.2">
      <c r="A120" s="85" t="s">
        <v>1315</v>
      </c>
      <c r="B120" s="243">
        <f>'Excel Calcs'!E50</f>
        <v>6</v>
      </c>
      <c r="C120" s="72" t="s">
        <v>554</v>
      </c>
      <c r="D120" s="75"/>
      <c r="E120" s="75"/>
    </row>
    <row r="121" spans="1:5" x14ac:dyDescent="0.2">
      <c r="A121" s="85" t="s">
        <v>75</v>
      </c>
      <c r="B121" s="243">
        <f>'Excel Calcs'!E51</f>
        <v>2</v>
      </c>
      <c r="C121" s="72" t="s">
        <v>1975</v>
      </c>
      <c r="D121" s="75"/>
      <c r="E121" s="75"/>
    </row>
    <row r="122" spans="1:5" x14ac:dyDescent="0.2">
      <c r="A122" s="85" t="s">
        <v>1587</v>
      </c>
      <c r="B122" s="243">
        <f>'Excel Calcs'!E52</f>
        <v>12</v>
      </c>
      <c r="C122" s="72" t="s">
        <v>554</v>
      </c>
      <c r="D122" s="75"/>
      <c r="E122" s="75"/>
    </row>
    <row r="123" spans="1:5" x14ac:dyDescent="0.2">
      <c r="A123" s="85" t="s">
        <v>490</v>
      </c>
      <c r="B123" s="243">
        <f>'Excel Calcs'!E53</f>
        <v>1</v>
      </c>
      <c r="C123" s="72" t="s">
        <v>1975</v>
      </c>
      <c r="D123" s="75"/>
      <c r="E123" s="75"/>
    </row>
    <row r="124" spans="1:5" x14ac:dyDescent="0.2">
      <c r="A124" s="85" t="s">
        <v>885</v>
      </c>
      <c r="B124" s="243">
        <f>'Excel Calcs'!E54</f>
        <v>4</v>
      </c>
      <c r="C124" s="72" t="s">
        <v>554</v>
      </c>
      <c r="D124" s="75"/>
      <c r="E124" s="75"/>
    </row>
    <row r="125" spans="1:5" x14ac:dyDescent="0.2">
      <c r="A125" s="85" t="s">
        <v>1875</v>
      </c>
      <c r="B125" s="243">
        <f>'Excel Calcs'!E55</f>
        <v>2</v>
      </c>
      <c r="C125" s="72" t="s">
        <v>554</v>
      </c>
      <c r="D125" s="75"/>
      <c r="E125" s="75"/>
    </row>
    <row r="126" spans="1:5" x14ac:dyDescent="0.2">
      <c r="A126" s="85" t="s">
        <v>2114</v>
      </c>
      <c r="B126" s="243">
        <f>'Excel Calcs'!E56</f>
        <v>93.35</v>
      </c>
      <c r="C126" s="72" t="s">
        <v>554</v>
      </c>
      <c r="D126" s="75"/>
      <c r="E126" s="75"/>
    </row>
    <row r="127" spans="1:5" x14ac:dyDescent="0.2">
      <c r="A127" s="85" t="s">
        <v>1992</v>
      </c>
      <c r="B127" s="243">
        <f>'Excel Calcs'!E57</f>
        <v>10.49001</v>
      </c>
      <c r="C127" s="72" t="s">
        <v>554</v>
      </c>
      <c r="D127" s="75"/>
      <c r="E127" s="75"/>
    </row>
    <row r="128" spans="1:5" x14ac:dyDescent="0.2">
      <c r="A128" s="85" t="s">
        <v>1876</v>
      </c>
      <c r="B128" s="243">
        <f>'Excel Calcs'!E58</f>
        <v>-15.88</v>
      </c>
      <c r="C128" s="72" t="s">
        <v>554</v>
      </c>
      <c r="D128" s="75"/>
      <c r="E128" s="75"/>
    </row>
    <row r="129" spans="1:5" x14ac:dyDescent="0.2">
      <c r="A129" s="85" t="s">
        <v>1930</v>
      </c>
      <c r="B129" s="243">
        <f>'Excel Calcs'!E73</f>
        <v>75.156010000000009</v>
      </c>
      <c r="C129" s="72" t="s">
        <v>554</v>
      </c>
      <c r="D129" s="75"/>
      <c r="E129" s="75"/>
    </row>
    <row r="130" spans="1:5" x14ac:dyDescent="0.2">
      <c r="A130" s="85" t="s">
        <v>1796</v>
      </c>
      <c r="B130" s="243">
        <f>'Excel Calcs'!E74</f>
        <v>41.284999999999997</v>
      </c>
      <c r="C130" s="72" t="s">
        <v>554</v>
      </c>
      <c r="D130" s="75"/>
      <c r="E130" s="75"/>
    </row>
    <row r="131" spans="1:5" x14ac:dyDescent="0.2">
      <c r="A131" s="85" t="s">
        <v>538</v>
      </c>
      <c r="B131" s="243">
        <f>'Excel Calcs'!E75</f>
        <v>12</v>
      </c>
      <c r="C131" s="72" t="s">
        <v>554</v>
      </c>
      <c r="D131" s="75"/>
      <c r="E131" s="75"/>
    </row>
    <row r="132" spans="1:5" x14ac:dyDescent="0.2">
      <c r="A132" s="85" t="s">
        <v>817</v>
      </c>
      <c r="B132" s="243">
        <f>'Excel Calcs'!E76</f>
        <v>42.387979999999999</v>
      </c>
      <c r="C132" s="72" t="s">
        <v>554</v>
      </c>
      <c r="D132" s="75"/>
      <c r="E132" s="75"/>
    </row>
    <row r="133" spans="1:5" x14ac:dyDescent="0.2">
      <c r="A133" s="85" t="s">
        <v>1931</v>
      </c>
      <c r="B133" s="243">
        <f>'Excel Calcs'!E77</f>
        <v>31.56</v>
      </c>
      <c r="C133" s="72" t="s">
        <v>554</v>
      </c>
      <c r="D133" s="75"/>
      <c r="E133" s="75"/>
    </row>
    <row r="134" spans="1:5" x14ac:dyDescent="0.2">
      <c r="A134" s="85" t="s">
        <v>1389</v>
      </c>
      <c r="B134" s="243">
        <f>'Excel Calcs'!E78</f>
        <v>42.5</v>
      </c>
      <c r="C134" s="72" t="s">
        <v>554</v>
      </c>
      <c r="D134" s="75"/>
      <c r="E134" s="75"/>
    </row>
    <row r="135" spans="1:5" x14ac:dyDescent="0.2">
      <c r="A135" s="85" t="s">
        <v>285</v>
      </c>
      <c r="B135" s="243">
        <f>'Excel Calcs'!E79</f>
        <v>31.385979999999996</v>
      </c>
      <c r="C135" s="72" t="s">
        <v>554</v>
      </c>
      <c r="D135" s="75"/>
      <c r="E135" s="75"/>
    </row>
    <row r="136" spans="1:5" x14ac:dyDescent="0.2">
      <c r="A136" s="19" t="s">
        <v>1390</v>
      </c>
      <c r="B136" s="243">
        <f>'Excel Calcs'!E80</f>
        <v>0.75</v>
      </c>
      <c r="C136" s="72" t="s">
        <v>554</v>
      </c>
      <c r="D136" s="75"/>
      <c r="E136" s="75"/>
    </row>
    <row r="137" spans="1:5" x14ac:dyDescent="0.2">
      <c r="A137" s="19" t="s">
        <v>1391</v>
      </c>
      <c r="B137" s="243">
        <f>'Excel Calcs'!E81</f>
        <v>1.375</v>
      </c>
      <c r="C137" s="72" t="s">
        <v>554</v>
      </c>
      <c r="D137" s="75"/>
      <c r="E137" s="75"/>
    </row>
    <row r="138" spans="1:5" x14ac:dyDescent="0.2">
      <c r="A138" s="19" t="s">
        <v>1236</v>
      </c>
      <c r="B138" s="243">
        <f>'Excel Calcs'!E82</f>
        <v>3</v>
      </c>
      <c r="C138" s="72" t="s">
        <v>1975</v>
      </c>
      <c r="D138" s="75"/>
      <c r="E138" s="75"/>
    </row>
    <row r="139" spans="1:5" x14ac:dyDescent="0.2">
      <c r="A139" s="19" t="s">
        <v>539</v>
      </c>
      <c r="B139" s="243">
        <f>'Excel Calcs'!E83</f>
        <v>4.9375</v>
      </c>
      <c r="C139" s="72" t="s">
        <v>554</v>
      </c>
      <c r="D139" s="75"/>
      <c r="E139" s="75"/>
    </row>
    <row r="140" spans="1:5" x14ac:dyDescent="0.2">
      <c r="A140" s="85" t="s">
        <v>126</v>
      </c>
      <c r="B140" s="243">
        <f>'Excel Calcs'!E84</f>
        <v>1.25</v>
      </c>
      <c r="C140" s="72" t="s">
        <v>554</v>
      </c>
      <c r="D140" s="75"/>
      <c r="E140" s="75"/>
    </row>
    <row r="141" spans="1:5" x14ac:dyDescent="0.2">
      <c r="A141" s="85" t="s">
        <v>540</v>
      </c>
      <c r="B141" s="243">
        <f>'Excel Calcs'!E85</f>
        <v>1.375</v>
      </c>
      <c r="C141" s="72" t="s">
        <v>554</v>
      </c>
      <c r="D141" s="75"/>
      <c r="E141" s="75"/>
    </row>
    <row r="142" spans="1:5" x14ac:dyDescent="0.2">
      <c r="A142" s="19" t="s">
        <v>2045</v>
      </c>
      <c r="B142" s="243">
        <f>'Excel Calcs'!E86</f>
        <v>1</v>
      </c>
      <c r="C142" s="72" t="s">
        <v>1975</v>
      </c>
      <c r="D142" s="75"/>
      <c r="E142" s="75"/>
    </row>
    <row r="143" spans="1:5" x14ac:dyDescent="0.2">
      <c r="A143" s="19" t="s">
        <v>409</v>
      </c>
      <c r="B143" s="243">
        <f>'Excel Calcs'!E87</f>
        <v>6.25</v>
      </c>
      <c r="C143" s="72" t="s">
        <v>554</v>
      </c>
      <c r="D143" s="75"/>
      <c r="E143" s="75"/>
    </row>
    <row r="144" spans="1:5" x14ac:dyDescent="0.2">
      <c r="A144" s="85" t="s">
        <v>1084</v>
      </c>
      <c r="B144" s="243">
        <f>'Excel Calcs'!E88</f>
        <v>42.5</v>
      </c>
      <c r="C144" s="72" t="s">
        <v>554</v>
      </c>
      <c r="D144" s="75"/>
      <c r="E144" s="75"/>
    </row>
    <row r="145" spans="1:5" x14ac:dyDescent="0.2">
      <c r="A145" s="19" t="s">
        <v>127</v>
      </c>
      <c r="B145" s="243">
        <f>'Excel Calcs'!E89</f>
        <v>1.5</v>
      </c>
      <c r="C145" s="72" t="s">
        <v>554</v>
      </c>
      <c r="D145" s="75"/>
      <c r="E145" s="75"/>
    </row>
    <row r="146" spans="1:5" x14ac:dyDescent="0.2">
      <c r="A146" s="19" t="s">
        <v>1237</v>
      </c>
      <c r="B146" s="243">
        <f>'Excel Calcs'!E90</f>
        <v>6</v>
      </c>
      <c r="C146" s="72" t="s">
        <v>1975</v>
      </c>
      <c r="D146" s="75"/>
      <c r="E146" s="75"/>
    </row>
    <row r="147" spans="1:5" x14ac:dyDescent="0.2">
      <c r="A147" s="19" t="s">
        <v>1928</v>
      </c>
      <c r="B147" s="243">
        <f>'Excel Calcs'!E91</f>
        <v>7.9</v>
      </c>
      <c r="C147" s="72" t="s">
        <v>554</v>
      </c>
      <c r="D147" s="75"/>
      <c r="E147" s="75"/>
    </row>
    <row r="148" spans="1:5" x14ac:dyDescent="0.2">
      <c r="A148" s="85" t="s">
        <v>942</v>
      </c>
      <c r="B148" s="243">
        <f>'Excel Calcs'!E92</f>
        <v>31.56</v>
      </c>
      <c r="C148" s="72" t="s">
        <v>554</v>
      </c>
      <c r="D148" s="75"/>
      <c r="E148" s="75"/>
    </row>
    <row r="149" spans="1:5" x14ac:dyDescent="0.2">
      <c r="A149" s="19" t="s">
        <v>1929</v>
      </c>
      <c r="B149" s="243">
        <f>'Excel Calcs'!E93</f>
        <v>2</v>
      </c>
      <c r="C149" s="72" t="s">
        <v>554</v>
      </c>
      <c r="D149" s="75"/>
      <c r="E149" s="75"/>
    </row>
    <row r="150" spans="1:5" x14ac:dyDescent="0.2">
      <c r="A150" s="19" t="s">
        <v>680</v>
      </c>
      <c r="B150" s="243">
        <f>'Excel Calcs'!E94</f>
        <v>5</v>
      </c>
      <c r="C150" s="72" t="s">
        <v>1975</v>
      </c>
      <c r="D150" s="75"/>
      <c r="E150" s="75"/>
    </row>
    <row r="151" spans="1:5" x14ac:dyDescent="0.2">
      <c r="A151" s="19" t="s">
        <v>2182</v>
      </c>
      <c r="B151" s="243">
        <f>'Excel Calcs'!E95</f>
        <v>6.89</v>
      </c>
      <c r="C151" s="72" t="s">
        <v>554</v>
      </c>
      <c r="D151" s="75"/>
      <c r="E151" s="75"/>
    </row>
    <row r="152" spans="1:5" x14ac:dyDescent="0.2">
      <c r="A152" s="19" t="s">
        <v>943</v>
      </c>
      <c r="B152" s="243" t="str">
        <f>'Excel Calcs'!E96</f>
        <v>0.152</v>
      </c>
      <c r="C152" s="72" t="s">
        <v>554</v>
      </c>
      <c r="D152" s="75"/>
      <c r="E152" s="75"/>
    </row>
    <row r="153" spans="1:5" x14ac:dyDescent="0.2">
      <c r="A153" s="19" t="s">
        <v>944</v>
      </c>
      <c r="B153" s="243" t="str">
        <f>'Excel Calcs'!E97</f>
        <v>0.218</v>
      </c>
      <c r="C153" s="72" t="s">
        <v>554</v>
      </c>
      <c r="D153" s="75"/>
      <c r="E153" s="75"/>
    </row>
    <row r="154" spans="1:5" x14ac:dyDescent="0.2">
      <c r="A154" s="19" t="s">
        <v>1654</v>
      </c>
      <c r="B154" s="243">
        <f>'Excel Calcs'!E98</f>
        <v>5.6009999999999997E-2</v>
      </c>
      <c r="C154" s="72" t="s">
        <v>554</v>
      </c>
      <c r="D154" s="75"/>
      <c r="E154" s="75"/>
    </row>
    <row r="155" spans="1:5" x14ac:dyDescent="0.2">
      <c r="A155" s="776" t="s">
        <v>854</v>
      </c>
      <c r="B155" s="243">
        <f>'Excel Calcs'!H4</f>
        <v>9</v>
      </c>
      <c r="C155" s="72" t="s">
        <v>554</v>
      </c>
      <c r="D155" s="75"/>
      <c r="E155" s="75"/>
    </row>
    <row r="156" spans="1:5" x14ac:dyDescent="0.2">
      <c r="A156" s="19" t="s">
        <v>1288</v>
      </c>
      <c r="B156" s="243">
        <f>'Excel Calcs'!H5</f>
        <v>13</v>
      </c>
      <c r="C156" s="72" t="s">
        <v>554</v>
      </c>
      <c r="D156" s="75"/>
      <c r="E156" s="75"/>
    </row>
    <row r="157" spans="1:5" x14ac:dyDescent="0.2">
      <c r="A157" s="19" t="s">
        <v>1431</v>
      </c>
      <c r="B157" s="243">
        <f>'Excel Calcs'!H6</f>
        <v>0.15601000000000001</v>
      </c>
      <c r="C157" s="72" t="s">
        <v>554</v>
      </c>
      <c r="D157" s="75"/>
      <c r="E157" s="75"/>
    </row>
    <row r="158" spans="1:5" x14ac:dyDescent="0.2">
      <c r="A158" s="19" t="s">
        <v>998</v>
      </c>
      <c r="B158" s="243">
        <f>'Excel Calcs'!H7</f>
        <v>0.25</v>
      </c>
      <c r="C158" s="72" t="s">
        <v>554</v>
      </c>
      <c r="D158" s="75"/>
      <c r="E158" s="75"/>
    </row>
    <row r="159" spans="1:5" x14ac:dyDescent="0.2">
      <c r="A159" s="19" t="s">
        <v>1723</v>
      </c>
      <c r="B159" s="243">
        <f>'Excel Calcs'!H8</f>
        <v>0.75</v>
      </c>
      <c r="C159" s="72" t="s">
        <v>554</v>
      </c>
      <c r="D159" s="75"/>
      <c r="E159" s="75"/>
    </row>
    <row r="160" spans="1:5" x14ac:dyDescent="0.2">
      <c r="A160" s="19" t="s">
        <v>2020</v>
      </c>
      <c r="B160" s="243">
        <f>'Excel Calcs'!H11</f>
        <v>4</v>
      </c>
      <c r="C160" s="72" t="s">
        <v>1975</v>
      </c>
      <c r="D160" s="75"/>
      <c r="E160" s="75"/>
    </row>
    <row r="161" spans="1:3" s="75" customFormat="1" x14ac:dyDescent="0.2">
      <c r="A161" s="19" t="s">
        <v>1764</v>
      </c>
      <c r="B161" s="243">
        <f>'Excel Calcs'!H12</f>
        <v>0</v>
      </c>
      <c r="C161" s="72" t="s">
        <v>1975</v>
      </c>
    </row>
    <row r="162" spans="1:3" s="75" customFormat="1" x14ac:dyDescent="0.2">
      <c r="A162" s="19" t="s">
        <v>1765</v>
      </c>
      <c r="B162" s="243">
        <f>'Excel Calcs'!H13</f>
        <v>1</v>
      </c>
      <c r="C162" s="72" t="s">
        <v>1975</v>
      </c>
    </row>
    <row r="163" spans="1:3" s="75" customFormat="1" x14ac:dyDescent="0.2">
      <c r="A163" s="19" t="s">
        <v>1900</v>
      </c>
      <c r="B163" s="243">
        <f>'Excel Calcs'!H14</f>
        <v>2.625</v>
      </c>
      <c r="C163" s="72" t="s">
        <v>554</v>
      </c>
    </row>
    <row r="164" spans="1:3" s="75" customFormat="1" x14ac:dyDescent="0.2">
      <c r="A164" s="19" t="s">
        <v>239</v>
      </c>
      <c r="B164" s="243">
        <f>'Excel Calcs'!H15</f>
        <v>6.375</v>
      </c>
      <c r="C164" s="72" t="s">
        <v>554</v>
      </c>
    </row>
    <row r="165" spans="1:3" s="75" customFormat="1" x14ac:dyDescent="0.2">
      <c r="A165" s="19" t="s">
        <v>1044</v>
      </c>
      <c r="B165" s="243">
        <f>'Excel Calcs'!H16</f>
        <v>1.125</v>
      </c>
      <c r="C165" s="72" t="s">
        <v>554</v>
      </c>
    </row>
    <row r="166" spans="1:3" s="75" customFormat="1" x14ac:dyDescent="0.2">
      <c r="A166" s="19" t="s">
        <v>1616</v>
      </c>
      <c r="B166" s="243">
        <f>'Excel Calcs'!H17</f>
        <v>6.5</v>
      </c>
      <c r="C166" s="72" t="s">
        <v>554</v>
      </c>
    </row>
    <row r="167" spans="1:3" s="75" customFormat="1" x14ac:dyDescent="0.2">
      <c r="A167" s="19" t="s">
        <v>1045</v>
      </c>
      <c r="B167" s="243">
        <f>'Excel Calcs'!H18</f>
        <v>3</v>
      </c>
      <c r="C167" s="72" t="s">
        <v>1975</v>
      </c>
    </row>
    <row r="168" spans="1:3" s="75" customFormat="1" x14ac:dyDescent="0.2">
      <c r="A168" s="19" t="s">
        <v>1640</v>
      </c>
      <c r="B168" s="243">
        <f>'Excel Calcs'!H19</f>
        <v>1</v>
      </c>
      <c r="C168" s="72" t="s">
        <v>1975</v>
      </c>
    </row>
    <row r="169" spans="1:3" s="75" customFormat="1" x14ac:dyDescent="0.2">
      <c r="A169" s="19" t="s">
        <v>1641</v>
      </c>
      <c r="B169" s="243">
        <f>'Excel Calcs'!H20</f>
        <v>0</v>
      </c>
      <c r="C169" s="72" t="s">
        <v>1975</v>
      </c>
    </row>
    <row r="170" spans="1:3" s="75" customFormat="1" x14ac:dyDescent="0.2">
      <c r="A170" s="19" t="s">
        <v>1766</v>
      </c>
      <c r="B170" s="243">
        <f>'Excel Calcs'!H21</f>
        <v>1.125</v>
      </c>
      <c r="C170" s="72" t="s">
        <v>554</v>
      </c>
    </row>
    <row r="171" spans="1:3" s="75" customFormat="1" x14ac:dyDescent="0.2">
      <c r="A171" s="19" t="s">
        <v>97</v>
      </c>
      <c r="B171" s="243">
        <f>'Excel Calcs'!H22</f>
        <v>4.875</v>
      </c>
      <c r="C171" s="72" t="s">
        <v>554</v>
      </c>
    </row>
    <row r="172" spans="1:3" s="75" customFormat="1" x14ac:dyDescent="0.2">
      <c r="A172" s="19" t="s">
        <v>905</v>
      </c>
      <c r="B172" s="243">
        <f>'Excel Calcs'!H23</f>
        <v>3.8125</v>
      </c>
      <c r="C172" s="72" t="s">
        <v>554</v>
      </c>
    </row>
    <row r="173" spans="1:3" s="75" customFormat="1" x14ac:dyDescent="0.2">
      <c r="A173" s="19" t="s">
        <v>1474</v>
      </c>
      <c r="B173" s="243">
        <f>'Excel Calcs'!H24</f>
        <v>9.1875</v>
      </c>
      <c r="C173" s="72" t="s">
        <v>554</v>
      </c>
    </row>
    <row r="174" spans="1:3" s="75" customFormat="1" x14ac:dyDescent="0.2">
      <c r="A174" s="19" t="s">
        <v>2143</v>
      </c>
      <c r="B174" s="243">
        <f>'Excel Calcs'!H25</f>
        <v>4</v>
      </c>
      <c r="C174" s="72" t="s">
        <v>1975</v>
      </c>
    </row>
    <row r="175" spans="1:3" s="75" customFormat="1" x14ac:dyDescent="0.2">
      <c r="A175" s="19" t="s">
        <v>1343</v>
      </c>
      <c r="B175" s="243">
        <f>'Excel Calcs'!H26</f>
        <v>0</v>
      </c>
      <c r="C175" s="72" t="s">
        <v>1975</v>
      </c>
    </row>
    <row r="176" spans="1:3" s="75" customFormat="1" x14ac:dyDescent="0.2">
      <c r="A176" s="19" t="s">
        <v>1472</v>
      </c>
      <c r="B176" s="243">
        <f>'Excel Calcs'!H27</f>
        <v>1</v>
      </c>
      <c r="C176" s="72" t="s">
        <v>1975</v>
      </c>
    </row>
    <row r="177" spans="1:3" s="75" customFormat="1" x14ac:dyDescent="0.2">
      <c r="A177" s="19" t="s">
        <v>1473</v>
      </c>
      <c r="B177" s="243">
        <f>'Excel Calcs'!H28</f>
        <v>2.625</v>
      </c>
      <c r="C177" s="72" t="s">
        <v>554</v>
      </c>
    </row>
    <row r="178" spans="1:3" s="75" customFormat="1" x14ac:dyDescent="0.2">
      <c r="A178" s="19" t="s">
        <v>2021</v>
      </c>
      <c r="B178" s="243">
        <f>'Excel Calcs'!H29</f>
        <v>6.375</v>
      </c>
      <c r="C178" s="72" t="s">
        <v>554</v>
      </c>
    </row>
    <row r="179" spans="1:3" s="75" customFormat="1" x14ac:dyDescent="0.2">
      <c r="A179" s="19" t="s">
        <v>778</v>
      </c>
      <c r="B179" s="243">
        <f>'Excel Calcs'!H30</f>
        <v>1.125</v>
      </c>
      <c r="C179" s="72" t="s">
        <v>554</v>
      </c>
    </row>
    <row r="180" spans="1:3" s="75" customFormat="1" x14ac:dyDescent="0.2">
      <c r="A180" s="19" t="s">
        <v>1344</v>
      </c>
      <c r="B180" s="243">
        <f>'Excel Calcs'!H31</f>
        <v>6.5</v>
      </c>
      <c r="C180" s="72" t="s">
        <v>554</v>
      </c>
    </row>
    <row r="181" spans="1:3" s="75" customFormat="1" x14ac:dyDescent="0.2">
      <c r="A181" s="19" t="s">
        <v>1194</v>
      </c>
      <c r="B181" s="243">
        <f>'Excel Calcs'!H32</f>
        <v>3</v>
      </c>
      <c r="C181" s="72" t="s">
        <v>1975</v>
      </c>
    </row>
    <row r="182" spans="1:3" s="75" customFormat="1" x14ac:dyDescent="0.2">
      <c r="A182" s="19" t="s">
        <v>1218</v>
      </c>
      <c r="B182" s="243">
        <f>'Excel Calcs'!H33</f>
        <v>1</v>
      </c>
      <c r="C182" s="72" t="s">
        <v>1975</v>
      </c>
    </row>
    <row r="183" spans="1:3" s="75" customFormat="1" x14ac:dyDescent="0.2">
      <c r="A183" s="19" t="s">
        <v>1369</v>
      </c>
      <c r="B183" s="243">
        <f>'Excel Calcs'!H34</f>
        <v>0</v>
      </c>
      <c r="C183" s="72" t="s">
        <v>1975</v>
      </c>
    </row>
    <row r="184" spans="1:3" s="75" customFormat="1" x14ac:dyDescent="0.2">
      <c r="A184" s="19" t="s">
        <v>1345</v>
      </c>
      <c r="B184" s="243">
        <f>'Excel Calcs'!H35</f>
        <v>1.125</v>
      </c>
      <c r="C184" s="72" t="s">
        <v>554</v>
      </c>
    </row>
    <row r="185" spans="1:3" s="75" customFormat="1" x14ac:dyDescent="0.2">
      <c r="A185" s="19" t="s">
        <v>1901</v>
      </c>
      <c r="B185" s="243">
        <f>'Excel Calcs'!H36</f>
        <v>4.875</v>
      </c>
      <c r="C185" s="72" t="s">
        <v>554</v>
      </c>
    </row>
    <row r="186" spans="1:3" s="75" customFormat="1" x14ac:dyDescent="0.2">
      <c r="A186" s="19" t="s">
        <v>510</v>
      </c>
      <c r="B186" s="243">
        <f>'Excel Calcs'!H37</f>
        <v>3.8125</v>
      </c>
      <c r="C186" s="72" t="s">
        <v>554</v>
      </c>
    </row>
    <row r="187" spans="1:3" s="75" customFormat="1" x14ac:dyDescent="0.2">
      <c r="A187" s="19" t="s">
        <v>1046</v>
      </c>
      <c r="B187" s="243">
        <f>'Excel Calcs'!H38</f>
        <v>9.1875</v>
      </c>
      <c r="C187" s="72" t="s">
        <v>554</v>
      </c>
    </row>
    <row r="188" spans="1:3" s="75" customFormat="1" x14ac:dyDescent="0.2">
      <c r="A188" s="85" t="s">
        <v>1149</v>
      </c>
      <c r="B188" s="243">
        <f>'Excel Calcs'!H43</f>
        <v>11</v>
      </c>
      <c r="C188" s="72" t="s">
        <v>1975</v>
      </c>
    </row>
    <row r="189" spans="1:3" s="75" customFormat="1" x14ac:dyDescent="0.2">
      <c r="A189" s="85" t="s">
        <v>1562</v>
      </c>
      <c r="B189" s="243">
        <f>'Excel Calcs'!H44</f>
        <v>7.25</v>
      </c>
      <c r="C189" s="72" t="s">
        <v>554</v>
      </c>
    </row>
    <row r="190" spans="1:3" s="75" customFormat="1" x14ac:dyDescent="0.2">
      <c r="A190" s="85" t="s">
        <v>1563</v>
      </c>
      <c r="B190" s="243">
        <f>'Excel Calcs'!H45</f>
        <v>1.5</v>
      </c>
      <c r="C190" s="72" t="s">
        <v>554</v>
      </c>
    </row>
    <row r="191" spans="1:3" s="75" customFormat="1" x14ac:dyDescent="0.2">
      <c r="A191" s="85" t="s">
        <v>741</v>
      </c>
      <c r="B191" s="243">
        <f>'Excel Calcs'!H46</f>
        <v>6</v>
      </c>
      <c r="C191" s="72" t="s">
        <v>554</v>
      </c>
    </row>
    <row r="192" spans="1:3" s="75" customFormat="1" x14ac:dyDescent="0.2">
      <c r="A192" s="85" t="s">
        <v>1150</v>
      </c>
      <c r="B192" s="243">
        <f>'Excel Calcs'!H47</f>
        <v>7.625</v>
      </c>
      <c r="C192" s="72" t="s">
        <v>554</v>
      </c>
    </row>
    <row r="193" spans="1:3" s="75" customFormat="1" x14ac:dyDescent="0.2">
      <c r="A193" s="85" t="s">
        <v>1201</v>
      </c>
      <c r="B193" s="243">
        <f>'Excel Calcs'!H48</f>
        <v>0.375</v>
      </c>
      <c r="C193" s="72" t="s">
        <v>554</v>
      </c>
    </row>
    <row r="194" spans="1:3" s="75" customFormat="1" x14ac:dyDescent="0.2">
      <c r="A194" s="85" t="s">
        <v>1350</v>
      </c>
      <c r="B194" s="243">
        <f>'Excel Calcs'!H49</f>
        <v>0.875</v>
      </c>
      <c r="C194" s="72" t="s">
        <v>554</v>
      </c>
    </row>
    <row r="195" spans="1:3" s="75" customFormat="1" x14ac:dyDescent="0.2">
      <c r="A195" s="85" t="s">
        <v>1011</v>
      </c>
      <c r="B195" s="243">
        <f>'Excel Calcs'!H50</f>
        <v>1.125</v>
      </c>
      <c r="C195" s="72" t="s">
        <v>554</v>
      </c>
    </row>
    <row r="196" spans="1:3" s="75" customFormat="1" x14ac:dyDescent="0.2">
      <c r="A196" s="85" t="s">
        <v>1447</v>
      </c>
      <c r="B196" s="243">
        <f>'Excel Calcs'!H51</f>
        <v>1.125</v>
      </c>
      <c r="C196" s="72" t="s">
        <v>554</v>
      </c>
    </row>
    <row r="197" spans="1:3" s="75" customFormat="1" x14ac:dyDescent="0.2">
      <c r="A197" s="85" t="s">
        <v>102</v>
      </c>
      <c r="B197" s="243">
        <f>'Excel Calcs'!H52</f>
        <v>6.44</v>
      </c>
      <c r="C197" s="72" t="s">
        <v>554</v>
      </c>
    </row>
    <row r="198" spans="1:3" s="75" customFormat="1" x14ac:dyDescent="0.2">
      <c r="A198" s="85" t="s">
        <v>244</v>
      </c>
      <c r="B198" s="243">
        <f>'Excel Calcs'!H53</f>
        <v>2</v>
      </c>
      <c r="C198" s="72" t="s">
        <v>554</v>
      </c>
    </row>
    <row r="199" spans="1:3" s="75" customFormat="1" x14ac:dyDescent="0.2">
      <c r="A199" s="85" t="s">
        <v>104</v>
      </c>
      <c r="B199" s="243">
        <f>'Excel Calcs'!H54</f>
        <v>0.5</v>
      </c>
      <c r="C199" s="72" t="s">
        <v>554</v>
      </c>
    </row>
    <row r="200" spans="1:3" s="75" customFormat="1" x14ac:dyDescent="0.2">
      <c r="A200" s="85" t="s">
        <v>1771</v>
      </c>
      <c r="B200" s="243">
        <f>'Excel Calcs'!H55</f>
        <v>0.625</v>
      </c>
      <c r="C200" s="72" t="s">
        <v>554</v>
      </c>
    </row>
    <row r="201" spans="1:3" s="75" customFormat="1" x14ac:dyDescent="0.2">
      <c r="A201" s="85" t="s">
        <v>609</v>
      </c>
      <c r="B201" s="243">
        <f>'Excel Calcs'!H56</f>
        <v>14</v>
      </c>
      <c r="C201" s="72" t="s">
        <v>1975</v>
      </c>
    </row>
    <row r="202" spans="1:3" s="75" customFormat="1" x14ac:dyDescent="0.2">
      <c r="A202" s="85" t="s">
        <v>739</v>
      </c>
      <c r="B202" s="243">
        <f>'Excel Calcs'!H57</f>
        <v>7.25</v>
      </c>
      <c r="C202" s="72" t="s">
        <v>554</v>
      </c>
    </row>
    <row r="203" spans="1:3" s="75" customFormat="1" x14ac:dyDescent="0.2">
      <c r="A203" s="85" t="s">
        <v>1436</v>
      </c>
      <c r="B203" s="243">
        <f>'Excel Calcs'!H58</f>
        <v>1.5</v>
      </c>
      <c r="C203" s="72" t="s">
        <v>554</v>
      </c>
    </row>
    <row r="204" spans="1:3" s="75" customFormat="1" x14ac:dyDescent="0.2">
      <c r="A204" s="85" t="s">
        <v>611</v>
      </c>
      <c r="B204" s="243">
        <f>'Excel Calcs'!H59</f>
        <v>6</v>
      </c>
      <c r="C204" s="72" t="s">
        <v>554</v>
      </c>
    </row>
    <row r="205" spans="1:3" s="75" customFormat="1" x14ac:dyDescent="0.2">
      <c r="A205" s="85" t="s">
        <v>858</v>
      </c>
      <c r="B205" s="243">
        <f>'Excel Calcs'!H60</f>
        <v>7.625</v>
      </c>
      <c r="C205" s="72" t="s">
        <v>554</v>
      </c>
    </row>
    <row r="206" spans="1:3" s="75" customFormat="1" x14ac:dyDescent="0.2">
      <c r="A206" s="85" t="s">
        <v>1049</v>
      </c>
      <c r="B206" s="243">
        <f>'Excel Calcs'!H61</f>
        <v>0.375</v>
      </c>
      <c r="C206" s="72" t="s">
        <v>554</v>
      </c>
    </row>
    <row r="207" spans="1:3" s="75" customFormat="1" x14ac:dyDescent="0.2">
      <c r="A207" s="85" t="s">
        <v>1202</v>
      </c>
      <c r="B207" s="243">
        <f>'Excel Calcs'!H62</f>
        <v>0.875</v>
      </c>
      <c r="C207" s="72" t="s">
        <v>554</v>
      </c>
    </row>
    <row r="208" spans="1:3" s="75" customFormat="1" x14ac:dyDescent="0.2">
      <c r="A208" s="85" t="s">
        <v>880</v>
      </c>
      <c r="B208" s="243">
        <f>'Excel Calcs'!H63</f>
        <v>1.125</v>
      </c>
      <c r="C208" s="72" t="s">
        <v>554</v>
      </c>
    </row>
    <row r="209" spans="1:3" s="75" customFormat="1" x14ac:dyDescent="0.2">
      <c r="A209" s="85" t="s">
        <v>1311</v>
      </c>
      <c r="B209" s="243">
        <f>'Excel Calcs'!H64</f>
        <v>1.125</v>
      </c>
      <c r="C209" s="72" t="s">
        <v>554</v>
      </c>
    </row>
    <row r="210" spans="1:3" s="75" customFormat="1" x14ac:dyDescent="0.2">
      <c r="A210" s="85" t="s">
        <v>2144</v>
      </c>
      <c r="B210" s="243">
        <f>'Excel Calcs'!H65</f>
        <v>6.44</v>
      </c>
      <c r="C210" s="72" t="s">
        <v>554</v>
      </c>
    </row>
    <row r="211" spans="1:3" s="75" customFormat="1" x14ac:dyDescent="0.2">
      <c r="A211" s="85" t="s">
        <v>2028</v>
      </c>
      <c r="B211" s="243">
        <f>'Excel Calcs'!H66</f>
        <v>2</v>
      </c>
      <c r="C211" s="72" t="s">
        <v>554</v>
      </c>
    </row>
    <row r="212" spans="1:3" s="75" customFormat="1" x14ac:dyDescent="0.2">
      <c r="A212" s="85" t="s">
        <v>1903</v>
      </c>
      <c r="B212" s="243">
        <f>'Excel Calcs'!H67</f>
        <v>0.5</v>
      </c>
      <c r="C212" s="72" t="s">
        <v>554</v>
      </c>
    </row>
    <row r="213" spans="1:3" s="75" customFormat="1" x14ac:dyDescent="0.2">
      <c r="A213" s="85" t="s">
        <v>916</v>
      </c>
      <c r="B213" s="243">
        <f>'Excel Calcs'!H68</f>
        <v>0.625</v>
      </c>
      <c r="C213" s="72" t="s">
        <v>554</v>
      </c>
    </row>
    <row r="214" spans="1:3" s="75" customFormat="1" x14ac:dyDescent="0.2">
      <c r="A214" s="85" t="s">
        <v>193</v>
      </c>
      <c r="B214" s="243">
        <f>'Excel Calcs'!H69</f>
        <v>12</v>
      </c>
      <c r="C214" s="72" t="s">
        <v>1975</v>
      </c>
    </row>
    <row r="215" spans="1:3" s="75" customFormat="1" x14ac:dyDescent="0.2">
      <c r="A215" s="85" t="s">
        <v>2100</v>
      </c>
      <c r="B215" s="243">
        <f>'Excel Calcs'!H70</f>
        <v>7.25</v>
      </c>
      <c r="C215" s="72" t="s">
        <v>554</v>
      </c>
    </row>
    <row r="216" spans="1:3" s="75" customFormat="1" x14ac:dyDescent="0.2">
      <c r="A216" s="85" t="s">
        <v>1295</v>
      </c>
      <c r="B216" s="243">
        <f>'Excel Calcs'!H71</f>
        <v>1.5</v>
      </c>
      <c r="C216" s="72" t="s">
        <v>554</v>
      </c>
    </row>
    <row r="217" spans="1:3" s="75" customFormat="1" x14ac:dyDescent="0.2">
      <c r="A217" s="85" t="s">
        <v>331</v>
      </c>
      <c r="B217" s="243">
        <f>'Excel Calcs'!H72</f>
        <v>6</v>
      </c>
      <c r="C217" s="72" t="s">
        <v>554</v>
      </c>
    </row>
    <row r="218" spans="1:3" s="75" customFormat="1" x14ac:dyDescent="0.2">
      <c r="A218" s="85" t="s">
        <v>740</v>
      </c>
      <c r="B218" s="243">
        <f>'Excel Calcs'!H73</f>
        <v>7.625</v>
      </c>
      <c r="C218" s="72" t="s">
        <v>554</v>
      </c>
    </row>
    <row r="219" spans="1:3" s="75" customFormat="1" x14ac:dyDescent="0.2">
      <c r="A219" s="85" t="s">
        <v>914</v>
      </c>
      <c r="B219" s="243">
        <f>'Excel Calcs'!H74</f>
        <v>0.375</v>
      </c>
      <c r="C219" s="72" t="s">
        <v>554</v>
      </c>
    </row>
    <row r="220" spans="1:3" s="75" customFormat="1" x14ac:dyDescent="0.2">
      <c r="A220" s="85" t="s">
        <v>915</v>
      </c>
      <c r="B220" s="243">
        <f>'Excel Calcs'!H75</f>
        <v>0.875</v>
      </c>
      <c r="C220" s="72" t="s">
        <v>554</v>
      </c>
    </row>
    <row r="221" spans="1:3" s="75" customFormat="1" x14ac:dyDescent="0.2">
      <c r="A221" s="85" t="s">
        <v>749</v>
      </c>
      <c r="B221" s="243">
        <f>'Excel Calcs'!H76</f>
        <v>1.125</v>
      </c>
      <c r="C221" s="72" t="s">
        <v>554</v>
      </c>
    </row>
    <row r="222" spans="1:3" s="75" customFormat="1" x14ac:dyDescent="0.2">
      <c r="A222" s="85" t="s">
        <v>1012</v>
      </c>
      <c r="B222" s="243">
        <f>'Excel Calcs'!H77</f>
        <v>1.125</v>
      </c>
      <c r="C222" s="72" t="s">
        <v>554</v>
      </c>
    </row>
    <row r="223" spans="1:3" s="75" customFormat="1" x14ac:dyDescent="0.2">
      <c r="A223" s="85" t="s">
        <v>2027</v>
      </c>
      <c r="B223" s="243">
        <f>'Excel Calcs'!H78</f>
        <v>6.44</v>
      </c>
      <c r="C223" s="72" t="s">
        <v>554</v>
      </c>
    </row>
    <row r="224" spans="1:3" s="75" customFormat="1" x14ac:dyDescent="0.2">
      <c r="A224" s="85" t="s">
        <v>1625</v>
      </c>
      <c r="B224" s="243">
        <f>'Excel Calcs'!H79</f>
        <v>2</v>
      </c>
      <c r="C224" s="72" t="s">
        <v>554</v>
      </c>
    </row>
    <row r="225" spans="1:3" s="75" customFormat="1" x14ac:dyDescent="0.2">
      <c r="A225" s="85" t="s">
        <v>1482</v>
      </c>
      <c r="B225" s="243">
        <f>'Excel Calcs'!H80</f>
        <v>0.5</v>
      </c>
      <c r="C225" s="72" t="s">
        <v>554</v>
      </c>
    </row>
    <row r="226" spans="1:3" s="75" customFormat="1" x14ac:dyDescent="0.2">
      <c r="A226" s="85" t="s">
        <v>105</v>
      </c>
      <c r="B226" s="243">
        <f>'Excel Calcs'!H81</f>
        <v>0.625</v>
      </c>
      <c r="C226" s="72" t="s">
        <v>554</v>
      </c>
    </row>
    <row r="227" spans="1:3" s="75" customFormat="1" x14ac:dyDescent="0.2">
      <c r="A227" s="85" t="s">
        <v>1863</v>
      </c>
      <c r="B227" s="243">
        <f>'Excel Calcs'!H82</f>
        <v>12</v>
      </c>
      <c r="C227" s="72" t="s">
        <v>1975</v>
      </c>
    </row>
    <row r="228" spans="1:3" s="75" customFormat="1" x14ac:dyDescent="0.2">
      <c r="A228" s="85" t="s">
        <v>1294</v>
      </c>
      <c r="B228" s="243">
        <f>'Excel Calcs'!H83</f>
        <v>7.25</v>
      </c>
      <c r="C228" s="72" t="s">
        <v>554</v>
      </c>
    </row>
    <row r="229" spans="1:3" s="75" customFormat="1" x14ac:dyDescent="0.2">
      <c r="A229" s="85" t="s">
        <v>1153</v>
      </c>
      <c r="B229" s="243">
        <f>'Excel Calcs'!H84</f>
        <v>1.5</v>
      </c>
      <c r="C229" s="72" t="s">
        <v>554</v>
      </c>
    </row>
    <row r="230" spans="1:3" s="75" customFormat="1" x14ac:dyDescent="0.2">
      <c r="A230" s="85" t="s">
        <v>195</v>
      </c>
      <c r="B230" s="243">
        <f>'Excel Calcs'!H85</f>
        <v>6</v>
      </c>
      <c r="C230" s="72" t="s">
        <v>554</v>
      </c>
    </row>
    <row r="231" spans="1:3" s="75" customFormat="1" x14ac:dyDescent="0.2">
      <c r="A231" s="85" t="s">
        <v>610</v>
      </c>
      <c r="B231" s="243">
        <f>'Excel Calcs'!H86</f>
        <v>7.625</v>
      </c>
      <c r="C231" s="72" t="s">
        <v>554</v>
      </c>
    </row>
    <row r="232" spans="1:3" s="75" customFormat="1" x14ac:dyDescent="0.2">
      <c r="A232" s="85" t="s">
        <v>782</v>
      </c>
      <c r="B232" s="243">
        <f>'Excel Calcs'!H87</f>
        <v>0.375</v>
      </c>
      <c r="C232" s="72" t="s">
        <v>554</v>
      </c>
    </row>
    <row r="233" spans="1:3" s="75" customFormat="1" x14ac:dyDescent="0.2">
      <c r="A233" s="85" t="s">
        <v>783</v>
      </c>
      <c r="B233" s="243">
        <f>'Excel Calcs'!H88</f>
        <v>0.875</v>
      </c>
      <c r="C233" s="72" t="s">
        <v>554</v>
      </c>
    </row>
    <row r="234" spans="1:3" s="75" customFormat="1" x14ac:dyDescent="0.2">
      <c r="A234" s="85" t="s">
        <v>485</v>
      </c>
      <c r="B234" s="243">
        <f>'Excel Calcs'!H89</f>
        <v>1.125</v>
      </c>
      <c r="C234" s="72" t="s">
        <v>554</v>
      </c>
    </row>
    <row r="235" spans="1:3" s="75" customFormat="1" x14ac:dyDescent="0.2">
      <c r="A235" s="85" t="s">
        <v>881</v>
      </c>
      <c r="B235" s="243">
        <f>'Excel Calcs'!H90</f>
        <v>1.125</v>
      </c>
      <c r="C235" s="72" t="s">
        <v>554</v>
      </c>
    </row>
    <row r="236" spans="1:3" s="75" customFormat="1" x14ac:dyDescent="0.2">
      <c r="A236" s="85" t="s">
        <v>1902</v>
      </c>
      <c r="B236" s="243">
        <f>'Excel Calcs'!H91</f>
        <v>6.44</v>
      </c>
      <c r="C236" s="72" t="s">
        <v>554</v>
      </c>
    </row>
    <row r="237" spans="1:3" s="75" customFormat="1" x14ac:dyDescent="0.2">
      <c r="A237" s="85" t="s">
        <v>1204</v>
      </c>
      <c r="B237" s="243">
        <f>'Excel Calcs'!H92</f>
        <v>2</v>
      </c>
      <c r="C237" s="72" t="s">
        <v>554</v>
      </c>
    </row>
    <row r="238" spans="1:3" s="75" customFormat="1" x14ac:dyDescent="0.2">
      <c r="A238" s="85" t="s">
        <v>1051</v>
      </c>
      <c r="B238" s="243">
        <f>'Excel Calcs'!H93</f>
        <v>0.5</v>
      </c>
      <c r="C238" s="72" t="s">
        <v>554</v>
      </c>
    </row>
    <row r="239" spans="1:3" s="75" customFormat="1" x14ac:dyDescent="0.2">
      <c r="A239" s="85" t="s">
        <v>1351</v>
      </c>
      <c r="B239" s="243">
        <f>'Excel Calcs'!H94</f>
        <v>0.625</v>
      </c>
      <c r="C239" s="72" t="s">
        <v>554</v>
      </c>
    </row>
    <row r="240" spans="1:3" s="75" customFormat="1" x14ac:dyDescent="0.2">
      <c r="A240" s="85" t="s">
        <v>769</v>
      </c>
      <c r="B240" s="243">
        <f>'Excel Calcs'!H95</f>
        <v>0.5</v>
      </c>
      <c r="C240" s="72" t="s">
        <v>554</v>
      </c>
    </row>
    <row r="241" spans="1:3" s="75" customFormat="1" x14ac:dyDescent="0.2">
      <c r="A241" s="85" t="s">
        <v>2015</v>
      </c>
      <c r="B241" s="243">
        <f>'Excel Calcs'!H97</f>
        <v>106.24519999999998</v>
      </c>
      <c r="C241" s="72" t="s">
        <v>554</v>
      </c>
    </row>
    <row r="242" spans="1:3" s="75" customFormat="1" x14ac:dyDescent="0.2">
      <c r="A242" s="85" t="s">
        <v>1752</v>
      </c>
      <c r="B242" s="243">
        <f>'Excel Calcs'!H98</f>
        <v>68.5</v>
      </c>
      <c r="C242" s="72" t="s">
        <v>554</v>
      </c>
    </row>
    <row r="243" spans="1:3" s="75" customFormat="1" x14ac:dyDescent="0.2">
      <c r="A243" s="85" t="s">
        <v>1753</v>
      </c>
      <c r="B243" s="243">
        <f>'Excel Calcs'!H99</f>
        <v>106.24519999999998</v>
      </c>
      <c r="C243" s="72" t="s">
        <v>554</v>
      </c>
    </row>
    <row r="244" spans="1:3" s="75" customFormat="1" x14ac:dyDescent="0.2">
      <c r="A244" s="85" t="s">
        <v>1329</v>
      </c>
      <c r="B244" s="243">
        <f>'Excel Calcs'!H100</f>
        <v>24.889999999999993</v>
      </c>
      <c r="C244" s="72" t="s">
        <v>554</v>
      </c>
    </row>
    <row r="245" spans="1:3" s="75" customFormat="1" x14ac:dyDescent="0.2">
      <c r="A245" s="85" t="s">
        <v>1330</v>
      </c>
      <c r="B245" s="243">
        <f>'Excel Calcs'!H101</f>
        <v>19.214599999999997</v>
      </c>
      <c r="C245" s="72" t="s">
        <v>554</v>
      </c>
    </row>
    <row r="246" spans="1:3" s="75" customFormat="1" x14ac:dyDescent="0.2">
      <c r="A246" s="85" t="s">
        <v>1034</v>
      </c>
      <c r="B246" s="243">
        <f>'Excel Calcs'!H102</f>
        <v>68.5</v>
      </c>
      <c r="C246" s="72" t="s">
        <v>554</v>
      </c>
    </row>
    <row r="247" spans="1:3" s="75" customFormat="1" x14ac:dyDescent="0.2">
      <c r="A247" s="85" t="s">
        <v>896</v>
      </c>
      <c r="B247" s="243">
        <f>'Excel Calcs'!H103</f>
        <v>19.214599999999997</v>
      </c>
      <c r="C247" s="72" t="s">
        <v>554</v>
      </c>
    </row>
    <row r="248" spans="1:3" s="75" customFormat="1" x14ac:dyDescent="0.2">
      <c r="A248" s="85" t="s">
        <v>633</v>
      </c>
      <c r="B248" s="243">
        <f>'Excel Calcs'!H104</f>
        <v>24.889999999999993</v>
      </c>
      <c r="C248" s="72" t="s">
        <v>554</v>
      </c>
    </row>
    <row r="249" spans="1:3" s="75" customFormat="1" x14ac:dyDescent="0.2">
      <c r="A249" s="19" t="s">
        <v>1318</v>
      </c>
      <c r="B249" s="243">
        <f>'Excel Calcs'!K8</f>
        <v>1</v>
      </c>
      <c r="C249" s="72" t="s">
        <v>1975</v>
      </c>
    </row>
    <row r="250" spans="1:3" s="75" customFormat="1" x14ac:dyDescent="0.2">
      <c r="A250" s="19" t="s">
        <v>770</v>
      </c>
      <c r="B250" s="243">
        <f>'Excel Calcs'!K10</f>
        <v>14.884899999999995</v>
      </c>
      <c r="C250" s="72" t="s">
        <v>554</v>
      </c>
    </row>
    <row r="251" spans="1:3" s="75" customFormat="1" x14ac:dyDescent="0.2">
      <c r="A251" s="19" t="s">
        <v>1185</v>
      </c>
      <c r="B251" s="243">
        <f>'Excel Calcs'!K11</f>
        <v>21.849999999999994</v>
      </c>
      <c r="C251" s="72" t="s">
        <v>554</v>
      </c>
    </row>
    <row r="252" spans="1:3" s="75" customFormat="1" x14ac:dyDescent="0.2">
      <c r="A252" s="19" t="s">
        <v>1881</v>
      </c>
      <c r="B252" s="243">
        <f>'Excel Calcs'!K12</f>
        <v>71.540000000000006</v>
      </c>
      <c r="C252" s="72" t="s">
        <v>554</v>
      </c>
    </row>
    <row r="253" spans="1:3" s="75" customFormat="1" x14ac:dyDescent="0.2">
      <c r="A253" s="19" t="s">
        <v>1996</v>
      </c>
      <c r="B253" s="243">
        <f>'Excel Calcs'!K14</f>
        <v>77.530599999999993</v>
      </c>
      <c r="C253" s="72" t="s">
        <v>554</v>
      </c>
    </row>
    <row r="254" spans="1:3" s="75" customFormat="1" x14ac:dyDescent="0.2">
      <c r="A254" s="19" t="s">
        <v>1997</v>
      </c>
      <c r="B254" s="243">
        <f>'Excel Calcs'!K15</f>
        <v>6</v>
      </c>
      <c r="C254" s="72" t="s">
        <v>554</v>
      </c>
    </row>
    <row r="255" spans="1:3" s="75" customFormat="1" x14ac:dyDescent="0.2">
      <c r="A255" s="19" t="s">
        <v>1998</v>
      </c>
      <c r="B255" s="243">
        <f>'Excel Calcs'!K17</f>
        <v>1.92</v>
      </c>
      <c r="C255" s="72" t="s">
        <v>554</v>
      </c>
    </row>
    <row r="256" spans="1:3" s="75" customFormat="1" x14ac:dyDescent="0.2">
      <c r="A256" s="19" t="s">
        <v>624</v>
      </c>
      <c r="B256" s="243">
        <f>'Excel Calcs'!K18</f>
        <v>0.2</v>
      </c>
      <c r="C256" s="72" t="s">
        <v>554</v>
      </c>
    </row>
    <row r="257" spans="1:3" s="75" customFormat="1" x14ac:dyDescent="0.2">
      <c r="A257" s="19" t="s">
        <v>757</v>
      </c>
      <c r="B257" s="243">
        <f>'Excel Calcs'!K19</f>
        <v>0.34300000000000003</v>
      </c>
      <c r="C257" s="72" t="s">
        <v>554</v>
      </c>
    </row>
    <row r="258" spans="1:3" s="75" customFormat="1" x14ac:dyDescent="0.2">
      <c r="A258" s="19" t="s">
        <v>625</v>
      </c>
      <c r="B258" s="243">
        <f>'Excel Calcs'!K20</f>
        <v>52.979243333333322</v>
      </c>
      <c r="C258" s="72" t="s">
        <v>1975</v>
      </c>
    </row>
    <row r="259" spans="1:3" s="75" customFormat="1" x14ac:dyDescent="0.2">
      <c r="A259" s="19" t="s">
        <v>2166</v>
      </c>
      <c r="B259" s="243">
        <f>'Excel Calcs'!K21</f>
        <v>0.96</v>
      </c>
      <c r="C259" s="72" t="s">
        <v>554</v>
      </c>
    </row>
    <row r="260" spans="1:3" s="75" customFormat="1" x14ac:dyDescent="0.2">
      <c r="A260" s="19" t="s">
        <v>1786</v>
      </c>
      <c r="B260" s="243">
        <f>'Excel Calcs'!K23</f>
        <v>1</v>
      </c>
      <c r="C260" s="72" t="s">
        <v>1975</v>
      </c>
    </row>
    <row r="261" spans="1:3" s="75" customFormat="1" x14ac:dyDescent="0.2">
      <c r="A261" s="19" t="s">
        <v>2116</v>
      </c>
      <c r="B261" s="243">
        <f>'Excel Calcs'!K25</f>
        <v>47.77000000000001</v>
      </c>
      <c r="C261" s="72" t="s">
        <v>554</v>
      </c>
    </row>
    <row r="262" spans="1:3" s="75" customFormat="1" x14ac:dyDescent="0.2">
      <c r="A262" s="19" t="s">
        <v>1999</v>
      </c>
      <c r="B262" s="243">
        <f>'Excel Calcs'!K26</f>
        <v>6</v>
      </c>
      <c r="C262" s="72" t="s">
        <v>554</v>
      </c>
    </row>
    <row r="263" spans="1:3" s="75" customFormat="1" x14ac:dyDescent="0.2">
      <c r="A263" s="19" t="s">
        <v>2000</v>
      </c>
      <c r="B263" s="243">
        <f>'Excel Calcs'!K28</f>
        <v>1.92</v>
      </c>
      <c r="C263" s="72" t="s">
        <v>554</v>
      </c>
    </row>
    <row r="264" spans="1:3" s="75" customFormat="1" x14ac:dyDescent="0.2">
      <c r="A264" s="19" t="s">
        <v>1877</v>
      </c>
      <c r="B264" s="243">
        <f>'Excel Calcs'!K29</f>
        <v>0.2</v>
      </c>
      <c r="C264" s="72" t="s">
        <v>554</v>
      </c>
    </row>
    <row r="265" spans="1:3" s="75" customFormat="1" x14ac:dyDescent="0.2">
      <c r="A265" s="19" t="s">
        <v>1590</v>
      </c>
      <c r="B265" s="243">
        <f>'Excel Calcs'!K30</f>
        <v>0.34300000000000003</v>
      </c>
      <c r="C265" s="72" t="s">
        <v>554</v>
      </c>
    </row>
    <row r="266" spans="1:3" s="75" customFormat="1" x14ac:dyDescent="0.2">
      <c r="A266" s="19" t="s">
        <v>1878</v>
      </c>
      <c r="B266" s="243">
        <f>'Excel Calcs'!K31</f>
        <v>32.642833333333336</v>
      </c>
      <c r="C266" s="72" t="s">
        <v>1975</v>
      </c>
    </row>
    <row r="267" spans="1:3" s="75" customFormat="1" x14ac:dyDescent="0.2">
      <c r="A267" s="19" t="s">
        <v>660</v>
      </c>
      <c r="B267" s="243">
        <f>'Excel Calcs'!K32</f>
        <v>1.1304000000000001</v>
      </c>
      <c r="C267" s="72" t="s">
        <v>554</v>
      </c>
    </row>
    <row r="268" spans="1:3" s="75" customFormat="1" x14ac:dyDescent="0.2">
      <c r="A268" s="19" t="s">
        <v>2169</v>
      </c>
      <c r="B268" s="243">
        <f>'Excel Calcs'!K34</f>
        <v>0</v>
      </c>
      <c r="C268" s="72" t="s">
        <v>554</v>
      </c>
    </row>
    <row r="269" spans="1:3" s="75" customFormat="1" x14ac:dyDescent="0.2">
      <c r="A269" s="19" t="s">
        <v>1370</v>
      </c>
      <c r="B269" s="243">
        <f>'Excel Calcs'!K35</f>
        <v>1</v>
      </c>
      <c r="C269" s="72" t="s">
        <v>1975</v>
      </c>
    </row>
    <row r="270" spans="1:3" s="75" customFormat="1" x14ac:dyDescent="0.2">
      <c r="A270" s="19" t="s">
        <v>1065</v>
      </c>
      <c r="B270" s="243">
        <f>'Excel Calcs'!K36</f>
        <v>1</v>
      </c>
      <c r="C270" s="72" t="s">
        <v>1975</v>
      </c>
    </row>
    <row r="271" spans="1:3" s="75" customFormat="1" x14ac:dyDescent="0.2">
      <c r="A271" s="19" t="s">
        <v>1788</v>
      </c>
      <c r="B271" s="243">
        <f>'Excel Calcs'!K37</f>
        <v>37.544599999999996</v>
      </c>
      <c r="C271" s="72" t="s">
        <v>554</v>
      </c>
    </row>
    <row r="272" spans="1:3" s="75" customFormat="1" x14ac:dyDescent="0.2">
      <c r="A272" s="19" t="s">
        <v>1373</v>
      </c>
      <c r="B272" s="243">
        <f>'Excel Calcs'!K38</f>
        <v>46.695</v>
      </c>
      <c r="C272" s="72" t="s">
        <v>554</v>
      </c>
    </row>
    <row r="273" spans="1:3" s="75" customFormat="1" x14ac:dyDescent="0.2">
      <c r="A273" s="19" t="s">
        <v>1372</v>
      </c>
      <c r="B273" s="243">
        <f>'Excel Calcs'!K39</f>
        <v>22.75</v>
      </c>
      <c r="C273" s="72" t="s">
        <v>554</v>
      </c>
    </row>
    <row r="274" spans="1:3" s="75" customFormat="1" x14ac:dyDescent="0.2">
      <c r="A274" s="19" t="s">
        <v>1066</v>
      </c>
      <c r="B274" s="243">
        <f>'Excel Calcs'!K40</f>
        <v>46.695</v>
      </c>
      <c r="C274" s="72" t="s">
        <v>554</v>
      </c>
    </row>
    <row r="275" spans="1:3" s="75" customFormat="1" x14ac:dyDescent="0.2">
      <c r="A275" s="19" t="s">
        <v>262</v>
      </c>
      <c r="B275" s="243">
        <f>'Excel Calcs'!K42</f>
        <v>47.77000000000001</v>
      </c>
      <c r="C275" s="72" t="s">
        <v>554</v>
      </c>
    </row>
    <row r="276" spans="1:3" s="75" customFormat="1" x14ac:dyDescent="0.2">
      <c r="A276" s="19" t="s">
        <v>263</v>
      </c>
      <c r="B276" s="243">
        <f>'Excel Calcs'!K43</f>
        <v>6</v>
      </c>
      <c r="C276" s="72" t="s">
        <v>554</v>
      </c>
    </row>
    <row r="277" spans="1:3" s="75" customFormat="1" x14ac:dyDescent="0.2">
      <c r="A277" s="19" t="s">
        <v>1371</v>
      </c>
      <c r="B277" s="243">
        <f>'Excel Calcs'!K44</f>
        <v>8.1999999999999993</v>
      </c>
      <c r="C277" s="72" t="s">
        <v>554</v>
      </c>
    </row>
    <row r="278" spans="1:3" s="75" customFormat="1" x14ac:dyDescent="0.2">
      <c r="A278" s="19" t="s">
        <v>117</v>
      </c>
      <c r="B278" s="243">
        <f>'Excel Calcs'!K45</f>
        <v>1.92</v>
      </c>
      <c r="C278" s="72" t="s">
        <v>554</v>
      </c>
    </row>
    <row r="279" spans="1:3" s="75" customFormat="1" x14ac:dyDescent="0.2">
      <c r="A279" s="19" t="s">
        <v>2164</v>
      </c>
      <c r="B279" s="243">
        <f>'Excel Calcs'!K46</f>
        <v>0.2</v>
      </c>
      <c r="C279" s="72" t="s">
        <v>554</v>
      </c>
    </row>
    <row r="280" spans="1:3" s="75" customFormat="1" x14ac:dyDescent="0.2">
      <c r="A280" s="19" t="s">
        <v>1787</v>
      </c>
      <c r="B280" s="243">
        <f>'Excel Calcs'!K47</f>
        <v>0.34300000000000003</v>
      </c>
      <c r="C280" s="72" t="s">
        <v>554</v>
      </c>
    </row>
    <row r="281" spans="1:3" s="75" customFormat="1" x14ac:dyDescent="0.2">
      <c r="A281" s="19" t="s">
        <v>2165</v>
      </c>
      <c r="B281" s="243">
        <f>'Excel Calcs'!K48</f>
        <v>32.642833333333336</v>
      </c>
      <c r="C281" s="72" t="s">
        <v>1975</v>
      </c>
    </row>
    <row r="282" spans="1:3" s="75" customFormat="1" x14ac:dyDescent="0.2">
      <c r="A282" s="19" t="s">
        <v>275</v>
      </c>
      <c r="B282" s="243">
        <f>'Excel Calcs'!K49</f>
        <v>1.1304000000000001</v>
      </c>
      <c r="C282" s="72" t="s">
        <v>554</v>
      </c>
    </row>
    <row r="283" spans="1:3" s="75" customFormat="1" x14ac:dyDescent="0.2">
      <c r="A283" s="19" t="s">
        <v>276</v>
      </c>
      <c r="B283" s="243">
        <f>'Excel Calcs'!K50</f>
        <v>1.1304000000000001</v>
      </c>
      <c r="C283" s="72" t="s">
        <v>554</v>
      </c>
    </row>
    <row r="284" spans="1:3" s="75" customFormat="1" x14ac:dyDescent="0.2">
      <c r="A284" s="19" t="s">
        <v>1224</v>
      </c>
      <c r="B284" s="243">
        <f>'Excel Calcs'!K52</f>
        <v>0</v>
      </c>
      <c r="C284" s="72" t="s">
        <v>1975</v>
      </c>
    </row>
    <row r="285" spans="1:3" s="75" customFormat="1" x14ac:dyDescent="0.2">
      <c r="A285" s="19" t="s">
        <v>1222</v>
      </c>
      <c r="B285" s="243">
        <f>'Excel Calcs'!K53</f>
        <v>47.951799999999999</v>
      </c>
      <c r="C285" s="72" t="s">
        <v>554</v>
      </c>
    </row>
    <row r="286" spans="1:3" s="75" customFormat="1" x14ac:dyDescent="0.2">
      <c r="A286" s="19" t="s">
        <v>934</v>
      </c>
      <c r="B286" s="243">
        <f>'Excel Calcs'!K54</f>
        <v>57.220999999999997</v>
      </c>
      <c r="C286" s="72" t="s">
        <v>554</v>
      </c>
    </row>
    <row r="287" spans="1:3" s="75" customFormat="1" x14ac:dyDescent="0.2">
      <c r="A287" s="19" t="s">
        <v>804</v>
      </c>
      <c r="B287" s="243">
        <f>'Excel Calcs'!K56</f>
        <v>43.025599999999997</v>
      </c>
      <c r="C287" s="72" t="s">
        <v>554</v>
      </c>
    </row>
    <row r="288" spans="1:3" s="75" customFormat="1" x14ac:dyDescent="0.2">
      <c r="A288" s="19" t="s">
        <v>664</v>
      </c>
      <c r="B288" s="243">
        <f>'Excel Calcs'!K57</f>
        <v>6</v>
      </c>
      <c r="C288" s="72" t="s">
        <v>554</v>
      </c>
    </row>
    <row r="289" spans="1:5" x14ac:dyDescent="0.2">
      <c r="A289" s="19" t="s">
        <v>805</v>
      </c>
      <c r="B289" s="243">
        <f>'Excel Calcs'!K58</f>
        <v>8.1999999999999993</v>
      </c>
      <c r="C289" s="72" t="s">
        <v>554</v>
      </c>
      <c r="D289" s="75"/>
      <c r="E289" s="75"/>
    </row>
    <row r="290" spans="1:5" x14ac:dyDescent="0.2">
      <c r="A290" s="19" t="s">
        <v>665</v>
      </c>
      <c r="B290" s="243">
        <f>'Excel Calcs'!K59</f>
        <v>1.92</v>
      </c>
      <c r="C290" s="72" t="s">
        <v>554</v>
      </c>
      <c r="D290" s="75"/>
      <c r="E290" s="75"/>
    </row>
    <row r="291" spans="1:5" x14ac:dyDescent="0.2">
      <c r="A291" s="19" t="s">
        <v>271</v>
      </c>
      <c r="B291" s="243">
        <f>'Excel Calcs'!K60</f>
        <v>0.2</v>
      </c>
      <c r="C291" s="72" t="s">
        <v>554</v>
      </c>
      <c r="D291" s="75"/>
      <c r="E291" s="75"/>
    </row>
    <row r="292" spans="1:5" x14ac:dyDescent="0.2">
      <c r="A292" s="19" t="s">
        <v>1377</v>
      </c>
      <c r="B292" s="243">
        <f>'Excel Calcs'!K61</f>
        <v>0.34300000000000003</v>
      </c>
      <c r="C292" s="72" t="s">
        <v>554</v>
      </c>
      <c r="D292" s="75"/>
      <c r="E292" s="75"/>
    </row>
    <row r="293" spans="1:5" x14ac:dyDescent="0.2">
      <c r="A293" s="19" t="s">
        <v>272</v>
      </c>
      <c r="B293" s="243">
        <f>'Excel Calcs'!K62</f>
        <v>29.40082666666666</v>
      </c>
      <c r="C293" s="72" t="s">
        <v>1975</v>
      </c>
      <c r="D293" s="75"/>
      <c r="E293" s="75"/>
    </row>
    <row r="294" spans="1:5" x14ac:dyDescent="0.2">
      <c r="A294" s="19" t="s">
        <v>1491</v>
      </c>
      <c r="B294" s="243">
        <f>'Excel Calcs'!K64</f>
        <v>93.35</v>
      </c>
      <c r="C294" s="72" t="s">
        <v>554</v>
      </c>
      <c r="D294" s="75"/>
      <c r="E294" s="75"/>
    </row>
    <row r="295" spans="1:5" x14ac:dyDescent="0.2">
      <c r="A295" s="19" t="s">
        <v>1220</v>
      </c>
      <c r="B295" s="243">
        <f>'Excel Calcs'!K65</f>
        <v>-15.88</v>
      </c>
      <c r="C295" s="72" t="s">
        <v>554</v>
      </c>
      <c r="D295" s="75"/>
      <c r="E295" s="75"/>
    </row>
    <row r="296" spans="1:5" x14ac:dyDescent="0.2">
      <c r="A296" s="19" t="s">
        <v>358</v>
      </c>
      <c r="B296" s="243">
        <f>'Excel Calcs'!K67</f>
        <v>16</v>
      </c>
      <c r="C296" s="72" t="s">
        <v>554</v>
      </c>
      <c r="D296" s="75"/>
      <c r="E296" s="75"/>
    </row>
    <row r="297" spans="1:5" x14ac:dyDescent="0.2">
      <c r="A297" s="19" t="s">
        <v>886</v>
      </c>
      <c r="B297" s="243">
        <f>'Excel Calcs'!K69</f>
        <v>21.25</v>
      </c>
      <c r="C297" s="72" t="s">
        <v>554</v>
      </c>
      <c r="D297" s="75"/>
      <c r="E297" s="75"/>
    </row>
    <row r="298" spans="1:5" x14ac:dyDescent="0.2">
      <c r="A298" s="19" t="s">
        <v>755</v>
      </c>
      <c r="B298" s="243">
        <f>'Excel Calcs'!K70</f>
        <v>4</v>
      </c>
      <c r="C298" s="72" t="s">
        <v>554</v>
      </c>
      <c r="D298" s="75"/>
      <c r="E298" s="75"/>
    </row>
    <row r="299" spans="1:5" x14ac:dyDescent="0.2">
      <c r="A299" s="19" t="s">
        <v>756</v>
      </c>
      <c r="B299" s="243">
        <f>'Excel Calcs'!K72</f>
        <v>1.5840000000000001</v>
      </c>
      <c r="C299" s="72" t="s">
        <v>554</v>
      </c>
      <c r="D299" s="75"/>
      <c r="E299" s="75"/>
    </row>
    <row r="300" spans="1:5" x14ac:dyDescent="0.2">
      <c r="A300" s="19" t="s">
        <v>1994</v>
      </c>
      <c r="B300" s="243">
        <f>'Excel Calcs'!K73</f>
        <v>0.184</v>
      </c>
      <c r="C300" s="72" t="s">
        <v>554</v>
      </c>
      <c r="D300" s="75"/>
      <c r="E300" s="75"/>
    </row>
    <row r="301" spans="1:5" x14ac:dyDescent="0.2">
      <c r="A301" s="19" t="s">
        <v>2115</v>
      </c>
      <c r="B301" s="243">
        <f>'Excel Calcs'!K74</f>
        <v>0.29599999999999999</v>
      </c>
      <c r="C301" s="72" t="s">
        <v>554</v>
      </c>
      <c r="D301" s="75"/>
      <c r="E301" s="75"/>
    </row>
    <row r="302" spans="1:5" x14ac:dyDescent="0.2">
      <c r="A302" s="19" t="s">
        <v>1995</v>
      </c>
      <c r="B302" s="243">
        <f>'Excel Calcs'!K75</f>
        <v>9.5625</v>
      </c>
      <c r="C302" s="72" t="s">
        <v>1975</v>
      </c>
      <c r="D302" s="75"/>
      <c r="E302" s="75"/>
    </row>
    <row r="303" spans="1:5" x14ac:dyDescent="0.2">
      <c r="A303" s="19" t="s">
        <v>1744</v>
      </c>
      <c r="B303" s="243">
        <f>'Excel Calcs'!K81</f>
        <v>1</v>
      </c>
      <c r="C303" s="72" t="s">
        <v>1975</v>
      </c>
      <c r="D303" s="75"/>
      <c r="E303" s="75"/>
    </row>
    <row r="304" spans="1:5" x14ac:dyDescent="0.2">
      <c r="A304" s="19" t="s">
        <v>1757</v>
      </c>
      <c r="B304" s="243">
        <f>'Excel Calcs'!K83</f>
        <v>2</v>
      </c>
      <c r="C304" s="72" t="s">
        <v>1975</v>
      </c>
      <c r="D304" s="75"/>
      <c r="E304" s="75"/>
    </row>
    <row r="305" spans="1:5" x14ac:dyDescent="0.2">
      <c r="A305" s="19" t="s">
        <v>368</v>
      </c>
      <c r="B305" s="243">
        <f>'Excel Calcs'!K84</f>
        <v>0</v>
      </c>
      <c r="C305" s="72" t="s">
        <v>1975</v>
      </c>
      <c r="D305" s="75"/>
      <c r="E305" s="75"/>
    </row>
    <row r="306" spans="1:5" x14ac:dyDescent="0.2">
      <c r="A306" s="19" t="s">
        <v>1610</v>
      </c>
      <c r="B306" s="243">
        <f>'Excel Calcs'!K85</f>
        <v>2</v>
      </c>
      <c r="C306" s="72" t="s">
        <v>1975</v>
      </c>
      <c r="D306" s="75"/>
      <c r="E306" s="75"/>
    </row>
    <row r="307" spans="1:5" x14ac:dyDescent="0.2">
      <c r="A307" s="19" t="s">
        <v>638</v>
      </c>
      <c r="B307" s="243">
        <f>'Excel Calcs'!K86</f>
        <v>0</v>
      </c>
      <c r="C307" s="72" t="s">
        <v>1975</v>
      </c>
      <c r="D307" s="75"/>
      <c r="E307" s="75"/>
    </row>
    <row r="308" spans="1:5" x14ac:dyDescent="0.2">
      <c r="A308" s="19" t="s">
        <v>1339</v>
      </c>
      <c r="B308" s="243">
        <f>'Excel Calcs'!K87</f>
        <v>2</v>
      </c>
      <c r="C308" s="72" t="s">
        <v>1975</v>
      </c>
      <c r="D308" s="75"/>
      <c r="E308" s="75"/>
    </row>
    <row r="309" spans="1:5" x14ac:dyDescent="0.2">
      <c r="A309" s="19" t="s">
        <v>1039</v>
      </c>
      <c r="B309" s="243">
        <f>'Excel Calcs'!K88</f>
        <v>0</v>
      </c>
      <c r="C309" s="72" t="s">
        <v>1975</v>
      </c>
      <c r="D309" s="75"/>
      <c r="E309" s="75"/>
    </row>
    <row r="310" spans="1:5" x14ac:dyDescent="0.2">
      <c r="A310" s="19" t="s">
        <v>1184</v>
      </c>
      <c r="B310" s="243">
        <f>'Excel Calcs'!K89</f>
        <v>2</v>
      </c>
      <c r="C310" s="72" t="s">
        <v>1975</v>
      </c>
      <c r="D310" s="75"/>
      <c r="E310" s="75"/>
    </row>
    <row r="311" spans="1:5" x14ac:dyDescent="0.2">
      <c r="A311" s="19" t="s">
        <v>1340</v>
      </c>
      <c r="B311" s="243">
        <f>'Excel Calcs'!K90</f>
        <v>0</v>
      </c>
      <c r="C311" s="72" t="s">
        <v>1975</v>
      </c>
      <c r="D311" s="75"/>
      <c r="E311" s="75"/>
    </row>
    <row r="312" spans="1:5" x14ac:dyDescent="0.2">
      <c r="A312" s="19" t="s">
        <v>1884</v>
      </c>
      <c r="B312" s="243">
        <f>'Excel Calcs'!K91</f>
        <v>4</v>
      </c>
      <c r="C312" s="72" t="s">
        <v>554</v>
      </c>
      <c r="D312" s="75"/>
      <c r="E312" s="75"/>
    </row>
    <row r="313" spans="1:5" x14ac:dyDescent="0.2">
      <c r="A313" s="19" t="s">
        <v>1885</v>
      </c>
      <c r="B313" s="243">
        <f>'Excel Calcs'!K92</f>
        <v>6</v>
      </c>
      <c r="C313" s="72" t="s">
        <v>554</v>
      </c>
      <c r="D313" s="75"/>
      <c r="E313" s="75"/>
    </row>
    <row r="314" spans="1:5" x14ac:dyDescent="0.2">
      <c r="A314" s="19" t="s">
        <v>1883</v>
      </c>
      <c r="B314" s="243">
        <f>'Excel Calcs'!K93</f>
        <v>8</v>
      </c>
      <c r="C314" s="72" t="s">
        <v>554</v>
      </c>
      <c r="D314" s="75"/>
      <c r="E314" s="75"/>
    </row>
    <row r="315" spans="1:5" x14ac:dyDescent="0.2">
      <c r="A315" s="19" t="s">
        <v>627</v>
      </c>
      <c r="B315" s="243">
        <f>'Excel Calcs'!K94</f>
        <v>0.5</v>
      </c>
      <c r="C315" s="72" t="s">
        <v>554</v>
      </c>
      <c r="D315" s="75"/>
      <c r="E315" s="75"/>
    </row>
    <row r="316" spans="1:5" x14ac:dyDescent="0.2">
      <c r="A316" s="19" t="s">
        <v>1321</v>
      </c>
      <c r="B316" s="243">
        <f>'Excel Calcs'!K95</f>
        <v>0.5</v>
      </c>
      <c r="C316" s="72" t="s">
        <v>554</v>
      </c>
      <c r="D316" s="75"/>
      <c r="E316" s="75"/>
    </row>
    <row r="317" spans="1:5" x14ac:dyDescent="0.2">
      <c r="A317" s="19" t="s">
        <v>1322</v>
      </c>
      <c r="B317" s="243">
        <f>'Excel Calcs'!K96</f>
        <v>2</v>
      </c>
      <c r="C317" s="72" t="s">
        <v>554</v>
      </c>
      <c r="D317" s="75"/>
      <c r="E317" s="75"/>
    </row>
    <row r="318" spans="1:5" x14ac:dyDescent="0.2">
      <c r="A318" s="19" t="s">
        <v>1887</v>
      </c>
      <c r="B318" s="243">
        <f>'Excel Calcs'!K97</f>
        <v>1.25</v>
      </c>
      <c r="C318" s="72" t="s">
        <v>554</v>
      </c>
      <c r="D318" s="75"/>
      <c r="E318" s="75"/>
    </row>
    <row r="319" spans="1:5" x14ac:dyDescent="0.2">
      <c r="A319" s="19" t="s">
        <v>2125</v>
      </c>
      <c r="B319" s="243">
        <f>'Excel Calcs'!K98</f>
        <v>0.625</v>
      </c>
      <c r="C319" s="72" t="s">
        <v>554</v>
      </c>
      <c r="D319" s="75"/>
      <c r="E319" s="75"/>
    </row>
    <row r="320" spans="1:5" x14ac:dyDescent="0.2">
      <c r="A320" s="19" t="s">
        <v>492</v>
      </c>
      <c r="B320" s="243">
        <f>'Excel Calcs'!K99</f>
        <v>0.875</v>
      </c>
      <c r="C320" s="72" t="s">
        <v>554</v>
      </c>
      <c r="D320" s="75"/>
      <c r="E320" s="75"/>
    </row>
    <row r="321" spans="1:5" x14ac:dyDescent="0.2">
      <c r="A321" s="19" t="s">
        <v>628</v>
      </c>
      <c r="B321" s="243">
        <f>'Excel Calcs'!K100</f>
        <v>10.799999999999999</v>
      </c>
      <c r="C321" s="72" t="s">
        <v>1975</v>
      </c>
      <c r="D321" s="75"/>
      <c r="E321" s="75"/>
    </row>
    <row r="322" spans="1:5" x14ac:dyDescent="0.2">
      <c r="A322" s="19" t="s">
        <v>1756</v>
      </c>
      <c r="B322" s="243">
        <f>'Excel Calcs'!K102</f>
        <v>1</v>
      </c>
      <c r="C322" s="72" t="s">
        <v>554</v>
      </c>
      <c r="D322" s="75"/>
      <c r="E322" s="75"/>
    </row>
    <row r="323" spans="1:5" x14ac:dyDescent="0.2">
      <c r="A323" s="19" t="s">
        <v>1609</v>
      </c>
      <c r="B323" s="243">
        <f>'Excel Calcs'!K103</f>
        <v>1</v>
      </c>
      <c r="C323" s="72" t="s">
        <v>554</v>
      </c>
      <c r="D323" s="75"/>
      <c r="E323" s="75"/>
    </row>
    <row r="324" spans="1:5" x14ac:dyDescent="0.2">
      <c r="A324" s="19" t="s">
        <v>1466</v>
      </c>
      <c r="B324" s="243">
        <f>'Excel Calcs'!K104</f>
        <v>1</v>
      </c>
      <c r="C324" s="72" t="s">
        <v>554</v>
      </c>
      <c r="D324" s="75"/>
      <c r="E324" s="75"/>
    </row>
    <row r="325" spans="1:5" x14ac:dyDescent="0.2">
      <c r="A325" s="19" t="s">
        <v>1183</v>
      </c>
      <c r="B325" s="243">
        <f>'Excel Calcs'!K105</f>
        <v>1</v>
      </c>
      <c r="C325" s="72" t="s">
        <v>554</v>
      </c>
      <c r="D325" s="75"/>
      <c r="E325" s="75"/>
    </row>
    <row r="326" spans="1:5" x14ac:dyDescent="0.2">
      <c r="A326" s="19" t="s">
        <v>228</v>
      </c>
      <c r="B326" s="243">
        <f>'Excel Calcs'!K106</f>
        <v>1.92</v>
      </c>
      <c r="C326" s="72" t="s">
        <v>554</v>
      </c>
      <c r="D326" s="75"/>
      <c r="E326" s="75"/>
    </row>
    <row r="327" spans="1:5" x14ac:dyDescent="0.2">
      <c r="A327" s="19" t="s">
        <v>2119</v>
      </c>
      <c r="B327" s="243">
        <f>'Excel Calcs'!N9</f>
        <v>0</v>
      </c>
      <c r="C327" s="72" t="s">
        <v>1975</v>
      </c>
      <c r="D327" s="75"/>
      <c r="E327" s="75"/>
    </row>
    <row r="328" spans="1:5" x14ac:dyDescent="0.2">
      <c r="A328" s="19" t="s">
        <v>1892</v>
      </c>
      <c r="B328" s="243">
        <f>'Excel Calcs'!N11</f>
        <v>0.75</v>
      </c>
      <c r="C328" s="72" t="s">
        <v>554</v>
      </c>
      <c r="D328" s="75"/>
      <c r="E328" s="75"/>
    </row>
    <row r="329" spans="1:5" x14ac:dyDescent="0.2">
      <c r="A329" s="19" t="s">
        <v>2011</v>
      </c>
      <c r="B329" s="243">
        <f>'Excel Calcs'!N12</f>
        <v>2</v>
      </c>
      <c r="C329" s="72" t="s">
        <v>554</v>
      </c>
      <c r="D329" s="75"/>
      <c r="E329" s="75"/>
    </row>
    <row r="330" spans="1:5" x14ac:dyDescent="0.2">
      <c r="A330" s="19" t="s">
        <v>364</v>
      </c>
      <c r="B330" s="243">
        <f>'Excel Calcs'!N13</f>
        <v>1.25</v>
      </c>
      <c r="C330" s="72" t="s">
        <v>554</v>
      </c>
      <c r="D330" s="75"/>
      <c r="E330" s="75"/>
    </row>
    <row r="331" spans="1:5" x14ac:dyDescent="0.2">
      <c r="A331" s="19" t="s">
        <v>764</v>
      </c>
      <c r="B331" s="243">
        <f>'Excel Calcs'!N14</f>
        <v>0.625</v>
      </c>
      <c r="C331" s="72" t="s">
        <v>554</v>
      </c>
      <c r="D331" s="75"/>
      <c r="E331" s="75"/>
    </row>
    <row r="332" spans="1:5" x14ac:dyDescent="0.2">
      <c r="A332" s="19" t="s">
        <v>1458</v>
      </c>
      <c r="B332" s="243">
        <f>'Excel Calcs'!N15</f>
        <v>0.875</v>
      </c>
      <c r="C332" s="72" t="s">
        <v>554</v>
      </c>
      <c r="D332" s="75"/>
      <c r="E332" s="75"/>
    </row>
    <row r="333" spans="1:5" x14ac:dyDescent="0.2">
      <c r="A333" s="19" t="s">
        <v>365</v>
      </c>
      <c r="B333" s="243">
        <f>'Excel Calcs'!N18</f>
        <v>74.63</v>
      </c>
      <c r="C333" s="72" t="s">
        <v>554</v>
      </c>
      <c r="D333" s="75"/>
      <c r="E333" s="75"/>
    </row>
    <row r="334" spans="1:5" x14ac:dyDescent="0.2">
      <c r="A334" s="19" t="s">
        <v>224</v>
      </c>
      <c r="B334" s="243">
        <f>'Excel Calcs'!N19</f>
        <v>4</v>
      </c>
      <c r="C334" s="72" t="s">
        <v>554</v>
      </c>
      <c r="D334" s="75"/>
      <c r="E334" s="75"/>
    </row>
    <row r="335" spans="1:5" x14ac:dyDescent="0.2">
      <c r="A335" s="19" t="s">
        <v>225</v>
      </c>
      <c r="B335" s="243">
        <f>'Excel Calcs'!N20</f>
        <v>3</v>
      </c>
      <c r="C335" s="72" t="s">
        <v>554</v>
      </c>
      <c r="D335" s="75"/>
      <c r="E335" s="75"/>
    </row>
    <row r="336" spans="1:5" x14ac:dyDescent="0.2">
      <c r="A336" s="19" t="s">
        <v>893</v>
      </c>
      <c r="B336" s="243">
        <f>'Excel Calcs'!N21</f>
        <v>0.375</v>
      </c>
      <c r="C336" s="72" t="s">
        <v>554</v>
      </c>
      <c r="D336" s="75"/>
      <c r="E336" s="75"/>
    </row>
    <row r="337" spans="1:5" x14ac:dyDescent="0.2">
      <c r="A337" s="19" t="s">
        <v>1459</v>
      </c>
      <c r="B337" s="243">
        <f>'Excel Calcs'!N22</f>
        <v>0.5</v>
      </c>
      <c r="C337" s="72" t="s">
        <v>554</v>
      </c>
      <c r="D337" s="75"/>
      <c r="E337" s="75"/>
    </row>
    <row r="338" spans="1:5" x14ac:dyDescent="0.2">
      <c r="A338" s="19" t="s">
        <v>894</v>
      </c>
      <c r="B338" s="243">
        <f>'Excel Calcs'!N23</f>
        <v>52.862916666666663</v>
      </c>
      <c r="C338" s="72" t="s">
        <v>1975</v>
      </c>
      <c r="D338" s="75"/>
      <c r="E338" s="75"/>
    </row>
    <row r="339" spans="1:5" x14ac:dyDescent="0.2">
      <c r="A339" s="19" t="s">
        <v>503</v>
      </c>
      <c r="B339" s="243">
        <f>'Excel Calcs'!N25</f>
        <v>15.939999999999998</v>
      </c>
      <c r="C339" s="72" t="s">
        <v>554</v>
      </c>
      <c r="D339" s="75"/>
      <c r="E339" s="75"/>
    </row>
    <row r="340" spans="1:5" x14ac:dyDescent="0.2">
      <c r="A340" s="19" t="s">
        <v>91</v>
      </c>
      <c r="B340" s="243">
        <f>'Excel Calcs'!N26</f>
        <v>24.809999999999995</v>
      </c>
      <c r="C340" s="72" t="s">
        <v>554</v>
      </c>
      <c r="D340" s="75"/>
      <c r="E340" s="75"/>
    </row>
    <row r="341" spans="1:5" x14ac:dyDescent="0.2">
      <c r="A341" s="19" t="s">
        <v>231</v>
      </c>
      <c r="B341" s="243">
        <f>'Excel Calcs'!N28</f>
        <v>0</v>
      </c>
      <c r="C341" s="72" t="s">
        <v>1975</v>
      </c>
      <c r="D341" s="75"/>
      <c r="E341" s="75"/>
    </row>
    <row r="342" spans="1:5" x14ac:dyDescent="0.2">
      <c r="A342" s="19" t="s">
        <v>1334</v>
      </c>
      <c r="B342" s="243">
        <f>'Excel Calcs'!N30</f>
        <v>74.63</v>
      </c>
      <c r="C342" s="72" t="s">
        <v>554</v>
      </c>
      <c r="D342" s="75"/>
      <c r="E342" s="75"/>
    </row>
    <row r="343" spans="1:5" x14ac:dyDescent="0.2">
      <c r="A343" s="19" t="s">
        <v>1180</v>
      </c>
      <c r="B343" s="243">
        <f>'Excel Calcs'!N31</f>
        <v>4</v>
      </c>
      <c r="C343" s="72" t="s">
        <v>554</v>
      </c>
      <c r="D343" s="75"/>
      <c r="E343" s="75"/>
    </row>
    <row r="344" spans="1:5" x14ac:dyDescent="0.2">
      <c r="A344" s="19" t="s">
        <v>1181</v>
      </c>
      <c r="B344" s="243">
        <f>'Excel Calcs'!N32</f>
        <v>3</v>
      </c>
      <c r="C344" s="72" t="s">
        <v>554</v>
      </c>
      <c r="D344" s="75"/>
      <c r="E344" s="75"/>
    </row>
    <row r="345" spans="1:5" x14ac:dyDescent="0.2">
      <c r="A345" s="19" t="s">
        <v>2133</v>
      </c>
      <c r="B345" s="243">
        <f>'Excel Calcs'!N33</f>
        <v>0.375</v>
      </c>
      <c r="C345" s="72" t="s">
        <v>554</v>
      </c>
      <c r="D345" s="75"/>
      <c r="E345" s="75"/>
    </row>
    <row r="346" spans="1:5" x14ac:dyDescent="0.2">
      <c r="A346" s="19" t="s">
        <v>367</v>
      </c>
      <c r="B346" s="243">
        <f>'Excel Calcs'!N34</f>
        <v>0.5</v>
      </c>
      <c r="C346" s="72" t="s">
        <v>554</v>
      </c>
      <c r="D346" s="75"/>
      <c r="E346" s="75"/>
    </row>
    <row r="347" spans="1:5" x14ac:dyDescent="0.2">
      <c r="A347" s="19" t="s">
        <v>2134</v>
      </c>
      <c r="B347" s="243">
        <f>'Excel Calcs'!N35</f>
        <v>52.862916666666663</v>
      </c>
      <c r="C347" s="72" t="s">
        <v>1975</v>
      </c>
      <c r="D347" s="75"/>
      <c r="E347" s="75"/>
    </row>
    <row r="348" spans="1:5" x14ac:dyDescent="0.2">
      <c r="A348" s="19" t="s">
        <v>1755</v>
      </c>
      <c r="B348" s="243">
        <f>'Excel Calcs'!N36</f>
        <v>1.5</v>
      </c>
      <c r="C348" s="72" t="s">
        <v>554</v>
      </c>
      <c r="D348" s="75"/>
      <c r="E348" s="75"/>
    </row>
    <row r="349" spans="1:5" x14ac:dyDescent="0.2">
      <c r="A349" s="19" t="s">
        <v>1182</v>
      </c>
      <c r="B349" s="243">
        <f>'Excel Calcs'!N37</f>
        <v>40.809999999999995</v>
      </c>
      <c r="C349" s="72" t="s">
        <v>554</v>
      </c>
      <c r="D349" s="75"/>
      <c r="E349" s="75"/>
    </row>
    <row r="350" spans="1:5" x14ac:dyDescent="0.2">
      <c r="A350" s="19" t="s">
        <v>1175</v>
      </c>
      <c r="B350" s="243">
        <f>'Excel Calcs'!N40</f>
        <v>74.63</v>
      </c>
      <c r="C350" s="72" t="s">
        <v>554</v>
      </c>
      <c r="D350" s="75"/>
      <c r="E350" s="75"/>
    </row>
    <row r="351" spans="1:5" x14ac:dyDescent="0.2">
      <c r="A351" s="19" t="s">
        <v>1025</v>
      </c>
      <c r="B351" s="243">
        <f>'Excel Calcs'!N41</f>
        <v>4</v>
      </c>
      <c r="C351" s="72" t="s">
        <v>554</v>
      </c>
      <c r="D351" s="75"/>
      <c r="E351" s="75"/>
    </row>
    <row r="352" spans="1:5" x14ac:dyDescent="0.2">
      <c r="A352" s="19" t="s">
        <v>1026</v>
      </c>
      <c r="B352" s="243">
        <f>'Excel Calcs'!N42</f>
        <v>3</v>
      </c>
      <c r="C352" s="72" t="s">
        <v>554</v>
      </c>
      <c r="D352" s="75"/>
      <c r="E352" s="75"/>
    </row>
    <row r="353" spans="1:5" x14ac:dyDescent="0.2">
      <c r="A353" s="19" t="s">
        <v>81</v>
      </c>
      <c r="B353" s="243">
        <f>'Excel Calcs'!N43</f>
        <v>0.375</v>
      </c>
      <c r="C353" s="72" t="s">
        <v>554</v>
      </c>
      <c r="D353" s="75"/>
      <c r="E353" s="75"/>
    </row>
    <row r="354" spans="1:5" x14ac:dyDescent="0.2">
      <c r="A354" s="19" t="s">
        <v>1748</v>
      </c>
      <c r="B354" s="243">
        <f>'Excel Calcs'!N44</f>
        <v>0.5</v>
      </c>
      <c r="C354" s="72" t="s">
        <v>554</v>
      </c>
      <c r="D354" s="75"/>
      <c r="E354" s="75"/>
    </row>
    <row r="355" spans="1:5" x14ac:dyDescent="0.2">
      <c r="A355" s="19" t="s">
        <v>82</v>
      </c>
      <c r="B355" s="243">
        <f>'Excel Calcs'!N45</f>
        <v>52.862916666666663</v>
      </c>
      <c r="C355" s="72" t="s">
        <v>1975</v>
      </c>
      <c r="D355" s="75"/>
      <c r="E355" s="75"/>
    </row>
    <row r="356" spans="1:5" x14ac:dyDescent="0.2">
      <c r="A356" s="19" t="s">
        <v>1456</v>
      </c>
      <c r="B356" s="243">
        <f>'Excel Calcs'!N46</f>
        <v>1.5</v>
      </c>
      <c r="C356" s="72" t="s">
        <v>554</v>
      </c>
      <c r="D356" s="75"/>
      <c r="E356" s="75"/>
    </row>
    <row r="357" spans="1:5" x14ac:dyDescent="0.2">
      <c r="A357" s="19" t="s">
        <v>1742</v>
      </c>
      <c r="B357" s="243">
        <f>'Excel Calcs'!N47</f>
        <v>71</v>
      </c>
      <c r="C357" s="72" t="s">
        <v>554</v>
      </c>
      <c r="D357" s="75"/>
      <c r="E357" s="75"/>
    </row>
    <row r="358" spans="1:5" x14ac:dyDescent="0.2">
      <c r="A358" s="19" t="s">
        <v>2034</v>
      </c>
      <c r="B358" s="243">
        <f>'Excel Calcs'!N49</f>
        <v>0</v>
      </c>
      <c r="C358" s="72" t="s">
        <v>1975</v>
      </c>
      <c r="D358" s="75"/>
      <c r="E358" s="75"/>
    </row>
    <row r="359" spans="1:5" x14ac:dyDescent="0.2">
      <c r="A359" s="19" t="s">
        <v>1916</v>
      </c>
      <c r="B359" s="243">
        <f>'Excel Calcs'!N51</f>
        <v>42.75</v>
      </c>
      <c r="C359" s="72" t="s">
        <v>554</v>
      </c>
      <c r="D359" s="75"/>
      <c r="E359" s="75"/>
    </row>
    <row r="360" spans="1:5" x14ac:dyDescent="0.2">
      <c r="A360" s="19" t="s">
        <v>1917</v>
      </c>
      <c r="B360" s="243">
        <f>'Excel Calcs'!N52</f>
        <v>4</v>
      </c>
      <c r="C360" s="72" t="s">
        <v>554</v>
      </c>
      <c r="D360" s="75"/>
      <c r="E360" s="75"/>
    </row>
    <row r="361" spans="1:5" x14ac:dyDescent="0.2">
      <c r="A361" s="19" t="s">
        <v>1785</v>
      </c>
      <c r="B361" s="243">
        <f>'Excel Calcs'!N53</f>
        <v>3</v>
      </c>
      <c r="C361" s="72" t="s">
        <v>554</v>
      </c>
      <c r="D361" s="75"/>
      <c r="E361" s="75"/>
    </row>
    <row r="362" spans="1:5" x14ac:dyDescent="0.2">
      <c r="A362" s="19" t="s">
        <v>395</v>
      </c>
      <c r="B362" s="243">
        <f>'Excel Calcs'!N54</f>
        <v>0.375</v>
      </c>
      <c r="C362" s="72" t="s">
        <v>554</v>
      </c>
      <c r="D362" s="75"/>
      <c r="E362" s="75"/>
    </row>
    <row r="363" spans="1:5" x14ac:dyDescent="0.2">
      <c r="A363" s="19" t="s">
        <v>1216</v>
      </c>
      <c r="B363" s="243">
        <f>'Excel Calcs'!N55</f>
        <v>0.5</v>
      </c>
      <c r="C363" s="72" t="s">
        <v>554</v>
      </c>
      <c r="D363" s="75"/>
      <c r="E363" s="75"/>
    </row>
    <row r="364" spans="1:5" x14ac:dyDescent="0.2">
      <c r="A364" s="19" t="s">
        <v>396</v>
      </c>
      <c r="B364" s="243">
        <f>'Excel Calcs'!N56</f>
        <v>30.28125</v>
      </c>
      <c r="C364" s="72" t="s">
        <v>1975</v>
      </c>
      <c r="D364" s="75"/>
      <c r="E364" s="75"/>
    </row>
    <row r="365" spans="1:5" x14ac:dyDescent="0.2">
      <c r="A365" s="19" t="s">
        <v>1217</v>
      </c>
      <c r="B365" s="243">
        <f>'Excel Calcs'!N57</f>
        <v>1.5</v>
      </c>
      <c r="C365" s="72" t="s">
        <v>554</v>
      </c>
      <c r="D365" s="75"/>
      <c r="E365" s="75"/>
    </row>
    <row r="366" spans="1:5" x14ac:dyDescent="0.2">
      <c r="A366" s="19" t="s">
        <v>801</v>
      </c>
      <c r="B366" s="243">
        <f>'Excel Calcs'!N58</f>
        <v>58.69</v>
      </c>
      <c r="C366" s="72" t="s">
        <v>554</v>
      </c>
      <c r="D366" s="75"/>
      <c r="E366" s="75"/>
    </row>
    <row r="367" spans="1:5" x14ac:dyDescent="0.2">
      <c r="A367" s="19" t="s">
        <v>2001</v>
      </c>
      <c r="B367" s="243">
        <f>'Excel Calcs'!N62</f>
        <v>53.315000000000005</v>
      </c>
      <c r="C367" s="72" t="s">
        <v>554</v>
      </c>
      <c r="D367" s="75"/>
      <c r="E367" s="75"/>
    </row>
    <row r="368" spans="1:5" x14ac:dyDescent="0.2">
      <c r="A368" s="19" t="s">
        <v>1879</v>
      </c>
      <c r="B368" s="243">
        <f>'Excel Calcs'!N63</f>
        <v>6</v>
      </c>
      <c r="C368" s="72" t="s">
        <v>554</v>
      </c>
      <c r="D368" s="75"/>
      <c r="E368" s="75"/>
    </row>
    <row r="369" spans="1:5" x14ac:dyDescent="0.2">
      <c r="A369" s="19" t="s">
        <v>1880</v>
      </c>
      <c r="B369" s="243">
        <f>'Excel Calcs'!N64</f>
        <v>4</v>
      </c>
      <c r="C369" s="72" t="s">
        <v>554</v>
      </c>
      <c r="D369" s="75"/>
      <c r="E369" s="75"/>
    </row>
    <row r="370" spans="1:5" x14ac:dyDescent="0.2">
      <c r="A370" s="19" t="s">
        <v>2002</v>
      </c>
      <c r="B370" s="243">
        <f>'Excel Calcs'!N65</f>
        <v>0.375</v>
      </c>
      <c r="C370" s="72" t="s">
        <v>554</v>
      </c>
      <c r="D370" s="75"/>
      <c r="E370" s="75"/>
    </row>
    <row r="371" spans="1:5" x14ac:dyDescent="0.2">
      <c r="A371" s="19" t="s">
        <v>1316</v>
      </c>
      <c r="B371" s="243">
        <f>'Excel Calcs'!N66</f>
        <v>0.5</v>
      </c>
      <c r="C371" s="72" t="s">
        <v>554</v>
      </c>
      <c r="D371" s="75"/>
      <c r="E371" s="75"/>
    </row>
    <row r="372" spans="1:5" x14ac:dyDescent="0.2">
      <c r="A372" s="19" t="s">
        <v>2003</v>
      </c>
      <c r="B372" s="243">
        <f>'Excel Calcs'!N67</f>
        <v>54.647875000000013</v>
      </c>
      <c r="C372" s="72" t="s">
        <v>1975</v>
      </c>
      <c r="D372" s="75"/>
      <c r="E372" s="75"/>
    </row>
    <row r="373" spans="1:5" x14ac:dyDescent="0.2">
      <c r="A373" s="19" t="s">
        <v>1367</v>
      </c>
      <c r="B373" s="243">
        <f>'Excel Calcs'!N70</f>
        <v>45.842500000000001</v>
      </c>
      <c r="C373" s="72" t="s">
        <v>554</v>
      </c>
      <c r="D373" s="75"/>
      <c r="E373" s="75"/>
    </row>
    <row r="374" spans="1:5" x14ac:dyDescent="0.2">
      <c r="A374" s="19" t="s">
        <v>1317</v>
      </c>
      <c r="B374" s="243">
        <f>'Excel Calcs'!N72</f>
        <v>0</v>
      </c>
      <c r="C374" s="72" t="s">
        <v>1975</v>
      </c>
      <c r="D374" s="75"/>
      <c r="E374" s="75"/>
    </row>
    <row r="375" spans="1:5" x14ac:dyDescent="0.2">
      <c r="A375" s="19" t="s">
        <v>1368</v>
      </c>
      <c r="B375" s="243">
        <f>'Excel Calcs'!N73</f>
        <v>70.72</v>
      </c>
      <c r="C375" s="72" t="s">
        <v>554</v>
      </c>
      <c r="D375" s="75"/>
      <c r="E375" s="75"/>
    </row>
    <row r="376" spans="1:5" x14ac:dyDescent="0.2">
      <c r="A376" s="19" t="s">
        <v>1063</v>
      </c>
      <c r="B376" s="243">
        <f>'Excel Calcs'!N74</f>
        <v>84.1</v>
      </c>
      <c r="C376" s="72" t="s">
        <v>554</v>
      </c>
      <c r="D376" s="75"/>
      <c r="E376" s="75"/>
    </row>
    <row r="377" spans="1:5" x14ac:dyDescent="0.2">
      <c r="A377" s="19" t="s">
        <v>1328</v>
      </c>
      <c r="B377" s="243">
        <f>'Excel Calcs'!N76</f>
        <v>43.190000000000005</v>
      </c>
      <c r="C377" s="72" t="s">
        <v>554</v>
      </c>
      <c r="D377" s="75"/>
      <c r="E377" s="75"/>
    </row>
    <row r="378" spans="1:5" x14ac:dyDescent="0.2">
      <c r="A378" s="19" t="s">
        <v>1178</v>
      </c>
      <c r="B378" s="243">
        <f>'Excel Calcs'!N77</f>
        <v>4</v>
      </c>
      <c r="C378" s="72" t="s">
        <v>554</v>
      </c>
      <c r="D378" s="75"/>
    </row>
    <row r="379" spans="1:5" x14ac:dyDescent="0.2">
      <c r="A379" s="19" t="s">
        <v>1179</v>
      </c>
      <c r="B379" s="243">
        <f>'Excel Calcs'!N78</f>
        <v>3</v>
      </c>
      <c r="C379" s="72" t="s">
        <v>554</v>
      </c>
      <c r="D379" s="75"/>
    </row>
    <row r="380" spans="1:5" x14ac:dyDescent="0.2">
      <c r="A380" s="19" t="s">
        <v>226</v>
      </c>
      <c r="B380" s="243">
        <f>'Excel Calcs'!N79</f>
        <v>0.375</v>
      </c>
      <c r="C380" s="72" t="s">
        <v>554</v>
      </c>
      <c r="D380" s="75"/>
    </row>
    <row r="381" spans="1:5" x14ac:dyDescent="0.2">
      <c r="A381" s="19" t="s">
        <v>1604</v>
      </c>
      <c r="B381" s="243">
        <f>'Excel Calcs'!N80</f>
        <v>0.5</v>
      </c>
      <c r="C381" s="72" t="s">
        <v>554</v>
      </c>
    </row>
    <row r="382" spans="1:5" x14ac:dyDescent="0.2">
      <c r="A382" s="19" t="s">
        <v>227</v>
      </c>
      <c r="B382" s="243">
        <f>'Excel Calcs'!N81</f>
        <v>30.592916666666671</v>
      </c>
      <c r="C382" s="72" t="s">
        <v>1975</v>
      </c>
    </row>
    <row r="383" spans="1:5" x14ac:dyDescent="0.2">
      <c r="A383" s="19" t="s">
        <v>2033</v>
      </c>
      <c r="B383" s="243">
        <f>'Excel Calcs'!N82</f>
        <v>1.5</v>
      </c>
      <c r="C383" s="72" t="s">
        <v>554</v>
      </c>
    </row>
    <row r="384" spans="1:5" x14ac:dyDescent="0.2">
      <c r="A384" s="19" t="s">
        <v>1040</v>
      </c>
      <c r="B384" s="243">
        <f>'Excel Calcs'!Q9</f>
        <v>0</v>
      </c>
      <c r="C384" s="72" t="s">
        <v>1975</v>
      </c>
      <c r="E384" s="75"/>
    </row>
    <row r="385" spans="1:5" x14ac:dyDescent="0.2">
      <c r="A385" s="19" t="s">
        <v>505</v>
      </c>
      <c r="B385" s="243">
        <f>'Excel Calcs'!Q10</f>
        <v>0</v>
      </c>
      <c r="C385" s="72" t="s">
        <v>1975</v>
      </c>
      <c r="E385" s="75"/>
    </row>
    <row r="386" spans="1:5" x14ac:dyDescent="0.2">
      <c r="A386" s="19" t="s">
        <v>93</v>
      </c>
      <c r="B386" s="243">
        <f>'Excel Calcs'!Q11</f>
        <v>0</v>
      </c>
      <c r="C386" s="72" t="s">
        <v>1975</v>
      </c>
      <c r="E386" s="75"/>
    </row>
    <row r="387" spans="1:5" x14ac:dyDescent="0.2">
      <c r="A387" s="19" t="s">
        <v>1759</v>
      </c>
      <c r="B387" s="243">
        <f>'Excel Calcs'!Q12</f>
        <v>0</v>
      </c>
      <c r="C387" s="72" t="s">
        <v>1975</v>
      </c>
      <c r="D387" s="75"/>
      <c r="E387" s="75"/>
    </row>
    <row r="388" spans="1:5" x14ac:dyDescent="0.2">
      <c r="A388" s="19" t="s">
        <v>1347</v>
      </c>
      <c r="B388" s="243">
        <f>'Excel Calcs'!Q13</f>
        <v>0</v>
      </c>
      <c r="C388" s="72" t="s">
        <v>1975</v>
      </c>
      <c r="D388" s="75"/>
      <c r="E388" s="75"/>
    </row>
    <row r="389" spans="1:5" x14ac:dyDescent="0.2">
      <c r="A389" s="19" t="s">
        <v>669</v>
      </c>
      <c r="B389" s="243">
        <f>'Excel Calcs'!Q14</f>
        <v>0</v>
      </c>
      <c r="C389" s="72" t="s">
        <v>1975</v>
      </c>
      <c r="D389" s="75"/>
      <c r="E389" s="75"/>
    </row>
    <row r="390" spans="1:5" x14ac:dyDescent="0.2">
      <c r="A390" s="19" t="s">
        <v>1922</v>
      </c>
      <c r="B390" s="243">
        <f>'Excel Calcs'!Q15</f>
        <v>0</v>
      </c>
      <c r="C390" s="72" t="s">
        <v>1975</v>
      </c>
      <c r="D390" s="75"/>
      <c r="E390" s="75"/>
    </row>
    <row r="391" spans="1:5" x14ac:dyDescent="0.2">
      <c r="A391" s="19" t="s">
        <v>277</v>
      </c>
      <c r="B391" s="243">
        <f>'Excel Calcs'!Q16</f>
        <v>0</v>
      </c>
      <c r="C391" s="72" t="s">
        <v>1975</v>
      </c>
      <c r="D391" s="75"/>
      <c r="E391" s="75"/>
    </row>
    <row r="392" spans="1:5" x14ac:dyDescent="0.2">
      <c r="A392" s="19" t="s">
        <v>2171</v>
      </c>
      <c r="B392" s="243">
        <f>'Excel Calcs'!Q17</f>
        <v>0</v>
      </c>
      <c r="C392" s="72" t="s">
        <v>1975</v>
      </c>
      <c r="D392" s="75"/>
      <c r="E392" s="75"/>
    </row>
    <row r="393" spans="1:5" x14ac:dyDescent="0.2">
      <c r="A393" s="19" t="s">
        <v>1619</v>
      </c>
      <c r="B393" s="243">
        <f>'Excel Calcs'!Q18</f>
        <v>5.6009999999999997E-2</v>
      </c>
      <c r="C393" s="72" t="s">
        <v>554</v>
      </c>
      <c r="D393" s="75"/>
      <c r="E393" s="75"/>
    </row>
    <row r="394" spans="1:5" x14ac:dyDescent="0.2">
      <c r="A394" s="19" t="s">
        <v>100</v>
      </c>
      <c r="B394" s="243">
        <f>'Excel Calcs'!Q20</f>
        <v>2.9060100000000002</v>
      </c>
      <c r="C394" s="72" t="s">
        <v>554</v>
      </c>
      <c r="D394" s="75"/>
      <c r="E394" s="75"/>
    </row>
    <row r="395" spans="1:5" x14ac:dyDescent="0.2">
      <c r="A395" s="19" t="s">
        <v>274</v>
      </c>
      <c r="B395" s="243">
        <f>'Excel Calcs'!Q21</f>
        <v>14.884899999999995</v>
      </c>
      <c r="C395" s="72" t="s">
        <v>554</v>
      </c>
      <c r="D395" s="75"/>
      <c r="E395" s="75"/>
    </row>
    <row r="396" spans="1:5" x14ac:dyDescent="0.2">
      <c r="A396" s="19" t="s">
        <v>1763</v>
      </c>
      <c r="B396" s="243">
        <f>'Excel Calcs'!Q22</f>
        <v>1.75</v>
      </c>
      <c r="C396" s="72" t="s">
        <v>554</v>
      </c>
      <c r="D396" s="75"/>
      <c r="E396" s="75"/>
    </row>
    <row r="397" spans="1:5" x14ac:dyDescent="0.2">
      <c r="A397" s="19" t="s">
        <v>643</v>
      </c>
      <c r="B397" s="243">
        <f>'Excel Calcs'!Q23</f>
        <v>1.5449999999999999</v>
      </c>
      <c r="C397" s="72" t="s">
        <v>554</v>
      </c>
      <c r="D397" s="75"/>
      <c r="E397" s="75"/>
    </row>
    <row r="398" spans="1:5" x14ac:dyDescent="0.2">
      <c r="A398" s="19" t="s">
        <v>278</v>
      </c>
      <c r="B398" s="243">
        <f>'Excel Calcs'!Q24</f>
        <v>0</v>
      </c>
      <c r="C398" s="72" t="s">
        <v>1975</v>
      </c>
      <c r="D398" s="75"/>
      <c r="E398" s="75"/>
    </row>
    <row r="399" spans="1:5" x14ac:dyDescent="0.2">
      <c r="A399" s="19" t="s">
        <v>2172</v>
      </c>
      <c r="B399" s="243">
        <f>'Excel Calcs'!Q25</f>
        <v>0</v>
      </c>
      <c r="C399" s="72" t="s">
        <v>1975</v>
      </c>
      <c r="D399" s="75"/>
      <c r="E399" s="75"/>
    </row>
    <row r="400" spans="1:5" x14ac:dyDescent="0.2">
      <c r="A400" s="19" t="s">
        <v>1226</v>
      </c>
      <c r="B400" s="243">
        <f>'Excel Calcs'!Q26</f>
        <v>0</v>
      </c>
      <c r="C400" s="72" t="s">
        <v>1975</v>
      </c>
      <c r="D400" s="75"/>
      <c r="E400" s="75"/>
    </row>
    <row r="401" spans="1:5" x14ac:dyDescent="0.2">
      <c r="A401" s="19" t="s">
        <v>670</v>
      </c>
      <c r="B401" s="243">
        <f>'Excel Calcs'!Q27</f>
        <v>9.84</v>
      </c>
      <c r="C401" s="72" t="s">
        <v>554</v>
      </c>
      <c r="D401" s="75"/>
      <c r="E401" s="75"/>
    </row>
    <row r="402" spans="1:5" x14ac:dyDescent="0.2">
      <c r="A402" s="19" t="s">
        <v>671</v>
      </c>
      <c r="B402" s="243">
        <f>'Excel Calcs'!Q28</f>
        <v>33.345299999999995</v>
      </c>
      <c r="C402" s="72" t="s">
        <v>554</v>
      </c>
      <c r="D402" s="75"/>
      <c r="E402" s="75"/>
    </row>
    <row r="403" spans="1:5" x14ac:dyDescent="0.2">
      <c r="A403" s="19" t="s">
        <v>1921</v>
      </c>
      <c r="B403" s="243">
        <f>'Excel Calcs'!Q29</f>
        <v>6.66</v>
      </c>
      <c r="C403" s="72" t="s">
        <v>554</v>
      </c>
      <c r="D403" s="75"/>
      <c r="E403" s="75"/>
    </row>
    <row r="404" spans="1:5" x14ac:dyDescent="0.2">
      <c r="A404" s="19" t="s">
        <v>1382</v>
      </c>
      <c r="B404" s="243">
        <f>'Excel Calcs'!Q30</f>
        <v>1</v>
      </c>
      <c r="C404" s="72" t="s">
        <v>1975</v>
      </c>
      <c r="D404" s="75"/>
      <c r="E404" s="75"/>
    </row>
    <row r="405" spans="1:5" x14ac:dyDescent="0.2">
      <c r="A405" s="19" t="s">
        <v>119</v>
      </c>
      <c r="B405" s="243">
        <f>'Excel Calcs'!Q31</f>
        <v>11.14</v>
      </c>
      <c r="C405" s="72" t="s">
        <v>554</v>
      </c>
      <c r="D405" s="75"/>
      <c r="E405" s="75"/>
    </row>
    <row r="406" spans="1:5" x14ac:dyDescent="0.2">
      <c r="A406" s="19" t="s">
        <v>402</v>
      </c>
      <c r="B406" s="243">
        <f>'Excel Calcs'!Q32</f>
        <v>-52.070599999999992</v>
      </c>
      <c r="C406" s="72" t="s">
        <v>554</v>
      </c>
      <c r="D406" s="75"/>
      <c r="E406" s="75"/>
    </row>
    <row r="407" spans="1:5" x14ac:dyDescent="0.2">
      <c r="A407" s="19" t="s">
        <v>99</v>
      </c>
      <c r="B407" s="243">
        <f>'Excel Calcs'!Q33</f>
        <v>2.42</v>
      </c>
      <c r="C407" s="72" t="s">
        <v>554</v>
      </c>
      <c r="D407" s="75"/>
      <c r="E407" s="75"/>
    </row>
    <row r="408" spans="1:5" x14ac:dyDescent="0.2">
      <c r="A408" s="19" t="s">
        <v>666</v>
      </c>
      <c r="B408" s="243">
        <f>'Excel Calcs'!Q35</f>
        <v>0.875</v>
      </c>
      <c r="C408" s="72" t="s">
        <v>554</v>
      </c>
      <c r="D408" s="75"/>
      <c r="E408" s="75"/>
    </row>
    <row r="409" spans="1:5" x14ac:dyDescent="0.2">
      <c r="A409" s="19" t="s">
        <v>936</v>
      </c>
      <c r="B409" s="243">
        <f>'Excel Calcs'!Q36</f>
        <v>63.210599999999992</v>
      </c>
      <c r="C409" s="72" t="s">
        <v>554</v>
      </c>
      <c r="D409" s="75"/>
      <c r="E409" s="75"/>
    </row>
    <row r="410" spans="1:5" x14ac:dyDescent="0.2">
      <c r="A410" s="19" t="s">
        <v>667</v>
      </c>
      <c r="B410" s="243" t="str">
        <f>'Excel Calcs'!Q37</f>
        <v>0.152</v>
      </c>
      <c r="C410" s="72" t="s">
        <v>554</v>
      </c>
      <c r="D410" s="75"/>
      <c r="E410" s="75"/>
    </row>
    <row r="411" spans="1:5" x14ac:dyDescent="0.2">
      <c r="A411" s="19" t="s">
        <v>668</v>
      </c>
      <c r="B411" s="243" t="str">
        <f>'Excel Calcs'!Q38</f>
        <v>0.218</v>
      </c>
      <c r="C411" s="72" t="s">
        <v>554</v>
      </c>
      <c r="D411" s="75"/>
      <c r="E411" s="75"/>
    </row>
    <row r="412" spans="1:5" x14ac:dyDescent="0.2">
      <c r="A412" s="19" t="s">
        <v>1379</v>
      </c>
      <c r="B412" s="243">
        <f>'Excel Calcs'!Q39</f>
        <v>0.125</v>
      </c>
      <c r="C412" s="72" t="s">
        <v>554</v>
      </c>
      <c r="D412" s="75"/>
      <c r="E412" s="75"/>
    </row>
    <row r="413" spans="1:5" x14ac:dyDescent="0.2">
      <c r="A413" s="19" t="s">
        <v>1500</v>
      </c>
      <c r="B413" s="243">
        <f>'Excel Calcs'!Q40</f>
        <v>0</v>
      </c>
      <c r="C413" s="72" t="s">
        <v>1975</v>
      </c>
      <c r="D413" s="75"/>
      <c r="E413" s="75"/>
    </row>
    <row r="414" spans="1:5" x14ac:dyDescent="0.2">
      <c r="A414" s="19" t="s">
        <v>1792</v>
      </c>
      <c r="B414" s="243">
        <f>'Excel Calcs'!Q41</f>
        <v>0</v>
      </c>
      <c r="C414" s="72" t="s">
        <v>1975</v>
      </c>
      <c r="D414" s="75"/>
      <c r="E414" s="75"/>
    </row>
    <row r="415" spans="1:5" x14ac:dyDescent="0.2">
      <c r="A415" s="19" t="s">
        <v>1648</v>
      </c>
      <c r="B415" s="243">
        <f>'Excel Calcs'!Q42</f>
        <v>2.375</v>
      </c>
      <c r="C415" s="72" t="s">
        <v>554</v>
      </c>
      <c r="D415" s="75"/>
      <c r="E415" s="75"/>
    </row>
    <row r="416" spans="1:5" x14ac:dyDescent="0.2">
      <c r="A416" s="19" t="s">
        <v>1380</v>
      </c>
      <c r="B416" s="243">
        <f>'Excel Calcs'!Q43</f>
        <v>2</v>
      </c>
      <c r="C416" s="72" t="s">
        <v>1975</v>
      </c>
      <c r="D416" s="75"/>
      <c r="E416" s="75"/>
    </row>
    <row r="417" spans="1:5" x14ac:dyDescent="0.2">
      <c r="A417" s="19" t="s">
        <v>529</v>
      </c>
      <c r="B417" s="243">
        <f>'Excel Calcs'!Q44</f>
        <v>1.9100000000000001</v>
      </c>
      <c r="C417" s="72" t="s">
        <v>554</v>
      </c>
      <c r="D417" s="75"/>
      <c r="E417" s="75"/>
    </row>
    <row r="418" spans="1:5" x14ac:dyDescent="0.2">
      <c r="A418" s="19" t="s">
        <v>1228</v>
      </c>
      <c r="B418" s="243">
        <f>'Excel Calcs'!Q45</f>
        <v>1</v>
      </c>
      <c r="C418" s="72" t="s">
        <v>1975</v>
      </c>
      <c r="D418" s="75"/>
      <c r="E418" s="75"/>
    </row>
    <row r="419" spans="1:5" x14ac:dyDescent="0.2">
      <c r="A419" s="19" t="s">
        <v>1227</v>
      </c>
      <c r="B419" s="243">
        <f>'Excel Calcs'!Q46</f>
        <v>9.0350000000000001</v>
      </c>
      <c r="C419" s="72" t="s">
        <v>554</v>
      </c>
      <c r="D419" s="75"/>
      <c r="E419" s="75"/>
    </row>
    <row r="420" spans="1:5" x14ac:dyDescent="0.2">
      <c r="A420" s="19" t="s">
        <v>1225</v>
      </c>
      <c r="B420" s="243">
        <f>'Excel Calcs'!Q47</f>
        <v>0</v>
      </c>
      <c r="C420" s="72" t="s">
        <v>1975</v>
      </c>
      <c r="D420" s="75"/>
      <c r="E420" s="75"/>
    </row>
    <row r="421" spans="1:5" x14ac:dyDescent="0.2">
      <c r="A421" s="19" t="s">
        <v>1381</v>
      </c>
      <c r="B421" s="243">
        <f>'Excel Calcs'!Q48</f>
        <v>0.26999999999999957</v>
      </c>
      <c r="C421" s="72" t="s">
        <v>554</v>
      </c>
      <c r="D421" s="75"/>
      <c r="E421" s="75"/>
    </row>
    <row r="422" spans="1:5" x14ac:dyDescent="0.2">
      <c r="A422" s="19" t="s">
        <v>811</v>
      </c>
      <c r="B422" s="243">
        <f>'Excel Calcs'!Q49</f>
        <v>1</v>
      </c>
      <c r="C422" s="72" t="s">
        <v>1975</v>
      </c>
      <c r="D422" s="75"/>
      <c r="E422" s="75"/>
    </row>
    <row r="423" spans="1:5" x14ac:dyDescent="0.2">
      <c r="A423" s="19" t="s">
        <v>810</v>
      </c>
      <c r="B423" s="243">
        <f>'Excel Calcs'!Q50</f>
        <v>13.515000000000001</v>
      </c>
      <c r="C423" s="72" t="s">
        <v>554</v>
      </c>
      <c r="D423" s="75"/>
      <c r="E423" s="75"/>
    </row>
    <row r="424" spans="1:5" x14ac:dyDescent="0.2">
      <c r="A424" s="19" t="s">
        <v>1072</v>
      </c>
      <c r="B424" s="243">
        <f>'Excel Calcs'!Q51</f>
        <v>2</v>
      </c>
      <c r="C424" s="72" t="s">
        <v>1975</v>
      </c>
      <c r="D424" s="75"/>
      <c r="E424" s="75"/>
    </row>
    <row r="425" spans="1:5" x14ac:dyDescent="0.2">
      <c r="A425" s="19" t="s">
        <v>2173</v>
      </c>
      <c r="B425" s="243">
        <f>'Excel Calcs'!Q52</f>
        <v>1.9100000000000001</v>
      </c>
      <c r="C425" s="72" t="s">
        <v>554</v>
      </c>
      <c r="D425" s="75"/>
      <c r="E425" s="75"/>
    </row>
    <row r="426" spans="1:5" x14ac:dyDescent="0.2">
      <c r="A426" s="19" t="s">
        <v>1341</v>
      </c>
      <c r="B426" s="243">
        <f>'Excel Calcs'!Q53</f>
        <v>12</v>
      </c>
      <c r="C426" s="72" t="s">
        <v>554</v>
      </c>
      <c r="D426" s="75"/>
      <c r="E426" s="75"/>
    </row>
    <row r="427" spans="1:5" x14ac:dyDescent="0.2">
      <c r="A427" s="19" t="s">
        <v>1612</v>
      </c>
      <c r="B427" s="243">
        <f>'Excel Calcs'!Q54</f>
        <v>76.530599999999993</v>
      </c>
      <c r="C427" s="72" t="s">
        <v>554</v>
      </c>
      <c r="D427" s="75"/>
      <c r="E427" s="75"/>
    </row>
    <row r="428" spans="1:5" x14ac:dyDescent="0.2">
      <c r="A428" s="19" t="s">
        <v>1378</v>
      </c>
      <c r="B428" s="243">
        <f>'Excel Calcs'!Q55</f>
        <v>27.389999999999993</v>
      </c>
      <c r="C428" s="72" t="s">
        <v>554</v>
      </c>
      <c r="D428" s="75"/>
      <c r="E428" s="75"/>
    </row>
    <row r="429" spans="1:5" x14ac:dyDescent="0.2">
      <c r="A429" s="19" t="s">
        <v>901</v>
      </c>
      <c r="B429" s="243">
        <f>'Excel Calcs'!Q57</f>
        <v>12</v>
      </c>
      <c r="C429" s="72" t="s">
        <v>554</v>
      </c>
      <c r="D429" s="75"/>
      <c r="E429" s="75"/>
    </row>
    <row r="430" spans="1:5" x14ac:dyDescent="0.2">
      <c r="A430" s="19" t="s">
        <v>1188</v>
      </c>
      <c r="B430" s="243">
        <f>'Excel Calcs'!Q58</f>
        <v>76.530599999999993</v>
      </c>
      <c r="C430" s="72" t="s">
        <v>554</v>
      </c>
      <c r="D430" s="75"/>
      <c r="E430" s="75"/>
    </row>
    <row r="431" spans="1:5" x14ac:dyDescent="0.2">
      <c r="A431" s="19" t="s">
        <v>935</v>
      </c>
      <c r="B431" s="243">
        <f>'Excel Calcs'!Q59</f>
        <v>39.389999999999993</v>
      </c>
      <c r="C431" s="72" t="s">
        <v>554</v>
      </c>
      <c r="D431" s="75"/>
      <c r="E431" s="75"/>
    </row>
    <row r="432" spans="1:5" x14ac:dyDescent="0.2">
      <c r="A432" s="19" t="s">
        <v>507</v>
      </c>
      <c r="B432" s="243">
        <f>'Excel Calcs'!Q61</f>
        <v>12</v>
      </c>
      <c r="C432" s="72" t="s">
        <v>554</v>
      </c>
      <c r="D432" s="75"/>
      <c r="E432" s="75"/>
    </row>
    <row r="433" spans="1:5" x14ac:dyDescent="0.2">
      <c r="A433" s="19" t="s">
        <v>900</v>
      </c>
      <c r="B433" s="243">
        <f>'Excel Calcs'!Q62</f>
        <v>76.530599999999993</v>
      </c>
      <c r="C433" s="72" t="s">
        <v>554</v>
      </c>
      <c r="D433" s="75"/>
      <c r="E433" s="75"/>
    </row>
    <row r="434" spans="1:5" x14ac:dyDescent="0.2">
      <c r="A434" s="19" t="s">
        <v>528</v>
      </c>
      <c r="B434" s="243">
        <f>'Excel Calcs'!Q63</f>
        <v>51.389999999999993</v>
      </c>
      <c r="C434" s="72" t="s">
        <v>554</v>
      </c>
      <c r="D434" s="75"/>
      <c r="E434" s="75"/>
    </row>
    <row r="435" spans="1:5" x14ac:dyDescent="0.2">
      <c r="A435" s="19" t="s">
        <v>235</v>
      </c>
      <c r="B435" s="243">
        <f>'Excel Calcs'!Q65</f>
        <v>12</v>
      </c>
      <c r="C435" s="72" t="s">
        <v>554</v>
      </c>
      <c r="D435" s="75"/>
      <c r="E435" s="75"/>
    </row>
    <row r="436" spans="1:5" x14ac:dyDescent="0.2">
      <c r="A436" s="19" t="s">
        <v>506</v>
      </c>
      <c r="B436" s="243">
        <f>'Excel Calcs'!Q66</f>
        <v>76.530599999999993</v>
      </c>
      <c r="C436" s="72" t="s">
        <v>554</v>
      </c>
      <c r="D436" s="75"/>
      <c r="E436" s="75"/>
    </row>
    <row r="437" spans="1:5" x14ac:dyDescent="0.2">
      <c r="A437" s="19" t="s">
        <v>273</v>
      </c>
      <c r="B437" s="243">
        <f>'Excel Calcs'!Q67</f>
        <v>63.389999999999993</v>
      </c>
      <c r="C437" s="72" t="s">
        <v>554</v>
      </c>
      <c r="D437" s="75"/>
      <c r="E437" s="75"/>
    </row>
    <row r="438" spans="1:5" x14ac:dyDescent="0.2">
      <c r="A438" s="19" t="s">
        <v>2022</v>
      </c>
      <c r="B438" s="243">
        <f>'Excel Calcs'!Q69</f>
        <v>12</v>
      </c>
      <c r="C438" s="72" t="s">
        <v>554</v>
      </c>
      <c r="D438" s="75"/>
      <c r="E438" s="75"/>
    </row>
    <row r="439" spans="1:5" x14ac:dyDescent="0.2">
      <c r="A439" s="19" t="s">
        <v>101</v>
      </c>
      <c r="B439" s="243">
        <f>'Excel Calcs'!Q70</f>
        <v>76.530599999999993</v>
      </c>
      <c r="C439" s="72" t="s">
        <v>554</v>
      </c>
      <c r="D439" s="75"/>
      <c r="E439" s="75"/>
    </row>
    <row r="440" spans="1:5" x14ac:dyDescent="0.2">
      <c r="A440" s="19" t="s">
        <v>2037</v>
      </c>
      <c r="B440" s="243">
        <f>'Excel Calcs'!Q71</f>
        <v>39.389999999999993</v>
      </c>
      <c r="C440" s="72" t="s">
        <v>554</v>
      </c>
      <c r="D440" s="75"/>
      <c r="E440" s="75"/>
    </row>
    <row r="441" spans="1:5" x14ac:dyDescent="0.2">
      <c r="A441" s="19" t="s">
        <v>1647</v>
      </c>
      <c r="B441" s="243">
        <f>'Excel Calcs'!Q73</f>
        <v>12</v>
      </c>
      <c r="C441" s="72" t="s">
        <v>554</v>
      </c>
      <c r="D441" s="75"/>
      <c r="E441" s="75"/>
    </row>
    <row r="442" spans="1:5" x14ac:dyDescent="0.2">
      <c r="A442" s="19" t="s">
        <v>2038</v>
      </c>
      <c r="B442" s="243">
        <f>'Excel Calcs'!Q74</f>
        <v>76.530599999999993</v>
      </c>
      <c r="C442" s="72" t="s">
        <v>554</v>
      </c>
      <c r="D442" s="75"/>
      <c r="E442" s="75"/>
    </row>
    <row r="443" spans="1:5" x14ac:dyDescent="0.2">
      <c r="A443" s="19" t="s">
        <v>1791</v>
      </c>
      <c r="B443" s="243">
        <f>'Excel Calcs'!Q75</f>
        <v>39.389999999999993</v>
      </c>
      <c r="C443" s="72" t="s">
        <v>554</v>
      </c>
      <c r="D443" s="75"/>
      <c r="E443" s="75"/>
    </row>
    <row r="444" spans="1:5" x14ac:dyDescent="0.2">
      <c r="A444" s="19" t="s">
        <v>807</v>
      </c>
      <c r="B444" s="243">
        <f>'Excel Calcs'!Q77</f>
        <v>12</v>
      </c>
      <c r="C444" s="72" t="s">
        <v>554</v>
      </c>
      <c r="D444" s="75"/>
      <c r="E444" s="75"/>
    </row>
    <row r="445" spans="1:5" x14ac:dyDescent="0.2">
      <c r="A445" s="19" t="s">
        <v>1070</v>
      </c>
      <c r="B445" s="243">
        <f>'Excel Calcs'!Q78</f>
        <v>13.32</v>
      </c>
      <c r="C445" s="72" t="s">
        <v>554</v>
      </c>
      <c r="D445" s="75"/>
      <c r="E445" s="75"/>
    </row>
    <row r="446" spans="1:5" x14ac:dyDescent="0.2">
      <c r="A446" s="19" t="s">
        <v>808</v>
      </c>
      <c r="B446" s="243">
        <f>'Excel Calcs'!Q79</f>
        <v>39.389999999999993</v>
      </c>
      <c r="C446" s="72" t="s">
        <v>554</v>
      </c>
      <c r="D446" s="75"/>
      <c r="E446" s="75"/>
    </row>
    <row r="447" spans="1:5" x14ac:dyDescent="0.2">
      <c r="A447" s="19" t="s">
        <v>1071</v>
      </c>
      <c r="B447" s="243">
        <f>'Excel Calcs'!Q80</f>
        <v>46.490199999999987</v>
      </c>
      <c r="C447" s="72" t="s">
        <v>554</v>
      </c>
      <c r="D447" s="75"/>
      <c r="E447" s="75"/>
    </row>
    <row r="448" spans="1:5" x14ac:dyDescent="0.2">
      <c r="A448" s="19" t="s">
        <v>1498</v>
      </c>
      <c r="B448" s="243">
        <f>'Excel Calcs'!Q82</f>
        <v>12</v>
      </c>
      <c r="C448" s="72" t="s">
        <v>554</v>
      </c>
      <c r="D448" s="75"/>
      <c r="E448" s="75"/>
    </row>
    <row r="449" spans="1:5" x14ac:dyDescent="0.2">
      <c r="A449" s="19" t="s">
        <v>1789</v>
      </c>
      <c r="B449" s="243">
        <f>'Excel Calcs'!Q83</f>
        <v>13.32</v>
      </c>
      <c r="C449" s="72" t="s">
        <v>554</v>
      </c>
      <c r="D449" s="75"/>
      <c r="E449" s="75"/>
    </row>
    <row r="450" spans="1:5" x14ac:dyDescent="0.2">
      <c r="A450" s="19" t="s">
        <v>1499</v>
      </c>
      <c r="B450" s="243">
        <f>'Excel Calcs'!Q84</f>
        <v>27.389999999999993</v>
      </c>
      <c r="C450" s="72" t="s">
        <v>554</v>
      </c>
      <c r="D450" s="75"/>
      <c r="E450" s="75"/>
    </row>
    <row r="451" spans="1:5" x14ac:dyDescent="0.2">
      <c r="A451" s="19" t="s">
        <v>1790</v>
      </c>
      <c r="B451" s="243">
        <f>'Excel Calcs'!Q85</f>
        <v>46.490199999999987</v>
      </c>
      <c r="C451" s="72" t="s">
        <v>554</v>
      </c>
      <c r="D451" s="75"/>
      <c r="E451" s="75"/>
    </row>
    <row r="452" spans="1:5" x14ac:dyDescent="0.2">
      <c r="A452" s="19" t="s">
        <v>98</v>
      </c>
      <c r="B452" s="243">
        <f>'Excel Calcs'!Q88</f>
        <v>0.5</v>
      </c>
      <c r="C452" s="72" t="s">
        <v>554</v>
      </c>
      <c r="D452" s="75"/>
      <c r="E452" s="75"/>
    </row>
    <row r="453" spans="1:5" x14ac:dyDescent="0.2">
      <c r="A453" s="19" t="s">
        <v>374</v>
      </c>
      <c r="B453" s="243">
        <f>'Excel Calcs'!Q89</f>
        <v>0</v>
      </c>
      <c r="C453" s="72" t="s">
        <v>1975</v>
      </c>
      <c r="D453" s="75"/>
      <c r="E453" s="75"/>
    </row>
    <row r="454" spans="1:5" x14ac:dyDescent="0.2">
      <c r="A454" s="19" t="s">
        <v>2142</v>
      </c>
      <c r="B454" s="243">
        <f>'Excel Calcs'!Q90</f>
        <v>0</v>
      </c>
      <c r="C454" s="72" t="s">
        <v>1975</v>
      </c>
      <c r="D454" s="75"/>
      <c r="E454" s="75"/>
    </row>
    <row r="455" spans="1:5" x14ac:dyDescent="0.2">
      <c r="A455" s="19" t="s">
        <v>1615</v>
      </c>
      <c r="B455" s="243">
        <f>'Excel Calcs'!Q91</f>
        <v>0</v>
      </c>
      <c r="C455" s="72" t="s">
        <v>1975</v>
      </c>
      <c r="D455" s="75"/>
      <c r="E455" s="75"/>
    </row>
    <row r="456" spans="1:5" x14ac:dyDescent="0.2">
      <c r="A456" s="19" t="s">
        <v>1192</v>
      </c>
      <c r="B456" s="243">
        <f>'Excel Calcs'!Q95</f>
        <v>4.9060100000000002</v>
      </c>
      <c r="C456" s="72" t="s">
        <v>554</v>
      </c>
      <c r="D456" s="75"/>
      <c r="E456" s="75"/>
    </row>
    <row r="457" spans="1:5" x14ac:dyDescent="0.2">
      <c r="A457" s="19" t="s">
        <v>94</v>
      </c>
      <c r="B457" s="243">
        <f>'Excel Calcs'!Q98</f>
        <v>5.75</v>
      </c>
      <c r="C457" s="72" t="s">
        <v>554</v>
      </c>
      <c r="D457" s="75"/>
      <c r="E457" s="75"/>
    </row>
    <row r="458" spans="1:5" x14ac:dyDescent="0.2">
      <c r="A458" s="19" t="s">
        <v>508</v>
      </c>
      <c r="B458" s="243">
        <f>'Excel Calcs'!Q100</f>
        <v>11.75</v>
      </c>
      <c r="C458" s="72" t="s">
        <v>554</v>
      </c>
      <c r="D458" s="75"/>
      <c r="E458" s="75"/>
    </row>
    <row r="459" spans="1:5" x14ac:dyDescent="0.2">
      <c r="A459" s="19" t="s">
        <v>1613</v>
      </c>
      <c r="B459" s="243">
        <f>'Excel Calcs'!Q101</f>
        <v>4.92</v>
      </c>
      <c r="C459" s="72" t="s">
        <v>554</v>
      </c>
      <c r="D459" s="75"/>
      <c r="E459" s="75"/>
    </row>
    <row r="460" spans="1:5" x14ac:dyDescent="0.2">
      <c r="A460" s="19" t="s">
        <v>777</v>
      </c>
      <c r="B460" s="243">
        <f>'Excel Calcs'!Q102</f>
        <v>46.695</v>
      </c>
      <c r="C460" s="72" t="s">
        <v>554</v>
      </c>
      <c r="D460" s="75"/>
      <c r="E460" s="75"/>
    </row>
    <row r="461" spans="1:5" x14ac:dyDescent="0.2">
      <c r="A461" s="19" t="s">
        <v>95</v>
      </c>
      <c r="B461" s="243">
        <f>'Excel Calcs'!Q103</f>
        <v>1</v>
      </c>
      <c r="C461" s="72" t="s">
        <v>1975</v>
      </c>
      <c r="D461" s="75"/>
      <c r="E461" s="75"/>
    </row>
    <row r="462" spans="1:5" x14ac:dyDescent="0.2">
      <c r="A462" s="19" t="s">
        <v>1469</v>
      </c>
      <c r="B462" s="243">
        <f>'Excel Calcs'!Q104</f>
        <v>6</v>
      </c>
      <c r="C462" s="72" t="s">
        <v>554</v>
      </c>
      <c r="D462" s="75"/>
      <c r="E462" s="75"/>
    </row>
    <row r="463" spans="1:5" x14ac:dyDescent="0.2">
      <c r="A463" s="19" t="s">
        <v>1760</v>
      </c>
      <c r="B463" s="243">
        <f>'Excel Calcs'!Q105</f>
        <v>3.2</v>
      </c>
      <c r="C463" s="72" t="s">
        <v>554</v>
      </c>
      <c r="D463" s="75"/>
      <c r="E463" s="75"/>
    </row>
    <row r="464" spans="1:5" x14ac:dyDescent="0.2">
      <c r="A464" s="19" t="s">
        <v>1042</v>
      </c>
      <c r="B464" s="243">
        <f>'Excel Calcs'!Q106</f>
        <v>43.695</v>
      </c>
      <c r="C464" s="72" t="s">
        <v>554</v>
      </c>
      <c r="D464" s="75"/>
      <c r="E464" s="75"/>
    </row>
    <row r="465" spans="1:5" x14ac:dyDescent="0.2">
      <c r="A465" s="19" t="s">
        <v>372</v>
      </c>
      <c r="B465" s="243">
        <f>'Excel Calcs'!Q107</f>
        <v>2</v>
      </c>
      <c r="C465" s="72" t="s">
        <v>1975</v>
      </c>
      <c r="D465" s="75"/>
      <c r="E465" s="75"/>
    </row>
    <row r="466" spans="1:5" x14ac:dyDescent="0.2">
      <c r="A466" s="19" t="s">
        <v>1189</v>
      </c>
      <c r="B466" s="243">
        <f>'Excel Calcs'!Q108</f>
        <v>6</v>
      </c>
      <c r="C466" s="72" t="s">
        <v>554</v>
      </c>
      <c r="D466" s="75"/>
      <c r="E466" s="75"/>
    </row>
    <row r="467" spans="1:5" x14ac:dyDescent="0.2">
      <c r="A467" s="19" t="s">
        <v>237</v>
      </c>
      <c r="B467" s="243">
        <f>'Excel Calcs'!Q113</f>
        <v>5.75</v>
      </c>
      <c r="C467" s="72" t="s">
        <v>554</v>
      </c>
      <c r="D467" s="75"/>
      <c r="E467" s="75"/>
    </row>
    <row r="468" spans="1:5" x14ac:dyDescent="0.2">
      <c r="A468" s="19" t="s">
        <v>639</v>
      </c>
      <c r="B468" s="243">
        <f>'Excel Calcs'!Q115</f>
        <v>47.52000000000001</v>
      </c>
      <c r="C468" s="72" t="s">
        <v>554</v>
      </c>
      <c r="D468" s="75"/>
      <c r="E468" s="75"/>
    </row>
    <row r="469" spans="1:5" x14ac:dyDescent="0.2">
      <c r="A469" s="19" t="s">
        <v>1899</v>
      </c>
      <c r="B469" s="243">
        <f>'Excel Calcs'!Q116</f>
        <v>9.4</v>
      </c>
      <c r="C469" s="72" t="s">
        <v>554</v>
      </c>
      <c r="D469" s="75"/>
      <c r="E469" s="75"/>
    </row>
    <row r="470" spans="1:5" x14ac:dyDescent="0.2">
      <c r="A470" s="19" t="s">
        <v>1190</v>
      </c>
      <c r="B470" s="243">
        <f>'Excel Calcs'!Q117</f>
        <v>46.695</v>
      </c>
      <c r="C470" s="72" t="s">
        <v>554</v>
      </c>
      <c r="D470" s="75"/>
      <c r="E470" s="75"/>
    </row>
    <row r="471" spans="1:5" x14ac:dyDescent="0.2">
      <c r="A471" s="19" t="s">
        <v>902</v>
      </c>
      <c r="B471" s="243">
        <f>'Excel Calcs'!Q118</f>
        <v>1</v>
      </c>
      <c r="C471" s="72" t="s">
        <v>1975</v>
      </c>
      <c r="D471" s="75"/>
      <c r="E471" s="75"/>
    </row>
    <row r="472" spans="1:5" x14ac:dyDescent="0.2">
      <c r="A472" s="19" t="s">
        <v>1043</v>
      </c>
      <c r="B472" s="243">
        <f>'Excel Calcs'!Q119</f>
        <v>6</v>
      </c>
      <c r="C472" s="72" t="s">
        <v>554</v>
      </c>
      <c r="D472" s="75"/>
      <c r="E472" s="75"/>
    </row>
    <row r="473" spans="1:5" x14ac:dyDescent="0.2">
      <c r="A473" s="19" t="s">
        <v>2141</v>
      </c>
      <c r="B473" s="243">
        <f>'Excel Calcs'!Q120</f>
        <v>9.4</v>
      </c>
      <c r="C473" s="72" t="s">
        <v>554</v>
      </c>
      <c r="D473" s="75"/>
      <c r="E473" s="75"/>
    </row>
    <row r="474" spans="1:5" x14ac:dyDescent="0.2">
      <c r="A474" s="19" t="s">
        <v>1470</v>
      </c>
      <c r="B474" s="243">
        <f>'Excel Calcs'!Q121</f>
        <v>28.695</v>
      </c>
      <c r="C474" s="72" t="s">
        <v>554</v>
      </c>
      <c r="D474" s="75"/>
      <c r="E474" s="75"/>
    </row>
    <row r="475" spans="1:5" x14ac:dyDescent="0.2">
      <c r="A475" s="19" t="s">
        <v>1191</v>
      </c>
      <c r="B475" s="243">
        <f>'Excel Calcs'!Q122</f>
        <v>5</v>
      </c>
      <c r="C475" s="72" t="s">
        <v>1975</v>
      </c>
      <c r="D475" s="75"/>
      <c r="E475" s="75"/>
    </row>
    <row r="476" spans="1:5" x14ac:dyDescent="0.2">
      <c r="A476" s="19" t="s">
        <v>640</v>
      </c>
      <c r="B476" s="243">
        <f>'Excel Calcs'!Q123</f>
        <v>9</v>
      </c>
      <c r="C476" s="72" t="s">
        <v>554</v>
      </c>
      <c r="D476" s="75"/>
      <c r="E476" s="75"/>
    </row>
    <row r="477" spans="1:5" x14ac:dyDescent="0.2">
      <c r="A477" s="19" t="s">
        <v>371</v>
      </c>
      <c r="B477" s="243">
        <f>'Excel Calcs'!Q128</f>
        <v>5.75</v>
      </c>
      <c r="C477" s="72" t="s">
        <v>554</v>
      </c>
      <c r="D477" s="75"/>
      <c r="E477" s="75"/>
    </row>
    <row r="478" spans="1:5" x14ac:dyDescent="0.2">
      <c r="A478" s="19" t="s">
        <v>776</v>
      </c>
      <c r="B478" s="243">
        <f>'Excel Calcs'!Q130</f>
        <v>47.52000000000001</v>
      </c>
      <c r="C478" s="72" t="s">
        <v>554</v>
      </c>
      <c r="D478" s="75"/>
      <c r="E478" s="75"/>
    </row>
    <row r="479" spans="1:5" x14ac:dyDescent="0.2">
      <c r="A479" s="19" t="s">
        <v>96</v>
      </c>
      <c r="B479" s="243">
        <f>'Excel Calcs'!Q131</f>
        <v>15.6</v>
      </c>
      <c r="C479" s="72" t="s">
        <v>554</v>
      </c>
      <c r="D479" s="75"/>
      <c r="E479" s="75"/>
    </row>
    <row r="480" spans="1:5" x14ac:dyDescent="0.2">
      <c r="A480" s="19" t="s">
        <v>1614</v>
      </c>
      <c r="B480" s="243">
        <f>'Excel Calcs'!Q132</f>
        <v>46.695</v>
      </c>
      <c r="C480" s="72" t="s">
        <v>554</v>
      </c>
      <c r="D480" s="75"/>
      <c r="E480" s="75"/>
    </row>
    <row r="481" spans="1:5" x14ac:dyDescent="0.2">
      <c r="A481" s="19" t="s">
        <v>1761</v>
      </c>
      <c r="B481" s="243">
        <f>'Excel Calcs'!Q133</f>
        <v>1</v>
      </c>
      <c r="C481" s="72" t="s">
        <v>1975</v>
      </c>
      <c r="D481" s="75"/>
      <c r="E481" s="75"/>
    </row>
    <row r="482" spans="1:5" x14ac:dyDescent="0.2">
      <c r="A482" s="19" t="s">
        <v>509</v>
      </c>
      <c r="B482" s="243">
        <f>'Excel Calcs'!Q134</f>
        <v>6</v>
      </c>
      <c r="C482" s="72" t="s">
        <v>554</v>
      </c>
      <c r="D482" s="75"/>
      <c r="E482" s="75"/>
    </row>
    <row r="483" spans="1:5" x14ac:dyDescent="0.2">
      <c r="A483" s="19" t="s">
        <v>373</v>
      </c>
      <c r="B483" s="243">
        <f>'Excel Calcs'!Q135</f>
        <v>15.6</v>
      </c>
      <c r="C483" s="72" t="s">
        <v>554</v>
      </c>
      <c r="D483" s="75"/>
      <c r="E483" s="75"/>
    </row>
    <row r="484" spans="1:5" x14ac:dyDescent="0.2">
      <c r="A484" s="19" t="s">
        <v>1762</v>
      </c>
      <c r="B484" s="243">
        <f>'Excel Calcs'!Q136</f>
        <v>28.695</v>
      </c>
      <c r="C484" s="72" t="s">
        <v>554</v>
      </c>
      <c r="D484" s="75"/>
      <c r="E484" s="75"/>
    </row>
    <row r="485" spans="1:5" x14ac:dyDescent="0.2">
      <c r="A485" s="19" t="s">
        <v>2018</v>
      </c>
      <c r="B485" s="243">
        <f>'Excel Calcs'!Q137</f>
        <v>5</v>
      </c>
      <c r="C485" s="72" t="s">
        <v>1975</v>
      </c>
      <c r="D485" s="75"/>
    </row>
    <row r="486" spans="1:5" x14ac:dyDescent="0.2">
      <c r="A486" s="19" t="s">
        <v>238</v>
      </c>
      <c r="B486" s="243">
        <f>'Excel Calcs'!Q138</f>
        <v>9</v>
      </c>
      <c r="C486" s="72" t="s">
        <v>554</v>
      </c>
      <c r="D486" s="75"/>
    </row>
    <row r="487" spans="1:5" x14ac:dyDescent="0.2">
      <c r="A487" s="85" t="s">
        <v>135</v>
      </c>
      <c r="B487" s="243">
        <f>'Excel Calcs'!B82</f>
        <v>2</v>
      </c>
      <c r="C487" s="72" t="s">
        <v>1975</v>
      </c>
      <c r="D487" s="75"/>
    </row>
    <row r="488" spans="1:5" x14ac:dyDescent="0.2">
      <c r="A488" s="85" t="s">
        <v>681</v>
      </c>
      <c r="B488" s="243">
        <f>'Excel Calcs'!B83</f>
        <v>0.25</v>
      </c>
      <c r="C488" s="72" t="s">
        <v>554</v>
      </c>
    </row>
    <row r="489" spans="1:5" x14ac:dyDescent="0.2">
      <c r="A489" s="85" t="s">
        <v>1797</v>
      </c>
      <c r="B489" s="243">
        <f>'Excel Calcs'!B84</f>
        <v>38.5</v>
      </c>
      <c r="C489" s="72" t="s">
        <v>554</v>
      </c>
    </row>
    <row r="490" spans="1:5" x14ac:dyDescent="0.2">
      <c r="A490" s="85" t="s">
        <v>1510</v>
      </c>
      <c r="B490" s="243">
        <f>'Excel Calcs'!B85</f>
        <v>50</v>
      </c>
      <c r="C490" s="72" t="s">
        <v>554</v>
      </c>
    </row>
    <row r="491" spans="1:5" x14ac:dyDescent="0.2">
      <c r="A491" s="85" t="s">
        <v>1798</v>
      </c>
      <c r="B491" s="243">
        <f>'Excel Calcs'!B86</f>
        <v>6</v>
      </c>
      <c r="C491" s="72" t="s">
        <v>554</v>
      </c>
    </row>
    <row r="492" spans="1:5" x14ac:dyDescent="0.2">
      <c r="A492" s="85" t="s">
        <v>1799</v>
      </c>
      <c r="B492" s="243">
        <f>'Excel Calcs'!B87</f>
        <v>3</v>
      </c>
      <c r="C492" s="72" t="s">
        <v>554</v>
      </c>
    </row>
    <row r="493" spans="1:5" x14ac:dyDescent="0.2">
      <c r="A493" s="85" t="s">
        <v>410</v>
      </c>
      <c r="B493" s="243">
        <f>'Excel Calcs'!B88</f>
        <v>3</v>
      </c>
      <c r="C493" s="72" t="s">
        <v>554</v>
      </c>
    </row>
    <row r="494" spans="1:5" x14ac:dyDescent="0.2">
      <c r="A494" s="85" t="s">
        <v>1094</v>
      </c>
      <c r="B494" s="243">
        <f>'Excel Calcs'!B89</f>
        <v>19.25</v>
      </c>
      <c r="C494" s="72" t="s">
        <v>554</v>
      </c>
    </row>
    <row r="495" spans="1:5" x14ac:dyDescent="0.2">
      <c r="A495" s="85" t="s">
        <v>287</v>
      </c>
      <c r="B495" s="243">
        <f>'Excel Calcs'!B90</f>
        <v>19.25</v>
      </c>
      <c r="C495" s="72" t="s">
        <v>554</v>
      </c>
    </row>
    <row r="496" spans="1:5" x14ac:dyDescent="0.2">
      <c r="A496" s="85" t="s">
        <v>1933</v>
      </c>
      <c r="B496" s="243">
        <f>'Excel Calcs'!B91</f>
        <v>1</v>
      </c>
      <c r="C496" s="72" t="s">
        <v>1975</v>
      </c>
    </row>
    <row r="497" spans="1:3" x14ac:dyDescent="0.2">
      <c r="A497" s="85" t="s">
        <v>682</v>
      </c>
      <c r="B497" s="243">
        <f>'Excel Calcs'!B92</f>
        <v>19.25</v>
      </c>
      <c r="C497" s="72" t="s">
        <v>554</v>
      </c>
    </row>
    <row r="498" spans="1:3" x14ac:dyDescent="0.2">
      <c r="A498" s="85" t="s">
        <v>1085</v>
      </c>
      <c r="B498" s="243">
        <f>'Excel Calcs'!B93</f>
        <v>5.5555555555555554</v>
      </c>
      <c r="C498" s="72" t="s">
        <v>554</v>
      </c>
    </row>
    <row r="499" spans="1:3" x14ac:dyDescent="0.2">
      <c r="A499" s="85" t="s">
        <v>1238</v>
      </c>
      <c r="B499" s="243">
        <f>'Excel Calcs'!B94</f>
        <v>38.497999999999998</v>
      </c>
      <c r="C499" s="72" t="s">
        <v>554</v>
      </c>
    </row>
    <row r="500" spans="1:3" x14ac:dyDescent="0.2">
      <c r="A500" s="85" t="s">
        <v>2053</v>
      </c>
      <c r="B500" s="243">
        <f>'Excel Calcs'!B95</f>
        <v>0</v>
      </c>
      <c r="C500" s="72" t="s">
        <v>1975</v>
      </c>
    </row>
    <row r="501" spans="1:3" x14ac:dyDescent="0.2">
      <c r="A501" s="85" t="s">
        <v>687</v>
      </c>
      <c r="B501" s="243">
        <f>'Excel Calcs'!B96</f>
        <v>0</v>
      </c>
      <c r="C501" s="72" t="s">
        <v>1975</v>
      </c>
    </row>
    <row r="502" spans="1:3" x14ac:dyDescent="0.2">
      <c r="A502" s="85" t="s">
        <v>1932</v>
      </c>
      <c r="B502" s="243">
        <f>'Excel Calcs'!B97</f>
        <v>0</v>
      </c>
      <c r="C502" s="72" t="s">
        <v>1975</v>
      </c>
    </row>
    <row r="503" spans="1:3" x14ac:dyDescent="0.2">
      <c r="A503" s="85" t="s">
        <v>415</v>
      </c>
      <c r="B503" s="243">
        <f>'Excel Calcs'!B98</f>
        <v>0</v>
      </c>
      <c r="C503" s="72" t="s">
        <v>1975</v>
      </c>
    </row>
    <row r="504" spans="1:3" x14ac:dyDescent="0.2">
      <c r="A504" s="85" t="s">
        <v>411</v>
      </c>
      <c r="B504" s="243">
        <f>'Excel Calcs'!B99</f>
        <v>1</v>
      </c>
      <c r="C504" s="72" t="s">
        <v>1975</v>
      </c>
    </row>
    <row r="505" spans="1:3" x14ac:dyDescent="0.2">
      <c r="A505" s="85" t="s">
        <v>1086</v>
      </c>
      <c r="B505" s="243">
        <f>'Excel Calcs'!B100</f>
        <v>0</v>
      </c>
      <c r="C505" s="72" t="s">
        <v>1975</v>
      </c>
    </row>
    <row r="506" spans="1:3" x14ac:dyDescent="0.2">
      <c r="A506" s="85" t="s">
        <v>1807</v>
      </c>
      <c r="B506" s="243">
        <f>'Excel Calcs'!B101</f>
        <v>4</v>
      </c>
      <c r="C506" s="72" t="s">
        <v>554</v>
      </c>
    </row>
    <row r="507" spans="1:3" x14ac:dyDescent="0.2">
      <c r="A507" s="85" t="s">
        <v>1661</v>
      </c>
      <c r="B507" s="243">
        <f>'Excel Calcs'!B102</f>
        <v>12</v>
      </c>
      <c r="C507" s="72" t="s">
        <v>554</v>
      </c>
    </row>
    <row r="508" spans="1:3" x14ac:dyDescent="0.2">
      <c r="A508" s="85" t="s">
        <v>824</v>
      </c>
      <c r="B508" s="243">
        <f>'Excel Calcs'!B103</f>
        <v>1</v>
      </c>
      <c r="C508" s="72" t="s">
        <v>1975</v>
      </c>
    </row>
    <row r="509" spans="1:3" x14ac:dyDescent="0.2">
      <c r="A509" s="85" t="s">
        <v>419</v>
      </c>
      <c r="B509" s="243">
        <f>'Excel Calcs'!B104</f>
        <v>1</v>
      </c>
      <c r="C509" s="72" t="s">
        <v>1975</v>
      </c>
    </row>
    <row r="510" spans="1:3" x14ac:dyDescent="0.2">
      <c r="A510" s="85" t="s">
        <v>1398</v>
      </c>
      <c r="B510" s="243">
        <f>'Excel Calcs'!B105</f>
        <v>0</v>
      </c>
      <c r="C510" s="72" t="s">
        <v>1975</v>
      </c>
    </row>
    <row r="511" spans="1:3" x14ac:dyDescent="0.2">
      <c r="A511" s="85" t="s">
        <v>548</v>
      </c>
      <c r="B511" s="243">
        <f>'Excel Calcs'!B106</f>
        <v>0</v>
      </c>
      <c r="C511" s="72" t="s">
        <v>1975</v>
      </c>
    </row>
    <row r="512" spans="1:3" x14ac:dyDescent="0.2">
      <c r="A512" s="85" t="s">
        <v>951</v>
      </c>
      <c r="B512" s="243">
        <f>'Excel Calcs'!B107</f>
        <v>0</v>
      </c>
      <c r="C512" s="72" t="s">
        <v>1975</v>
      </c>
    </row>
    <row r="513" spans="1:3" x14ac:dyDescent="0.2">
      <c r="A513" s="85" t="s">
        <v>139</v>
      </c>
      <c r="B513" s="243">
        <f>'Excel Calcs'!B108</f>
        <v>0</v>
      </c>
      <c r="C513" s="72" t="s">
        <v>1975</v>
      </c>
    </row>
    <row r="514" spans="1:3" x14ac:dyDescent="0.2">
      <c r="A514" s="85" t="s">
        <v>948</v>
      </c>
      <c r="B514" s="243">
        <f>'Excel Calcs'!B109</f>
        <v>0</v>
      </c>
      <c r="C514" s="72" t="s">
        <v>1975</v>
      </c>
    </row>
    <row r="515" spans="1:3" x14ac:dyDescent="0.2">
      <c r="A515" s="85" t="s">
        <v>1239</v>
      </c>
      <c r="B515" s="243">
        <f>'Excel Calcs'!B110</f>
        <v>-10</v>
      </c>
      <c r="C515" s="72" t="s">
        <v>554</v>
      </c>
    </row>
    <row r="516" spans="1:3" x14ac:dyDescent="0.2">
      <c r="A516" s="85" t="s">
        <v>820</v>
      </c>
      <c r="B516" s="243">
        <f>'Excel Calcs'!B111</f>
        <v>-1</v>
      </c>
      <c r="C516" s="72" t="s">
        <v>554</v>
      </c>
    </row>
    <row r="517" spans="1:3" x14ac:dyDescent="0.2">
      <c r="A517" s="85" t="s">
        <v>1511</v>
      </c>
      <c r="B517" s="243">
        <f>'Excel Calcs'!B112</f>
        <v>-9.5</v>
      </c>
      <c r="C517" s="72" t="s">
        <v>554</v>
      </c>
    </row>
    <row r="518" spans="1:3" x14ac:dyDescent="0.2">
      <c r="A518" s="85" t="s">
        <v>1392</v>
      </c>
      <c r="B518" s="243">
        <f>'Excel Calcs'!B113</f>
        <v>28.748000000000001</v>
      </c>
      <c r="C518" s="72" t="s">
        <v>554</v>
      </c>
    </row>
    <row r="519" spans="1:3" x14ac:dyDescent="0.2">
      <c r="A519" s="85" t="s">
        <v>134</v>
      </c>
      <c r="B519" s="243">
        <f>'Excel Calcs'!B114</f>
        <v>0</v>
      </c>
      <c r="C519" s="72" t="s">
        <v>1975</v>
      </c>
    </row>
    <row r="520" spans="1:3" x14ac:dyDescent="0.2">
      <c r="A520" s="542" t="s">
        <v>1240</v>
      </c>
      <c r="B520" s="243">
        <f>'Excel Calcs'!B115</f>
        <v>0</v>
      </c>
      <c r="C520" s="72" t="s">
        <v>1975</v>
      </c>
    </row>
    <row r="521" spans="1:3" x14ac:dyDescent="0.2">
      <c r="A521" s="542" t="s">
        <v>291</v>
      </c>
      <c r="B521" s="243">
        <f>'Excel Calcs'!B116</f>
        <v>0</v>
      </c>
      <c r="C521" s="72" t="s">
        <v>1975</v>
      </c>
    </row>
    <row r="522" spans="1:3" x14ac:dyDescent="0.2">
      <c r="A522" s="85" t="s">
        <v>1241</v>
      </c>
      <c r="B522" s="243">
        <f>'Excel Calcs'!B117</f>
        <v>21.251000000000001</v>
      </c>
      <c r="C522" s="72" t="s">
        <v>554</v>
      </c>
    </row>
    <row r="523" spans="1:3" x14ac:dyDescent="0.2">
      <c r="A523" s="85" t="s">
        <v>1519</v>
      </c>
      <c r="B523" s="243">
        <f>'Excel Calcs'!B118</f>
        <v>25.001000000000001</v>
      </c>
      <c r="C523" s="72" t="s">
        <v>554</v>
      </c>
    </row>
    <row r="524" spans="1:3" x14ac:dyDescent="0.2">
      <c r="A524" s="85" t="s">
        <v>288</v>
      </c>
      <c r="B524" s="243">
        <f>'Excel Calcs'!B119</f>
        <v>17</v>
      </c>
      <c r="C524" s="72" t="s">
        <v>554</v>
      </c>
    </row>
    <row r="525" spans="1:3" x14ac:dyDescent="0.2">
      <c r="A525" s="85" t="s">
        <v>546</v>
      </c>
      <c r="B525" s="243">
        <f>'Excel Calcs'!B120</f>
        <v>12</v>
      </c>
      <c r="C525" s="72" t="s">
        <v>554</v>
      </c>
    </row>
    <row r="526" spans="1:3" x14ac:dyDescent="0.2">
      <c r="A526" s="85" t="s">
        <v>688</v>
      </c>
      <c r="B526" s="243">
        <f>'Excel Calcs'!B121</f>
        <v>17</v>
      </c>
      <c r="C526" s="72" t="s">
        <v>554</v>
      </c>
    </row>
    <row r="527" spans="1:3" x14ac:dyDescent="0.2">
      <c r="A527" s="85" t="s">
        <v>416</v>
      </c>
      <c r="B527" s="243">
        <f>'Excel Calcs'!B122</f>
        <v>-11.25</v>
      </c>
      <c r="C527" s="72" t="s">
        <v>554</v>
      </c>
    </row>
    <row r="528" spans="1:3" x14ac:dyDescent="0.2">
      <c r="A528" s="85" t="s">
        <v>1512</v>
      </c>
      <c r="B528" s="243">
        <f>'Excel Calcs'!B123</f>
        <v>0.5</v>
      </c>
      <c r="C528" s="72" t="s">
        <v>554</v>
      </c>
    </row>
    <row r="529" spans="1:3" x14ac:dyDescent="0.2">
      <c r="A529" s="85" t="s">
        <v>290</v>
      </c>
      <c r="B529" s="243">
        <f>'Excel Calcs'!B124</f>
        <v>15.4</v>
      </c>
      <c r="C529" s="72" t="s">
        <v>554</v>
      </c>
    </row>
    <row r="530" spans="1:3" x14ac:dyDescent="0.2">
      <c r="A530" s="85" t="s">
        <v>1394</v>
      </c>
      <c r="B530" s="243">
        <f>'Excel Calcs'!B125</f>
        <v>28.748000000000001</v>
      </c>
      <c r="C530" s="72" t="s">
        <v>554</v>
      </c>
    </row>
    <row r="531" spans="1:3" x14ac:dyDescent="0.2">
      <c r="A531" s="85" t="s">
        <v>412</v>
      </c>
      <c r="B531" s="243">
        <f>'Excel Calcs'!B126</f>
        <v>-9.5</v>
      </c>
      <c r="C531" s="72" t="s">
        <v>554</v>
      </c>
    </row>
    <row r="532" spans="1:3" x14ac:dyDescent="0.2">
      <c r="A532" s="85" t="s">
        <v>2187</v>
      </c>
      <c r="B532" s="243">
        <f>'Excel Calcs'!B127</f>
        <v>6.5500000000000007</v>
      </c>
      <c r="C532" s="72" t="s">
        <v>554</v>
      </c>
    </row>
    <row r="533" spans="1:3" x14ac:dyDescent="0.2">
      <c r="A533" s="85" t="s">
        <v>952</v>
      </c>
      <c r="B533" s="243">
        <f>'Excel Calcs'!B128</f>
        <v>0</v>
      </c>
      <c r="C533" s="72" t="s">
        <v>1975</v>
      </c>
    </row>
    <row r="534" spans="1:3" x14ac:dyDescent="0.2">
      <c r="A534" s="85" t="s">
        <v>689</v>
      </c>
      <c r="B534" s="243">
        <f>'Excel Calcs'!B129</f>
        <v>0</v>
      </c>
      <c r="C534" s="72" t="s">
        <v>1975</v>
      </c>
    </row>
    <row r="535" spans="1:3" x14ac:dyDescent="0.2">
      <c r="A535" s="85" t="s">
        <v>953</v>
      </c>
      <c r="B535" s="243">
        <f>'Excel Calcs'!B130</f>
        <v>0</v>
      </c>
      <c r="C535" s="72" t="s">
        <v>1975</v>
      </c>
    </row>
    <row r="536" spans="1:3" x14ac:dyDescent="0.2">
      <c r="A536" s="85" t="s">
        <v>549</v>
      </c>
      <c r="B536" s="243">
        <f>'Excel Calcs'!B131</f>
        <v>1</v>
      </c>
      <c r="C536" s="72" t="s">
        <v>1975</v>
      </c>
    </row>
    <row r="537" spans="1:3" x14ac:dyDescent="0.2">
      <c r="A537" s="85" t="s">
        <v>1399</v>
      </c>
      <c r="B537" s="243">
        <f>'Excel Calcs'!B132</f>
        <v>0</v>
      </c>
      <c r="C537" s="72" t="s">
        <v>1975</v>
      </c>
    </row>
    <row r="538" spans="1:3" x14ac:dyDescent="0.2">
      <c r="A538" s="85" t="s">
        <v>954</v>
      </c>
      <c r="B538" s="243">
        <f>'Excel Calcs'!B133</f>
        <v>0</v>
      </c>
      <c r="C538" s="72" t="s">
        <v>1975</v>
      </c>
    </row>
    <row r="539" spans="1:3" x14ac:dyDescent="0.2">
      <c r="A539" s="85" t="s">
        <v>825</v>
      </c>
      <c r="B539" s="243">
        <f>'Excel Calcs'!B134</f>
        <v>0</v>
      </c>
      <c r="C539" s="72" t="s">
        <v>1975</v>
      </c>
    </row>
    <row r="540" spans="1:3" x14ac:dyDescent="0.2">
      <c r="A540" s="85" t="s">
        <v>550</v>
      </c>
      <c r="B540" s="243">
        <f>'Excel Calcs'!B135</f>
        <v>0</v>
      </c>
      <c r="C540" s="72" t="s">
        <v>1975</v>
      </c>
    </row>
    <row r="541" spans="1:3" x14ac:dyDescent="0.2">
      <c r="A541" s="85" t="s">
        <v>1513</v>
      </c>
      <c r="B541" s="243">
        <f>'Excel Calcs'!B136</f>
        <v>0.75</v>
      </c>
      <c r="C541" s="72" t="s">
        <v>554</v>
      </c>
    </row>
    <row r="542" spans="1:3" x14ac:dyDescent="0.2">
      <c r="A542" s="85" t="s">
        <v>1800</v>
      </c>
      <c r="B542" s="243">
        <f>'Excel Calcs'!B137</f>
        <v>12</v>
      </c>
      <c r="C542" s="72" t="s">
        <v>554</v>
      </c>
    </row>
    <row r="543" spans="1:3" x14ac:dyDescent="0.2">
      <c r="A543" s="85" t="s">
        <v>683</v>
      </c>
      <c r="B543" s="243">
        <f>'Excel Calcs'!B138</f>
        <v>15</v>
      </c>
      <c r="C543" s="72" t="s">
        <v>554</v>
      </c>
    </row>
    <row r="544" spans="1:3" x14ac:dyDescent="0.2">
      <c r="A544" s="85" t="s">
        <v>2047</v>
      </c>
      <c r="B544" s="243">
        <f>'Excel Calcs'!B139</f>
        <v>17</v>
      </c>
      <c r="C544" s="72" t="s">
        <v>554</v>
      </c>
    </row>
    <row r="545" spans="1:13" x14ac:dyDescent="0.2">
      <c r="A545" s="85" t="s">
        <v>1801</v>
      </c>
      <c r="B545" s="243">
        <f>'Excel Calcs'!B140</f>
        <v>-11.25</v>
      </c>
      <c r="C545" s="72" t="s">
        <v>554</v>
      </c>
    </row>
    <row r="546" spans="1:13" x14ac:dyDescent="0.2">
      <c r="A546" s="85" t="s">
        <v>2054</v>
      </c>
      <c r="B546" s="243">
        <f>'Excel Calcs'!B141</f>
        <v>0</v>
      </c>
      <c r="C546" s="72" t="s">
        <v>1975</v>
      </c>
    </row>
    <row r="547" spans="1:13" x14ac:dyDescent="0.2">
      <c r="A547" s="85" t="s">
        <v>1656</v>
      </c>
      <c r="B547" s="243">
        <f>'Excel Calcs'!B142</f>
        <v>0</v>
      </c>
      <c r="C547" s="72" t="s">
        <v>1975</v>
      </c>
    </row>
    <row r="548" spans="1:13" x14ac:dyDescent="0.2">
      <c r="A548" s="85" t="s">
        <v>2048</v>
      </c>
      <c r="B548" s="243">
        <f>'Excel Calcs'!B143</f>
        <v>0</v>
      </c>
      <c r="C548" s="72" t="s">
        <v>1975</v>
      </c>
    </row>
    <row r="549" spans="1:13" x14ac:dyDescent="0.2">
      <c r="A549" s="85" t="s">
        <v>1657</v>
      </c>
      <c r="B549" s="243">
        <f>'Excel Calcs'!B144</f>
        <v>0</v>
      </c>
      <c r="C549" s="72" t="s">
        <v>1975</v>
      </c>
    </row>
    <row r="550" spans="1:13" x14ac:dyDescent="0.2">
      <c r="A550" s="85" t="s">
        <v>1662</v>
      </c>
      <c r="B550" s="243">
        <f>'Excel Calcs'!B145</f>
        <v>0</v>
      </c>
      <c r="C550" s="72" t="s">
        <v>1975</v>
      </c>
    </row>
    <row r="551" spans="1:13" x14ac:dyDescent="0.2">
      <c r="A551" s="85" t="s">
        <v>1242</v>
      </c>
      <c r="B551" s="243">
        <f>'Excel Calcs'!B146</f>
        <v>0</v>
      </c>
      <c r="C551" s="72" t="s">
        <v>1975</v>
      </c>
    </row>
    <row r="552" spans="1:13" x14ac:dyDescent="0.2">
      <c r="A552" s="85" t="s">
        <v>1514</v>
      </c>
      <c r="B552" s="243">
        <f>'Excel Calcs'!B147</f>
        <v>0</v>
      </c>
      <c r="C552" s="72" t="s">
        <v>1975</v>
      </c>
    </row>
    <row r="553" spans="1:13" x14ac:dyDescent="0.2">
      <c r="A553" s="85" t="s">
        <v>1243</v>
      </c>
      <c r="B553" s="243">
        <f>'Excel Calcs'!B148</f>
        <v>1</v>
      </c>
      <c r="C553" s="72" t="s">
        <v>1975</v>
      </c>
    </row>
    <row r="554" spans="1:13" x14ac:dyDescent="0.2">
      <c r="A554" s="85" t="s">
        <v>1515</v>
      </c>
      <c r="B554" s="243">
        <f>'Excel Calcs'!B149</f>
        <v>17.251000000000001</v>
      </c>
      <c r="C554" s="72" t="s">
        <v>554</v>
      </c>
    </row>
    <row r="555" spans="1:13" x14ac:dyDescent="0.2">
      <c r="A555" s="85" t="s">
        <v>1802</v>
      </c>
      <c r="B555" s="243">
        <f>'Excel Calcs'!B150</f>
        <v>29.75</v>
      </c>
      <c r="C555" s="72" t="s">
        <v>554</v>
      </c>
      <c r="M555" s="80"/>
    </row>
    <row r="556" spans="1:13" x14ac:dyDescent="0.2">
      <c r="A556" s="85" t="s">
        <v>945</v>
      </c>
      <c r="B556" s="243">
        <f>'Excel Calcs'!B151</f>
        <v>87.03</v>
      </c>
      <c r="C556" s="72" t="s">
        <v>554</v>
      </c>
      <c r="M556" s="80"/>
    </row>
    <row r="557" spans="1:13" x14ac:dyDescent="0.2">
      <c r="A557" s="85" t="s">
        <v>2049</v>
      </c>
      <c r="B557" s="243">
        <f>'Excel Calcs'!B152</f>
        <v>43.61</v>
      </c>
      <c r="C557" s="72" t="s">
        <v>554</v>
      </c>
      <c r="M557" s="80"/>
    </row>
    <row r="558" spans="1:13" x14ac:dyDescent="0.2">
      <c r="A558" s="880" t="s">
        <v>2273</v>
      </c>
      <c r="B558" s="881" cm="1">
        <f t="array" ref="B558">MATCH(1,('Isolator Plate'!C4:C35=MaterialStyle)*('Isolator Plate'!B4:B35=Construction)*('Isolator Plate'!D4:D35='Excel Calcs'!$H$11),0)</f>
        <v>4</v>
      </c>
      <c r="C558" s="882" t="s">
        <v>1975</v>
      </c>
      <c r="M558" s="80"/>
    </row>
    <row r="559" spans="1:13" x14ac:dyDescent="0.2">
      <c r="A559" s="880" t="s">
        <v>2274</v>
      </c>
      <c r="B559" s="881" cm="1">
        <f t="array" ref="B559">MATCH(1,('Isolator Plate'!C4:C35=MaterialStyle)*('Isolator Plate'!B4:B35=Construction)*('Isolator Plate'!D4:D35='Excel Calcs'!$H$18),0)</f>
        <v>3</v>
      </c>
      <c r="C559" s="882" t="s">
        <v>1975</v>
      </c>
      <c r="M559" s="80"/>
    </row>
    <row r="560" spans="1:13" x14ac:dyDescent="0.2">
      <c r="A560" s="880" t="s">
        <v>2275</v>
      </c>
      <c r="B560" s="881" cm="1">
        <f t="array" ref="B560">MATCH(1,('Isolator Plate'!C4:C35=MaterialStyle)*('Isolator Plate'!B4:B35=Construction)*('Isolator Plate'!D4:D35='Excel Calcs'!$H$25),0)</f>
        <v>4</v>
      </c>
      <c r="C560" s="882" t="s">
        <v>1975</v>
      </c>
      <c r="M560" s="80"/>
    </row>
    <row r="561" spans="1:13" x14ac:dyDescent="0.2">
      <c r="A561" s="880" t="s">
        <v>2276</v>
      </c>
      <c r="B561" s="881" cm="1">
        <f t="array" ref="B561">MATCH(1,('Isolator Plate'!C4:C35=MaterialStyle)*('Isolator Plate'!B4:B35=Construction)*('Isolator Plate'!D4:D35='Excel Calcs'!$H$32),0)</f>
        <v>3</v>
      </c>
      <c r="C561" s="882" t="s">
        <v>1975</v>
      </c>
      <c r="M561" s="80"/>
    </row>
    <row r="562" spans="1:13" x14ac:dyDescent="0.2">
      <c r="M562" s="80"/>
    </row>
    <row r="563" spans="1:13" x14ac:dyDescent="0.2">
      <c r="M563" s="80"/>
    </row>
    <row r="564" spans="1:13" x14ac:dyDescent="0.2">
      <c r="M564" s="80"/>
    </row>
    <row r="565" spans="1:13" x14ac:dyDescent="0.2">
      <c r="M565" s="80"/>
    </row>
  </sheetData>
  <pageMargins left="0.75" right="0.75" top="1" bottom="1" header="0.5" footer="0.5"/>
  <pageSetup scale="1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H49"/>
  <sheetViews>
    <sheetView tabSelected="1" zoomScale="115" zoomScaleNormal="115" workbookViewId="0">
      <selection activeCell="C9" sqref="C9"/>
    </sheetView>
  </sheetViews>
  <sheetFormatPr defaultColWidth="9.140625" defaultRowHeight="12.75" x14ac:dyDescent="0.2"/>
  <cols>
    <col min="1" max="1" width="22.5703125" style="72" bestFit="1" customWidth="1"/>
    <col min="2" max="2" width="13.140625" style="72" bestFit="1" customWidth="1"/>
    <col min="3" max="3" width="144.7109375" style="72" customWidth="1"/>
    <col min="4" max="4" width="27.28515625" style="75" bestFit="1" customWidth="1"/>
    <col min="5" max="5" width="2.5703125" style="75" customWidth="1"/>
    <col min="6" max="6" width="24.5703125" style="75" bestFit="1" customWidth="1"/>
    <col min="7" max="7" width="8.42578125" style="75" bestFit="1" customWidth="1"/>
    <col min="8" max="8" width="54.5703125" style="75" bestFit="1" customWidth="1"/>
    <col min="9" max="16384" width="9.140625" style="75"/>
  </cols>
  <sheetData>
    <row r="1" spans="1:8" ht="13.5" thickBot="1" x14ac:dyDescent="0.25">
      <c r="A1" s="919" t="s">
        <v>1430</v>
      </c>
      <c r="B1" s="920"/>
    </row>
    <row r="2" spans="1:8" ht="13.5" thickBot="1" x14ac:dyDescent="0.25">
      <c r="A2" s="687" t="s">
        <v>732</v>
      </c>
      <c r="B2" s="539" t="s">
        <v>1857</v>
      </c>
      <c r="C2" s="765" t="s">
        <v>1403</v>
      </c>
      <c r="F2" s="921" t="s">
        <v>1972</v>
      </c>
      <c r="G2" s="922"/>
      <c r="H2" s="923"/>
    </row>
    <row r="3" spans="1:8" x14ac:dyDescent="0.2">
      <c r="A3" s="568" t="s">
        <v>325</v>
      </c>
      <c r="B3" s="825">
        <v>106</v>
      </c>
      <c r="C3" s="659" t="s">
        <v>2093</v>
      </c>
      <c r="F3" s="924" t="s">
        <v>852</v>
      </c>
      <c r="G3" s="925"/>
      <c r="H3" s="926"/>
    </row>
    <row r="4" spans="1:8" x14ac:dyDescent="0.2">
      <c r="A4" s="488" t="s">
        <v>50</v>
      </c>
      <c r="B4" s="714">
        <v>134</v>
      </c>
      <c r="C4" s="367" t="s">
        <v>1720</v>
      </c>
      <c r="F4" s="826" t="s">
        <v>1195</v>
      </c>
      <c r="G4" s="259">
        <f>IF(InertiaPlateThkO="-",'Excel Calcs'!Q18,InertiaPlateThkO)</f>
        <v>5.6009999999999997E-2</v>
      </c>
      <c r="H4" s="827" t="s">
        <v>679</v>
      </c>
    </row>
    <row r="5" spans="1:8" ht="13.5" thickBot="1" x14ac:dyDescent="0.25">
      <c r="A5" s="488" t="s">
        <v>261</v>
      </c>
      <c r="B5" s="714">
        <v>76</v>
      </c>
      <c r="C5" s="367" t="s">
        <v>1784</v>
      </c>
      <c r="F5" s="828" t="s">
        <v>1235</v>
      </c>
      <c r="G5" s="829">
        <f>IF(TopDischTransThkO="-",'Excel Calcs'!E98,InertiaPlateThkO)</f>
        <v>5.6009999999999997E-2</v>
      </c>
      <c r="H5" s="830" t="s">
        <v>408</v>
      </c>
    </row>
    <row r="6" spans="1:8" ht="13.5" x14ac:dyDescent="0.2">
      <c r="A6" s="488" t="s">
        <v>0</v>
      </c>
      <c r="B6" s="714">
        <v>300</v>
      </c>
      <c r="C6" s="367" t="s">
        <v>1509</v>
      </c>
      <c r="H6" s="761"/>
    </row>
    <row r="7" spans="1:8" ht="13.5" x14ac:dyDescent="0.2">
      <c r="A7" s="488" t="s">
        <v>691</v>
      </c>
      <c r="B7" s="714">
        <v>2</v>
      </c>
      <c r="C7" s="367" t="s">
        <v>1098</v>
      </c>
      <c r="D7" s="807" t="s">
        <v>1520</v>
      </c>
      <c r="H7" s="761"/>
    </row>
    <row r="8" spans="1:8" ht="13.5" x14ac:dyDescent="0.2">
      <c r="A8" s="488" t="s">
        <v>1029</v>
      </c>
      <c r="B8" s="714">
        <v>1024</v>
      </c>
      <c r="C8" s="367" t="s">
        <v>1030</v>
      </c>
      <c r="H8" s="761"/>
    </row>
    <row r="9" spans="1:8" x14ac:dyDescent="0.2">
      <c r="A9" s="488" t="s">
        <v>386</v>
      </c>
      <c r="B9" s="714" t="s">
        <v>422</v>
      </c>
      <c r="C9" s="367" t="s">
        <v>253</v>
      </c>
      <c r="D9" s="807" t="s">
        <v>1667</v>
      </c>
    </row>
    <row r="10" spans="1:8" x14ac:dyDescent="0.2">
      <c r="A10" s="488" t="s">
        <v>857</v>
      </c>
      <c r="B10" s="714" t="s">
        <v>1942</v>
      </c>
      <c r="C10" s="367" t="s">
        <v>1974</v>
      </c>
    </row>
    <row r="11" spans="1:8" x14ac:dyDescent="0.2">
      <c r="A11" s="488" t="s">
        <v>212</v>
      </c>
      <c r="B11" s="714" t="s">
        <v>1401</v>
      </c>
      <c r="C11" s="367" t="s">
        <v>1015</v>
      </c>
      <c r="D11" s="807" t="s">
        <v>1097</v>
      </c>
    </row>
    <row r="12" spans="1:8" x14ac:dyDescent="0.2">
      <c r="A12" s="488" t="s">
        <v>1739</v>
      </c>
      <c r="B12" s="714" t="s">
        <v>1402</v>
      </c>
      <c r="C12" s="367" t="s">
        <v>1608</v>
      </c>
      <c r="D12" s="807" t="s">
        <v>2057</v>
      </c>
    </row>
    <row r="13" spans="1:8" x14ac:dyDescent="0.2">
      <c r="A13" s="488" t="s">
        <v>2013</v>
      </c>
      <c r="B13" s="714">
        <v>700</v>
      </c>
      <c r="C13" s="367" t="s">
        <v>1462</v>
      </c>
    </row>
    <row r="14" spans="1:8" ht="25.5" x14ac:dyDescent="0.2">
      <c r="A14" s="443" t="s">
        <v>1607</v>
      </c>
      <c r="B14" s="714">
        <v>47.844999999999999</v>
      </c>
      <c r="C14" s="610" t="s">
        <v>2046</v>
      </c>
    </row>
    <row r="15" spans="1:8" x14ac:dyDescent="0.2">
      <c r="A15" s="443" t="s">
        <v>1769</v>
      </c>
      <c r="B15" s="714">
        <v>2</v>
      </c>
      <c r="C15" s="367" t="s">
        <v>2023</v>
      </c>
      <c r="D15" s="807" t="s">
        <v>1400</v>
      </c>
    </row>
    <row r="16" spans="1:8" x14ac:dyDescent="0.2">
      <c r="A16" s="488" t="s">
        <v>2099</v>
      </c>
      <c r="B16" s="714" t="s">
        <v>1721</v>
      </c>
      <c r="C16" s="367" t="s">
        <v>377</v>
      </c>
      <c r="D16" s="808" t="s">
        <v>553</v>
      </c>
    </row>
    <row r="17" spans="1:4" x14ac:dyDescent="0.2">
      <c r="A17" s="840" t="s">
        <v>1858</v>
      </c>
      <c r="B17" s="832" t="s">
        <v>716</v>
      </c>
      <c r="C17" s="841" t="s">
        <v>2094</v>
      </c>
      <c r="D17" s="833" t="s">
        <v>2277</v>
      </c>
    </row>
    <row r="18" spans="1:4" x14ac:dyDescent="0.2">
      <c r="A18" s="831" t="s">
        <v>326</v>
      </c>
      <c r="B18" s="832" t="s">
        <v>1524</v>
      </c>
      <c r="C18" s="839" t="s">
        <v>2261</v>
      </c>
      <c r="D18" s="833" t="s">
        <v>2210</v>
      </c>
    </row>
    <row r="19" spans="1:4" x14ac:dyDescent="0.2">
      <c r="A19" s="739" t="s">
        <v>1154</v>
      </c>
      <c r="B19" s="627">
        <v>0</v>
      </c>
      <c r="C19" s="367" t="s">
        <v>658</v>
      </c>
    </row>
    <row r="20" spans="1:4" x14ac:dyDescent="0.2">
      <c r="A20" s="739" t="s">
        <v>499</v>
      </c>
      <c r="B20" s="72">
        <v>0</v>
      </c>
      <c r="C20" s="367" t="s">
        <v>366</v>
      </c>
    </row>
    <row r="21" spans="1:4" x14ac:dyDescent="0.2">
      <c r="A21" s="739" t="s">
        <v>1741</v>
      </c>
      <c r="B21" s="714" t="s">
        <v>1404</v>
      </c>
      <c r="C21" s="367" t="s">
        <v>775</v>
      </c>
      <c r="D21" s="807" t="s">
        <v>956</v>
      </c>
    </row>
    <row r="22" spans="1:4" x14ac:dyDescent="0.2">
      <c r="A22" s="739" t="s">
        <v>634</v>
      </c>
      <c r="B22" s="714">
        <v>0</v>
      </c>
      <c r="C22" s="367" t="s">
        <v>637</v>
      </c>
    </row>
    <row r="23" spans="1:4" x14ac:dyDescent="0.2">
      <c r="A23" s="618" t="s">
        <v>779</v>
      </c>
      <c r="B23" s="141" t="s">
        <v>1404</v>
      </c>
      <c r="C23" s="367" t="s">
        <v>376</v>
      </c>
    </row>
    <row r="24" spans="1:4" x14ac:dyDescent="0.2">
      <c r="A24" s="618" t="s">
        <v>1508</v>
      </c>
      <c r="B24" s="141" t="s">
        <v>1404</v>
      </c>
      <c r="C24" s="367" t="s">
        <v>1388</v>
      </c>
    </row>
    <row r="25" spans="1:4" ht="12.75" customHeight="1" x14ac:dyDescent="0.2">
      <c r="A25" s="75"/>
    </row>
    <row r="26" spans="1:4" x14ac:dyDescent="0.2">
      <c r="A26" s="927" t="str">
        <f>IF(OR('Load Calculations'!B4&gt;Isolators!G22,'Load Calculations'!C4&gt;Isolators!G22,'Load Calculations'!D4&gt;Isolators!G22,'Load Calculations'!E4&gt;Isolators!G22),"WEIGHT CALCULATIONS EXCEED SINGLE ISOLATOR USE OF 2050LBS IN ONE OR MORE ISOLATOR LOCATIONS. PLEASE SEE LOAD CALCULATIONS TAB FOR LOAD DATA AND ADD/ADJUST ISOLATORS AS NEEDED TO MEET LOAD REQUIREMENT.",IF(AND(OR('Load Calculations'!B4&gt;Isolators!G10,'Load Calculations'!C4&gt;Isolators!G10,'Load Calculations'!D4&gt;Isolators!G10,'Load Calculations'!E4&gt;Isolators!G10),ISOLATORDEFLECTION=1),"LOAD EXCEEDS LARGEST SPRING FOR 1 INCH ISOLATOR DEFLECTION, PLEASE CHANGE ISOLATOR DEFLECTION TO 2"," "))</f>
        <v xml:space="preserve"> </v>
      </c>
      <c r="B26" s="928"/>
      <c r="C26" s="928"/>
    </row>
    <row r="27" spans="1:4" x14ac:dyDescent="0.2">
      <c r="A27" s="928"/>
      <c r="B27" s="928"/>
      <c r="C27" s="928"/>
    </row>
    <row r="28" spans="1:4" x14ac:dyDescent="0.2">
      <c r="A28" s="928"/>
      <c r="B28" s="928"/>
      <c r="C28" s="928"/>
    </row>
    <row r="29" spans="1:4" x14ac:dyDescent="0.2">
      <c r="A29" s="928"/>
      <c r="B29" s="928"/>
      <c r="C29" s="928"/>
    </row>
    <row r="30" spans="1:4" x14ac:dyDescent="0.2">
      <c r="A30" s="929"/>
      <c r="B30" s="929"/>
      <c r="C30" s="929"/>
    </row>
    <row r="31" spans="1:4" x14ac:dyDescent="0.2">
      <c r="A31" s="929"/>
      <c r="B31" s="929"/>
      <c r="C31" s="929"/>
    </row>
    <row r="32" spans="1:4" x14ac:dyDescent="0.2">
      <c r="A32" s="75"/>
      <c r="C32" s="75"/>
    </row>
    <row r="33" spans="3:3" x14ac:dyDescent="0.2">
      <c r="C33" s="75"/>
    </row>
    <row r="34" spans="3:3" x14ac:dyDescent="0.2">
      <c r="C34" s="75"/>
    </row>
    <row r="35" spans="3:3" x14ac:dyDescent="0.2">
      <c r="C35" s="75"/>
    </row>
    <row r="36" spans="3:3" x14ac:dyDescent="0.2">
      <c r="C36" s="75"/>
    </row>
    <row r="37" spans="3:3" x14ac:dyDescent="0.2">
      <c r="C37" s="75"/>
    </row>
    <row r="38" spans="3:3" x14ac:dyDescent="0.2">
      <c r="C38" s="75"/>
    </row>
    <row r="39" spans="3:3" x14ac:dyDescent="0.2">
      <c r="C39" s="75"/>
    </row>
    <row r="40" spans="3:3" x14ac:dyDescent="0.2">
      <c r="C40" s="75"/>
    </row>
    <row r="41" spans="3:3" x14ac:dyDescent="0.2">
      <c r="C41" s="75"/>
    </row>
    <row r="42" spans="3:3" x14ac:dyDescent="0.2">
      <c r="C42" s="75"/>
    </row>
    <row r="43" spans="3:3" x14ac:dyDescent="0.2">
      <c r="C43" s="75"/>
    </row>
    <row r="44" spans="3:3" x14ac:dyDescent="0.2">
      <c r="C44" s="75"/>
    </row>
    <row r="45" spans="3:3" x14ac:dyDescent="0.2">
      <c r="C45" s="75"/>
    </row>
    <row r="46" spans="3:3" x14ac:dyDescent="0.2">
      <c r="C46" s="75"/>
    </row>
    <row r="47" spans="3:3" x14ac:dyDescent="0.2">
      <c r="C47" s="75"/>
    </row>
    <row r="48" spans="3:3" x14ac:dyDescent="0.2">
      <c r="C48" s="75"/>
    </row>
    <row r="49" spans="3:3" x14ac:dyDescent="0.2">
      <c r="C49" s="75"/>
    </row>
  </sheetData>
  <mergeCells count="4">
    <mergeCell ref="A1:B1"/>
    <mergeCell ref="F2:H2"/>
    <mergeCell ref="F3:H3"/>
    <mergeCell ref="A26:C31"/>
  </mergeCells>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99"/>
  <sheetViews>
    <sheetView showGridLines="0" zoomScale="84" workbookViewId="0">
      <selection activeCell="H18" sqref="H18"/>
    </sheetView>
  </sheetViews>
  <sheetFormatPr defaultColWidth="8.85546875" defaultRowHeight="12" customHeight="1" x14ac:dyDescent="0.2"/>
  <cols>
    <col min="1" max="1" width="44.85546875" style="149" customWidth="1"/>
    <col min="2" max="2" width="10.7109375" style="72" customWidth="1"/>
    <col min="3" max="3" width="2.7109375" style="72" customWidth="1"/>
    <col min="4" max="4" width="44.5703125" style="72" bestFit="1" customWidth="1"/>
    <col min="5" max="5" width="11.28515625" style="72" customWidth="1"/>
    <col min="6" max="6" width="2.7109375" style="72" customWidth="1"/>
    <col min="7" max="7" width="35.42578125" style="72" bestFit="1" customWidth="1"/>
    <col min="8" max="8" width="10.7109375" style="29" customWidth="1"/>
    <col min="9" max="9" width="2.7109375" style="72" customWidth="1"/>
    <col min="10" max="10" width="48.28515625" style="75" bestFit="1" customWidth="1"/>
    <col min="11" max="11" width="12.42578125" style="75" bestFit="1" customWidth="1"/>
    <col min="12" max="12" width="2.7109375" style="75" customWidth="1"/>
    <col min="13" max="13" width="41.7109375" style="75" bestFit="1" customWidth="1"/>
    <col min="14" max="14" width="12.42578125" style="75" customWidth="1"/>
    <col min="15" max="15" width="2.7109375" style="75" customWidth="1"/>
    <col min="16" max="16" width="56.140625" style="75" customWidth="1"/>
    <col min="17" max="17" width="12.42578125" style="75" customWidth="1"/>
    <col min="18" max="18" width="9.28515625" style="80" customWidth="1"/>
    <col min="19" max="19" width="8.85546875" style="80" customWidth="1"/>
    <col min="20" max="20" width="8.85546875" style="80"/>
    <col min="21" max="16384" width="8.85546875" style="75"/>
  </cols>
  <sheetData>
    <row r="1" spans="1:20" ht="12" customHeight="1" x14ac:dyDescent="0.2">
      <c r="D1" s="29"/>
      <c r="E1" s="29">
        <f>B17-B52+E10-E14-E16+E19-E17/2</f>
        <v>2.3399999999999963</v>
      </c>
      <c r="F1" s="29"/>
      <c r="G1" s="590"/>
      <c r="J1" s="243"/>
      <c r="K1" s="192"/>
      <c r="L1" s="192"/>
      <c r="M1" s="192"/>
    </row>
    <row r="2" spans="1:20" ht="12" customHeight="1" x14ac:dyDescent="0.2">
      <c r="A2" s="149" t="s">
        <v>732</v>
      </c>
      <c r="B2" s="72" t="s">
        <v>1857</v>
      </c>
      <c r="D2" s="149" t="s">
        <v>732</v>
      </c>
      <c r="E2" s="72" t="s">
        <v>1857</v>
      </c>
      <c r="G2" s="149" t="s">
        <v>732</v>
      </c>
      <c r="H2" s="29" t="s">
        <v>1857</v>
      </c>
      <c r="J2" s="149" t="s">
        <v>732</v>
      </c>
      <c r="K2" s="72" t="s">
        <v>1857</v>
      </c>
      <c r="L2" s="72"/>
      <c r="M2" s="149" t="s">
        <v>732</v>
      </c>
      <c r="N2" s="72" t="s">
        <v>1857</v>
      </c>
      <c r="O2" s="72"/>
      <c r="P2" s="149" t="s">
        <v>732</v>
      </c>
      <c r="Q2" s="72" t="s">
        <v>1857</v>
      </c>
    </row>
    <row r="3" spans="1:20" ht="12" customHeight="1" x14ac:dyDescent="0.2">
      <c r="A3" s="930" t="s">
        <v>1146</v>
      </c>
      <c r="B3" s="931"/>
      <c r="D3" s="930" t="s">
        <v>467</v>
      </c>
      <c r="E3" s="931"/>
      <c r="G3" s="932" t="s">
        <v>1724</v>
      </c>
      <c r="H3" s="931"/>
      <c r="J3" s="930" t="s">
        <v>2004</v>
      </c>
      <c r="K3" s="931"/>
      <c r="L3" s="72"/>
      <c r="M3" s="930" t="s">
        <v>1021</v>
      </c>
      <c r="N3" s="931"/>
      <c r="O3" s="72"/>
      <c r="P3" s="930" t="s">
        <v>504</v>
      </c>
      <c r="Q3" s="931"/>
    </row>
    <row r="4" spans="1:20" ht="12" customHeight="1" x14ac:dyDescent="0.2">
      <c r="A4" s="19" t="s">
        <v>512</v>
      </c>
      <c r="B4" s="14">
        <v>40.792999999999999</v>
      </c>
      <c r="D4" s="85" t="s">
        <v>1944</v>
      </c>
      <c r="E4" s="14">
        <f>VLOOKUP(MOTORFRAME,Motor_Table,MATCH(MTR_C,Motor_Data_Column_Names,0),FALSE)</f>
        <v>30.28</v>
      </c>
      <c r="F4" s="29"/>
      <c r="G4" s="777" t="s">
        <v>854</v>
      </c>
      <c r="H4" s="14">
        <f>'Isolator Plate'!I4</f>
        <v>9</v>
      </c>
      <c r="J4" s="19" t="s">
        <v>397</v>
      </c>
      <c r="K4" s="14">
        <f>E61/2+K18+K19*0.8</f>
        <v>1.1304000000000001</v>
      </c>
      <c r="L4" s="29"/>
      <c r="M4" s="19" t="s">
        <v>1327</v>
      </c>
      <c r="N4" s="14">
        <f>IF(E61/2+N65+N66*0.666&lt;1.5,1.5,E61/2+N65+N66*0.666)</f>
        <v>1.5</v>
      </c>
      <c r="O4" s="29"/>
      <c r="P4" s="19" t="s">
        <v>906</v>
      </c>
      <c r="Q4" s="14">
        <f>K28+2.5</f>
        <v>4.42</v>
      </c>
    </row>
    <row r="5" spans="1:20" ht="12" customHeight="1" x14ac:dyDescent="0.2">
      <c r="A5" s="19" t="s">
        <v>2093</v>
      </c>
      <c r="B5" s="14">
        <f>IH</f>
        <v>106</v>
      </c>
      <c r="C5" s="29"/>
      <c r="D5" s="85" t="s">
        <v>425</v>
      </c>
      <c r="E5" s="14">
        <f>VLOOKUP(MOTORFRAME,Motor_Table,MATCH(MTR_D,Motor_Data_Column_Names,0),FALSE)</f>
        <v>8</v>
      </c>
      <c r="F5" s="29"/>
      <c r="G5" s="19" t="s">
        <v>1288</v>
      </c>
      <c r="H5" s="14">
        <f>'Isolator Plate'!J4</f>
        <v>13</v>
      </c>
      <c r="J5" s="19" t="s">
        <v>1495</v>
      </c>
      <c r="K5" s="14">
        <v>0.5</v>
      </c>
      <c r="L5" s="29"/>
      <c r="M5" s="19" t="s">
        <v>632</v>
      </c>
      <c r="N5" s="169">
        <f>E61/2+N21+N22*0.666</f>
        <v>1.3640000000000001</v>
      </c>
      <c r="O5" s="29"/>
      <c r="P5" s="19" t="s">
        <v>898</v>
      </c>
      <c r="Q5" s="14">
        <v>0.5</v>
      </c>
    </row>
    <row r="6" spans="1:20" ht="12" customHeight="1" x14ac:dyDescent="0.2">
      <c r="A6" s="19" t="s">
        <v>1720</v>
      </c>
      <c r="B6" s="14">
        <f>IW</f>
        <v>134</v>
      </c>
      <c r="C6" s="29"/>
      <c r="D6" s="85" t="s">
        <v>960</v>
      </c>
      <c r="E6" s="14">
        <f>VLOOKUP(MOTORFRAME,Motor_Table,MATCH(MTR_E,Motor_Data_Column_Names,0),FALSE)</f>
        <v>6.25</v>
      </c>
      <c r="F6" s="29"/>
      <c r="G6" s="19" t="s">
        <v>1431</v>
      </c>
      <c r="H6" s="413">
        <f>'Isolator Plate'!K4</f>
        <v>0.15601000000000001</v>
      </c>
      <c r="J6" s="19" t="s">
        <v>659</v>
      </c>
      <c r="K6" s="14">
        <f>K12-K11+K21*2</f>
        <v>51.610000000000014</v>
      </c>
      <c r="L6" s="29"/>
      <c r="M6" s="19" t="s">
        <v>1642</v>
      </c>
      <c r="N6" s="14">
        <f>N5</f>
        <v>1.3640000000000001</v>
      </c>
      <c r="O6" s="29"/>
      <c r="P6" s="19" t="s">
        <v>1187</v>
      </c>
      <c r="Q6" s="14">
        <f>IF(OR(B27=6,B27=8),K14+K28*2-Q5*2,K14-Q5*2)</f>
        <v>76.530599999999993</v>
      </c>
    </row>
    <row r="7" spans="1:20" ht="12" customHeight="1" x14ac:dyDescent="0.2">
      <c r="A7" s="19" t="s">
        <v>115</v>
      </c>
      <c r="B7" s="14">
        <f>Data!B5</f>
        <v>76</v>
      </c>
      <c r="C7" s="29"/>
      <c r="D7" s="85" t="s">
        <v>297</v>
      </c>
      <c r="E7" s="14">
        <f>VLOOKUP(MOTORFRAME,Motor_Table,MATCH(MTR_2F,Motor_Data_Column_Names,0),FALSE)</f>
        <v>12</v>
      </c>
      <c r="F7" s="29"/>
      <c r="G7" s="19" t="s">
        <v>998</v>
      </c>
      <c r="H7" s="14">
        <f>'Isolator Plate'!L4</f>
        <v>0.25</v>
      </c>
      <c r="J7" s="19" t="s">
        <v>895</v>
      </c>
      <c r="K7" s="14">
        <f>IF(AND(B9=2,OR(B27=1,B27=2,B27=3,B27=4,B27=5,B27=7)),0.5,IF(OR(B27=6,B27=8),K17+B11,IF(OR(B27=1,B27=2,B27=7),IF(B60&lt;B49+0.5-K17-N6,0.5,K17-N6-(B49-B60)),IF(OR(B27=3,B27=4,B27=5),IF(B60&lt;B49+0.5-K17-N6,0.5,K17-N6+B60-B49)))))</f>
        <v>0.5</v>
      </c>
      <c r="L7" s="29"/>
      <c r="M7" s="19" t="s">
        <v>932</v>
      </c>
      <c r="N7" s="169">
        <f>N47-N26+N24+N46</f>
        <v>49.190000000000005</v>
      </c>
      <c r="O7" s="29"/>
      <c r="P7" s="19" t="s">
        <v>899</v>
      </c>
      <c r="Q7" s="14">
        <f>IF(B27=6,K54-K11-K21+K17-Q5*2,IF(B27=8,K25-(K54-(K11+K21-K17))-Q5*2,K25+K17*2-Q5*2))</f>
        <v>50.610000000000014</v>
      </c>
      <c r="R7" s="103"/>
      <c r="S7" s="243"/>
    </row>
    <row r="8" spans="1:20" ht="12" customHeight="1" x14ac:dyDescent="0.2">
      <c r="A8" s="19" t="s">
        <v>1605</v>
      </c>
      <c r="B8" s="14">
        <f>IF(MOTORHAND="L",1,2)</f>
        <v>1</v>
      </c>
      <c r="C8" s="29"/>
      <c r="D8" s="85" t="s">
        <v>424</v>
      </c>
      <c r="E8" s="14">
        <f>VLOOKUP(MOTORFRAME,Motor_Table,MATCH(MTR_H,Motor_Data_Column_Names,0),FALSE)</f>
        <v>0.65600000000000003</v>
      </c>
      <c r="F8" s="29"/>
      <c r="G8" s="19" t="s">
        <v>1723</v>
      </c>
      <c r="H8" s="14">
        <f>VLOOKUP(H11,Isolator_Plate_Table,MATCH(PLT_SH,Isolator_Plate_Column_Names,0),FALSE)</f>
        <v>0.75</v>
      </c>
      <c r="J8" s="19" t="s">
        <v>1318</v>
      </c>
      <c r="K8" s="45">
        <f>IF(B20&lt;&gt;"TYPEA",1,0)</f>
        <v>1</v>
      </c>
      <c r="L8" s="29"/>
      <c r="M8" s="19" t="s">
        <v>895</v>
      </c>
      <c r="N8" s="169">
        <f>IF(AND(B9=2,OR(B27=1,B27=2,B27=3,B27=4,B27=5,B27=7)),0.5,IF(B27=6,N42+B11,IF(B27=8,N20+B11,IF(OR(B27=1,B27=2,B27=7),IF(B60&lt;B49+0.5-N20-N6,0.5,N20-N6-(B49-B60)),IF(OR(B27=3,B27=4,B27=5),IF(B60&lt;B49+0.5-N42-N6,0.5,N42-N6+B60-B49))))))</f>
        <v>0.5</v>
      </c>
      <c r="O8" s="29"/>
      <c r="P8" s="19" t="s">
        <v>2017</v>
      </c>
      <c r="Q8" s="45">
        <v>36</v>
      </c>
      <c r="R8" s="103"/>
    </row>
    <row r="9" spans="1:20" ht="12" customHeight="1" x14ac:dyDescent="0.2">
      <c r="A9" s="19" t="s">
        <v>85</v>
      </c>
      <c r="B9" s="14">
        <f>IF(MOTORLOCATION="BESIDE",1,2)</f>
        <v>1</v>
      </c>
      <c r="C9" s="29"/>
      <c r="D9" s="85" t="s">
        <v>557</v>
      </c>
      <c r="E9" s="14">
        <f>VLOOKUP(MOTORFRAME,Motor_Table,MATCH(MTR_P,Motor_Data_Column_Names,0),FALSE)</f>
        <v>16.5</v>
      </c>
      <c r="F9" s="29"/>
      <c r="G9" s="19" t="s">
        <v>903</v>
      </c>
      <c r="H9" s="14">
        <f>IF(OR(B27=1,B27=2),'Isolator Plate'!S7,'Isolator Plate'!S6)</f>
        <v>6.5</v>
      </c>
      <c r="J9" s="933" t="s">
        <v>891</v>
      </c>
      <c r="K9" s="934"/>
      <c r="L9" s="29"/>
      <c r="M9" s="19" t="s">
        <v>2119</v>
      </c>
      <c r="N9" s="45">
        <f>IF(B20="TYPEA",1,0)</f>
        <v>0</v>
      </c>
      <c r="O9" s="29"/>
      <c r="P9" s="19" t="s">
        <v>1040</v>
      </c>
      <c r="Q9" s="45">
        <f>IF(AND(B9=1,B27=8),0,IF(Q17&gt;=1,1,0))</f>
        <v>0</v>
      </c>
      <c r="R9" s="103"/>
      <c r="T9" s="103"/>
    </row>
    <row r="10" spans="1:20" ht="12" customHeight="1" x14ac:dyDescent="0.2">
      <c r="A10" s="19" t="s">
        <v>333</v>
      </c>
      <c r="B10" s="14">
        <v>3.1E-2</v>
      </c>
      <c r="C10" s="29"/>
      <c r="D10" s="85" t="s">
        <v>693</v>
      </c>
      <c r="E10" s="14">
        <f>VLOOKUP(MOTORFRAME,Motor_Table,MATCH(MTR_KWL,Motor_Data_Column_Names,0),FALSE)</f>
        <v>3.875</v>
      </c>
      <c r="G10" s="19" t="s">
        <v>904</v>
      </c>
      <c r="H10" s="14">
        <f>IF(OR(B27=3,B27=4),'Excel Calcs'!H5-'Isolator Plate'!S7,'Isolator Plate'!S6)</f>
        <v>9.1875</v>
      </c>
      <c r="J10" s="19" t="s">
        <v>770</v>
      </c>
      <c r="K10" s="14">
        <f>IF(AND(B9=1,B8=1,OR(B27=6,B27=8)),K14/2-(B59-K32)+IF(K32=K4,B11,0),IF(AND(B9=1,B8=2,OR(B27=6,B27=8)),(K14/2-(B59-K32)+IF(K32=K4,B11,0))*-1,IF(AND(B9=1,B8=1),K14/2-(B59+K4),IF(AND(B9=1,B8=2),(K14/2-(B59+K4))*-1,IF(B9=2,0,FALSE)))))</f>
        <v>14.884899999999995</v>
      </c>
      <c r="L10" s="29"/>
      <c r="M10" s="933" t="s">
        <v>1023</v>
      </c>
      <c r="N10" s="934"/>
      <c r="O10" s="29"/>
      <c r="P10" s="19" t="s">
        <v>505</v>
      </c>
      <c r="Q10" s="45">
        <f>IF(Q17&gt;=3,1,0)</f>
        <v>0</v>
      </c>
      <c r="R10" s="103"/>
      <c r="T10" s="103"/>
    </row>
    <row r="11" spans="1:20" ht="12" customHeight="1" x14ac:dyDescent="0.2">
      <c r="A11" s="19" t="s">
        <v>1083</v>
      </c>
      <c r="B11" s="14">
        <v>3.1E-2</v>
      </c>
      <c r="C11" s="29"/>
      <c r="D11" s="85" t="s">
        <v>1669</v>
      </c>
      <c r="E11" s="14">
        <f>VLOOKUP(MOTORFRAME,Motor_Table,MATCH(MTR_R,Motor_Data_Column_Names,0),FALSE)</f>
        <v>1.8440000000000001</v>
      </c>
      <c r="G11" s="19" t="s">
        <v>2020</v>
      </c>
      <c r="H11" s="45">
        <f>IF(AND(OR(B27=1,B27=2,B27=5,B27=6,B27=7,B27=8),H43&lt;&gt;19,B21=2),3,IF(AND(OR(B27=1,B27=2,B27=5,B27=6,B27=7,B27=8),H43=19,B21=2),5,IF(AND(H43&lt;&gt;19,B21=2),4,IF(AND(H43=19,B21=2),6,IF(AND(OR(B27=1,B27=2,B27=5,B27=6,B27=7,B27=8),B21=1),1,IF(B21=1,2,FALSE))))))</f>
        <v>4</v>
      </c>
      <c r="I11" s="136"/>
      <c r="J11" s="19" t="s">
        <v>1185</v>
      </c>
      <c r="K11" s="14">
        <f>IF(B27=8,B14-K7+K21,IF(B27=7,B14+K21-K7,IF(OR(B27=5,B27=6),B7-B14-B49+E58-E39-K70/2-K21,IF(OR(B27=1,B27=2),B13+K21-K7,IF(OR(B27=3,B27=4),B7-B13-B49+E58-E39-K70/2-K21)))))</f>
        <v>21.849999999999994</v>
      </c>
      <c r="L11" s="29"/>
      <c r="M11" s="19" t="s">
        <v>1892</v>
      </c>
      <c r="N11" s="14">
        <f>IF(B21=1,1.375,0.75)</f>
        <v>0.75</v>
      </c>
      <c r="O11" s="29"/>
      <c r="P11" s="19" t="s">
        <v>93</v>
      </c>
      <c r="Q11" s="45">
        <f>IF(Q17&gt;=4,1,0)</f>
        <v>0</v>
      </c>
      <c r="R11" s="103"/>
      <c r="T11" s="103"/>
    </row>
    <row r="12" spans="1:20" ht="12" customHeight="1" x14ac:dyDescent="0.2">
      <c r="A12" s="19" t="s">
        <v>1859</v>
      </c>
      <c r="B12" s="14">
        <v>0.31</v>
      </c>
      <c r="D12" s="85" t="s">
        <v>4</v>
      </c>
      <c r="E12" s="14">
        <f>VLOOKUP(MOTORFRAME,Motor_Table,MATCH(MTR_S,Motor_Data_Column_Names,0),FALSE)</f>
        <v>0.5</v>
      </c>
      <c r="F12" s="29"/>
      <c r="G12" s="19" t="s">
        <v>1764</v>
      </c>
      <c r="H12" s="45">
        <f>IF(ISEVEN(H11),0,1)</f>
        <v>0</v>
      </c>
      <c r="J12" s="19" t="s">
        <v>1881</v>
      </c>
      <c r="K12" s="14">
        <f>IF(OR(B27=7,B27=8),B14+B49+E58+E39+K70/2+K21,IF(OR(B27=6,B27=5),B7-B14+K7-K21,IF(OR(B27=1,B27=2),B13+B49+E58+E39+K70/2+K21,IF(OR(B27=3,B27=4),B7-B13-K21+K7))))</f>
        <v>71.540000000000006</v>
      </c>
      <c r="L12" s="29"/>
      <c r="M12" s="19" t="s">
        <v>2011</v>
      </c>
      <c r="N12" s="169">
        <f>K96</f>
        <v>2</v>
      </c>
      <c r="O12" s="137"/>
      <c r="P12" s="19" t="s">
        <v>1759</v>
      </c>
      <c r="Q12" s="45">
        <f>IF(Q17&gt;=5,1,0)</f>
        <v>0</v>
      </c>
      <c r="R12" s="103"/>
      <c r="T12" s="103"/>
    </row>
    <row r="13" spans="1:20" ht="12" customHeight="1" x14ac:dyDescent="0.2">
      <c r="A13" s="19" t="s">
        <v>800</v>
      </c>
      <c r="B13" s="14">
        <f>IF(Fan_Start&lt;&gt;0,Fan_Start,4)</f>
        <v>4</v>
      </c>
      <c r="D13" s="85" t="s">
        <v>1103</v>
      </c>
      <c r="E13" s="14">
        <f>VLOOKUP(MOTORFRAME,Motor_Table,MATCH(MTR_U,Motor_Data_Column_Names,0),FALSE)</f>
        <v>2.125</v>
      </c>
      <c r="F13" s="29"/>
      <c r="G13" s="19" t="s">
        <v>1765</v>
      </c>
      <c r="H13" s="45">
        <f>IF(ISODD(H11),0,1)</f>
        <v>1</v>
      </c>
      <c r="J13" s="19" t="s">
        <v>1451</v>
      </c>
      <c r="K13" s="14" t="str">
        <f>CONCATENATE("Channel",K15,K16)</f>
        <v>Channel68.2</v>
      </c>
      <c r="L13" s="29"/>
      <c r="M13" s="19" t="s">
        <v>364</v>
      </c>
      <c r="N13" s="169">
        <f>K97</f>
        <v>1.25</v>
      </c>
      <c r="O13" s="137"/>
      <c r="P13" s="19" t="s">
        <v>1347</v>
      </c>
      <c r="Q13" s="45">
        <f>IF(AND(B9=1,B27=6),0,IF(AND(B9=1,B27=8,Q17=1),1,IF(Q17&gt;=2,1,0)))</f>
        <v>0</v>
      </c>
      <c r="R13" s="103"/>
      <c r="T13" s="103"/>
    </row>
    <row r="14" spans="1:20" ht="12" customHeight="1" x14ac:dyDescent="0.2">
      <c r="A14" s="19" t="s">
        <v>2032</v>
      </c>
      <c r="B14" s="14">
        <f>IF(Fan_Start&lt;&gt;0,Fan_Start,7)</f>
        <v>7</v>
      </c>
      <c r="C14" s="29"/>
      <c r="D14" s="85" t="s">
        <v>1815</v>
      </c>
      <c r="E14" s="14">
        <f>VLOOKUP(MOTORFRAME,Motor_Table,MATCH(MTR_V,Motor_Data_Column_Names,0),FALSE)</f>
        <v>5.25</v>
      </c>
      <c r="F14" s="29"/>
      <c r="G14" s="19" t="s">
        <v>1900</v>
      </c>
      <c r="H14" s="14">
        <f>VLOOKUP(H11,Isolator_Plate_Table,MATCH(PLT_SW1,Isolator_Plate_Column_Names,0),FALSE)</f>
        <v>2.625</v>
      </c>
      <c r="J14" s="19" t="s">
        <v>1996</v>
      </c>
      <c r="K14" s="14">
        <f>IF(AND(B9=2,OR(B27=6,B27=8)),B59*2-K32*2,IF(B9=2,B59*2+K4*2,IF(AND(B9=1,OR(B27=6,B27=8)),IF(K32=K4,B11,0)+(B59-K32)+(MAX(E56,B17)-MIN(E56,B17))+E33/2-K28,IF(K32=K4,B11,0)+(B59-K32)+(MAX(E56,B17)-MIN(E56,B17))+E33/2)))</f>
        <v>77.530599999999993</v>
      </c>
      <c r="L14" s="216"/>
      <c r="M14" s="19" t="s">
        <v>764</v>
      </c>
      <c r="N14" s="169">
        <f>K98</f>
        <v>0.625</v>
      </c>
      <c r="O14" s="29"/>
      <c r="P14" s="19" t="s">
        <v>669</v>
      </c>
      <c r="Q14" s="45">
        <f>IF(AND(B9=1,OR(B27=6,B27=8),Q17&gt;1),1,0)</f>
        <v>0</v>
      </c>
      <c r="R14" s="103"/>
    </row>
    <row r="15" spans="1:20" ht="12" customHeight="1" x14ac:dyDescent="0.2">
      <c r="A15" s="19" t="s">
        <v>860</v>
      </c>
      <c r="B15" s="14">
        <f>IF(OR(B27=1,B27=2),B13+B49,IF(OR(B27=3,B27=4),B7-B13-B49,IF(OR(B27=5,B27=6),B7-B14-B49,IF(OR(B27=7,B27=8),B14+B49))))</f>
        <v>48.69</v>
      </c>
      <c r="C15" s="29"/>
      <c r="D15" s="85" t="s">
        <v>1102</v>
      </c>
      <c r="E15" s="14">
        <f>VLOOKUP(MOTORFRAME,Motor_Table,MATCH(MTR_AB,Motor_Data_Column_Names,0),FALSE)</f>
        <v>14.61</v>
      </c>
      <c r="F15" s="29"/>
      <c r="G15" s="19" t="s">
        <v>239</v>
      </c>
      <c r="H15" s="14">
        <f>VLOOKUP(H11,Isolator_Plate_Table,MATCH(PLT_SW2,Isolator_Plate_Column_Names,0),FALSE)</f>
        <v>6.375</v>
      </c>
      <c r="J15" s="19" t="s">
        <v>1997</v>
      </c>
      <c r="K15" s="14">
        <f>IF(B20="TYPEC",8,6)</f>
        <v>6</v>
      </c>
      <c r="L15" s="29"/>
      <c r="M15" s="19" t="s">
        <v>1458</v>
      </c>
      <c r="N15" s="169">
        <f>K99</f>
        <v>0.875</v>
      </c>
      <c r="O15" s="29"/>
      <c r="P15" s="19" t="s">
        <v>1922</v>
      </c>
      <c r="Q15" s="45">
        <f>IF(AND(B9=1,B27=6,Q17&gt;=1),1,0)</f>
        <v>0</v>
      </c>
      <c r="R15" s="103"/>
    </row>
    <row r="16" spans="1:20" ht="12" customHeight="1" x14ac:dyDescent="0.2">
      <c r="A16" s="19" t="s">
        <v>1000</v>
      </c>
      <c r="B16" s="14">
        <f>IF(B20="TYPEA",H6+H42+N65,H6+H42+K94+K101)</f>
        <v>8.9060100000000002</v>
      </c>
      <c r="C16" s="29"/>
      <c r="D16" s="85" t="s">
        <v>3</v>
      </c>
      <c r="E16" s="14">
        <f>VLOOKUP(MOTORFRAME,Motor_Table,MATCH(MTR_BA,Motor_Data_Column_Names,0),FALSE)</f>
        <v>5.25</v>
      </c>
      <c r="F16" s="29"/>
      <c r="G16" s="19" t="s">
        <v>1044</v>
      </c>
      <c r="H16" s="14">
        <f>VLOOKUP(H11,Isolator_Plate_Table,MATCH(PLT_SL1,Isolator_Plate_Column_Names,0),FALSE)</f>
        <v>1.125</v>
      </c>
      <c r="J16" s="19" t="s">
        <v>357</v>
      </c>
      <c r="K16" s="14">
        <f>IF(K15=6,8.2,11.5)</f>
        <v>8.1999999999999993</v>
      </c>
      <c r="L16" s="29"/>
      <c r="M16" s="933" t="s">
        <v>1174</v>
      </c>
      <c r="N16" s="934"/>
      <c r="O16" s="72"/>
      <c r="P16" s="19" t="s">
        <v>277</v>
      </c>
      <c r="Q16" s="45">
        <f>IF(AND(B9=1,B27=8,Q17&gt;=1),1,0)</f>
        <v>0</v>
      </c>
      <c r="R16" s="103"/>
    </row>
    <row r="17" spans="1:18" ht="12" customHeight="1" x14ac:dyDescent="0.2">
      <c r="A17" s="19" t="s">
        <v>1156</v>
      </c>
      <c r="B17" s="14">
        <f>IF(FAN_X_LOCATION=0,B6/2,FAN_X_LOCATION)</f>
        <v>47.844999999999999</v>
      </c>
      <c r="C17" s="29"/>
      <c r="D17" s="85" t="s">
        <v>1943</v>
      </c>
      <c r="E17" s="14">
        <f>VLOOKUP(MOTORFRAME,Motor_Table,MATCH(MTR_BL,Motor_Data_Column_Names,0),FALSE)</f>
        <v>14</v>
      </c>
      <c r="F17" s="29"/>
      <c r="G17" s="19" t="s">
        <v>1616</v>
      </c>
      <c r="H17" s="14">
        <f>VLOOKUP(H11,Isolator_Plate_Table,MATCH(PLT_SL2,Isolator_Plate_Column_Names,0),FALSE)</f>
        <v>6.5</v>
      </c>
      <c r="J17" s="19" t="s">
        <v>1998</v>
      </c>
      <c r="K17" s="14">
        <f>VLOOKUP(K13,Steel_List_Table,MATCH(STL_D,Steel_List_Column_Names,0),FALSE)</f>
        <v>1.92</v>
      </c>
      <c r="L17" s="72"/>
      <c r="M17" s="19" t="s">
        <v>1024</v>
      </c>
      <c r="N17" s="14" t="str">
        <f>CONCATENATE("Angle",N19,N20,N21)</f>
        <v>Angle430.375</v>
      </c>
      <c r="O17" s="72"/>
      <c r="P17" s="19" t="s">
        <v>2171</v>
      </c>
      <c r="Q17" s="45">
        <f>IF(INERTIA&lt;&gt;"YES",0,IF(Q7&lt;=Q8,1,IF(Q7/2&lt;=Q8,2,IF(Q7/3&lt;=Q8,3,IF(Q7/4&lt;=Q8,4,5)))))</f>
        <v>0</v>
      </c>
    </row>
    <row r="18" spans="1:18" ht="12" customHeight="1" x14ac:dyDescent="0.2">
      <c r="A18" s="19" t="s">
        <v>394</v>
      </c>
      <c r="B18" s="14">
        <v>0.5</v>
      </c>
      <c r="C18" s="137"/>
      <c r="D18" s="85" t="s">
        <v>1523</v>
      </c>
      <c r="E18" s="14">
        <f>VLOOKUP(MOTORFRAME,Motor_Table,MATCH(MTR_BW,Motor_Data_Column_Names,0),FALSE)</f>
        <v>14.5</v>
      </c>
      <c r="F18" s="29"/>
      <c r="G18" s="19" t="s">
        <v>1045</v>
      </c>
      <c r="H18" s="45">
        <f>IF(AND(OR(B27=3,B27=4,B27=5,B27=6,B27=7,B27=8),H56&lt;&gt;19,B21=2),3,IF(AND(OR(B27=3,B27=4,B27=5,B27=6,B27=7,B27=8),H56=19,B21=2),5,IF(AND(H56&lt;&gt;19,B21=2),4,IF(AND(H56=19,B21=2),6,IF(AND(OR(B27=3,B27=4,B27=5,B27=6,B27=7,B27=8),B21=1),1,IF(B21=1,2,FALSE))))))</f>
        <v>3</v>
      </c>
      <c r="J18" s="19" t="s">
        <v>624</v>
      </c>
      <c r="K18" s="14">
        <f>VLOOKUP(K13,Steel_List_Table,MATCH(STL_WT,Steel_List_Column_Names,0),FALSE)</f>
        <v>0.2</v>
      </c>
      <c r="L18" s="72"/>
      <c r="M18" s="19" t="s">
        <v>365</v>
      </c>
      <c r="N18" s="14">
        <f>IF(B9=2,B33,B33/2+B52-E10+E14+E16+E7/2+E40-N4)</f>
        <v>74.63</v>
      </c>
      <c r="O18" s="29"/>
      <c r="P18" s="19" t="s">
        <v>1619</v>
      </c>
      <c r="Q18" s="413">
        <f>IF(InertiaPlateThkO&lt;&gt;"-",InertiaPlateThkO,VLOOKUP(CONCATENATE(Q19,MaterialStyle),'Material List'!$A$8:$S$501,8,FALSE))</f>
        <v>5.6009999999999997E-2</v>
      </c>
    </row>
    <row r="19" spans="1:18" ht="12" customHeight="1" x14ac:dyDescent="0.2">
      <c r="A19" s="19" t="s">
        <v>1457</v>
      </c>
      <c r="B19" s="14">
        <f>H5-H9+0.25+H10</f>
        <v>15.9375</v>
      </c>
      <c r="C19" s="29"/>
      <c r="D19" s="85" t="s">
        <v>959</v>
      </c>
      <c r="E19" s="14">
        <f>VLOOKUP(MOTORFRAME,Motor_Table,MATCH(MTR_D1,Motor_Data_Column_Names,0),FALSE)</f>
        <v>1</v>
      </c>
      <c r="F19" s="29"/>
      <c r="G19" s="19" t="s">
        <v>1640</v>
      </c>
      <c r="H19" s="45">
        <f>IF(ISEVEN(H18),0,1)</f>
        <v>1</v>
      </c>
      <c r="J19" s="19" t="s">
        <v>757</v>
      </c>
      <c r="K19" s="14">
        <f>VLOOKUP(K13,Steel_List_Table,MATCH(STL_FTR,Steel_List_Column_Names,0),FALSE)</f>
        <v>0.34300000000000003</v>
      </c>
      <c r="L19" s="29"/>
      <c r="M19" s="19" t="s">
        <v>224</v>
      </c>
      <c r="N19" s="14">
        <v>4</v>
      </c>
      <c r="O19" s="29"/>
      <c r="P19" s="19" t="s">
        <v>1768</v>
      </c>
      <c r="Q19" s="45">
        <f>IF(InertiaPlateThkO&lt;&gt;"-","NA",16)</f>
        <v>16</v>
      </c>
    </row>
    <row r="20" spans="1:18" ht="12" customHeight="1" x14ac:dyDescent="0.2">
      <c r="A20" s="19" t="s">
        <v>1017</v>
      </c>
      <c r="B20" s="14" t="str">
        <f>IF(FanBase_Type_ForcedO&lt;&gt;"-",FanBase_Type_ForcedO,IF(AND(VALUE(LEFT(FANSIZE,2))&lt;=22,INERTIA="YES"),"TYPEB",IF(FANSIZE&lt;=22,"TYPEA",IF(AND(FANSIZE&gt;22,FANSIZE&lt;=36),"TYPEB",IF(AND(FANSIZE&gt;36,FANSIZE&lt;=55),"TYPEC",IF(FANSIZE&lt;=222,"TYPEA",IF(AND(FANSIZE&gt;222,FANSIZE&lt;=365),"TYPEB",IF(FANSIZE&gt;365,"TYPEC",FALSE))))))))</f>
        <v>TYPEB</v>
      </c>
      <c r="D20" s="85" t="s">
        <v>1522</v>
      </c>
      <c r="E20" s="14">
        <f>VLOOKUP(MOTORFRAME,Motor_Table,MATCH(MTR_D2,Motor_Data_Column_Names,0),FALSE)</f>
        <v>0.44</v>
      </c>
      <c r="F20" s="29"/>
      <c r="G20" s="19" t="s">
        <v>1641</v>
      </c>
      <c r="H20" s="45">
        <f>IF(ISODD(H18),0,1)</f>
        <v>0</v>
      </c>
      <c r="J20" s="69" t="s">
        <v>625</v>
      </c>
      <c r="K20" s="66">
        <f>K14*(VLOOKUP(K13,Steel_List_Table,MATCH(STL_LBFT,Steel_List_Column_Names,0),FALSE)/12)</f>
        <v>52.979243333333322</v>
      </c>
      <c r="L20" s="29"/>
      <c r="M20" s="19" t="s">
        <v>225</v>
      </c>
      <c r="N20" s="14">
        <v>3</v>
      </c>
      <c r="O20" s="29"/>
      <c r="P20" s="19" t="s">
        <v>100</v>
      </c>
      <c r="Q20" s="14">
        <f>B16-K15</f>
        <v>2.9060100000000002</v>
      </c>
    </row>
    <row r="21" spans="1:18" ht="12" customHeight="1" x14ac:dyDescent="0.2">
      <c r="A21" s="19" t="s">
        <v>1198</v>
      </c>
      <c r="B21" s="14">
        <f>ISOLATORDEFLECTION</f>
        <v>2</v>
      </c>
      <c r="D21" s="663" t="s">
        <v>2006</v>
      </c>
      <c r="E21" s="66">
        <f>MOTORWEIGHT</f>
        <v>700</v>
      </c>
      <c r="F21" s="29"/>
      <c r="G21" s="19" t="s">
        <v>1766</v>
      </c>
      <c r="H21" s="14">
        <f>VLOOKUP(H18,Isolator_Plate_Table,MATCH(PLT_SW1,Isolator_Plate_Column_Names,0),FALSE)</f>
        <v>1.125</v>
      </c>
      <c r="J21" s="19" t="s">
        <v>2166</v>
      </c>
      <c r="K21" s="14">
        <f>K17/2</f>
        <v>0.96</v>
      </c>
      <c r="L21" s="29"/>
      <c r="M21" s="19" t="s">
        <v>893</v>
      </c>
      <c r="N21" s="14">
        <v>0.375</v>
      </c>
      <c r="O21" s="29"/>
      <c r="P21" s="19" t="s">
        <v>274</v>
      </c>
      <c r="Q21" s="14">
        <f>K10</f>
        <v>14.884899999999995</v>
      </c>
    </row>
    <row r="22" spans="1:18" ht="12" customHeight="1" x14ac:dyDescent="0.2">
      <c r="A22" s="75"/>
      <c r="B22" s="29"/>
      <c r="C22" s="29"/>
      <c r="D22" s="663" t="s">
        <v>1031</v>
      </c>
      <c r="E22" s="66">
        <f>(VLOOKUP(MOTORFRAME,Motor_Table,MATCH(MTR_HP,Motor_Data_Column_Names,0),FALSE))/2</f>
        <v>25</v>
      </c>
      <c r="F22" s="29"/>
      <c r="G22" s="19" t="s">
        <v>97</v>
      </c>
      <c r="H22" s="14">
        <f>VLOOKUP(H18,Isolator_Plate_Table,MATCH(PLT_SW2,Isolator_Plate_Column_Names,0),FALSE)</f>
        <v>4.875</v>
      </c>
      <c r="J22" s="933" t="s">
        <v>2010</v>
      </c>
      <c r="K22" s="934"/>
      <c r="L22" s="29"/>
      <c r="M22" s="19" t="s">
        <v>1459</v>
      </c>
      <c r="N22" s="14">
        <v>0.5</v>
      </c>
      <c r="O22" s="29"/>
      <c r="P22" s="19" t="s">
        <v>1763</v>
      </c>
      <c r="Q22" s="14">
        <f>Q94-Q88/2</f>
        <v>1.75</v>
      </c>
    </row>
    <row r="23" spans="1:18" ht="12" customHeight="1" x14ac:dyDescent="0.2">
      <c r="A23" s="149" t="s">
        <v>732</v>
      </c>
      <c r="B23" s="72" t="s">
        <v>1857</v>
      </c>
      <c r="C23" s="29"/>
      <c r="D23" s="85" t="s">
        <v>1993</v>
      </c>
      <c r="E23" s="45">
        <f>IF(MOTORHAND="L",1,2)</f>
        <v>1</v>
      </c>
      <c r="F23" s="29"/>
      <c r="G23" s="19" t="s">
        <v>905</v>
      </c>
      <c r="H23" s="14">
        <f>VLOOKUP(H18,Isolator_Plate_Table,MATCH(PLT_SL1,Isolator_Plate_Column_Names,0),FALSE)</f>
        <v>3.8125</v>
      </c>
      <c r="J23" s="19" t="s">
        <v>1786</v>
      </c>
      <c r="K23" s="45">
        <f>IF(K8=0,0,IF(OR(B27=6,B27=8),2,1))</f>
        <v>1</v>
      </c>
      <c r="L23" s="29"/>
      <c r="M23" s="69" t="s">
        <v>894</v>
      </c>
      <c r="N23" s="66">
        <f>N18*(VLOOKUP(N17,Steel_List_Table,MATCH(STL_LBFT,Steel_List_Column_Names,0),FALSE)/12)</f>
        <v>52.862916666666663</v>
      </c>
      <c r="O23" s="29"/>
      <c r="P23" s="19" t="s">
        <v>643</v>
      </c>
      <c r="Q23" s="14">
        <f>K17-Q5+0.125</f>
        <v>1.5449999999999999</v>
      </c>
    </row>
    <row r="24" spans="1:18" ht="12" customHeight="1" x14ac:dyDescent="0.2">
      <c r="A24" s="930" t="s">
        <v>733</v>
      </c>
      <c r="B24" s="931"/>
      <c r="C24" s="29"/>
      <c r="D24" s="85" t="s">
        <v>216</v>
      </c>
      <c r="E24" s="14">
        <f>IF(B8=1,B17+B52-E10+E14+E16-E19+E17/2,B17-B52+E10-E14-E16+E19-E17/2)</f>
        <v>93.35</v>
      </c>
      <c r="F24" s="137"/>
      <c r="G24" s="19" t="s">
        <v>1474</v>
      </c>
      <c r="H24" s="14">
        <f>VLOOKUP(H18,Isolator_Plate_Table,MATCH(PLT_SL2,Isolator_Plate_Column_Names,0),FALSE)</f>
        <v>9.1875</v>
      </c>
      <c r="J24" s="19" t="s">
        <v>1168</v>
      </c>
      <c r="K24" s="14" t="str">
        <f>CONCATENATE("Channel",K26,K27)</f>
        <v>Channel68.2</v>
      </c>
      <c r="L24" s="29"/>
      <c r="M24" s="19" t="s">
        <v>222</v>
      </c>
      <c r="N24" s="14">
        <f>N20/2</f>
        <v>1.5</v>
      </c>
      <c r="O24" s="29"/>
      <c r="P24" s="19" t="s">
        <v>278</v>
      </c>
      <c r="Q24" s="45">
        <f>IF(AND(B9=1,B27=8),1,0)</f>
        <v>0</v>
      </c>
    </row>
    <row r="25" spans="1:18" ht="12" customHeight="1" x14ac:dyDescent="0.2">
      <c r="A25" s="570" t="s">
        <v>258</v>
      </c>
      <c r="B25" s="14" t="str">
        <f>CONCATENATE(FANSIZE,IF(OR(FANDISCHARGELOC="F",FANDISCHARGELOC="FI",FANDISCHARGELOC="R",FANDISCHARGELOC="RI"),"H",IF(OR(FANDISCHARGELOC="T",FANDISCHARGELOC="TI"),"T",IF(OR(FANDISCHARGELOC="B",FANDISCHARGELOC="BI"),"B",""))))</f>
        <v>300H</v>
      </c>
      <c r="C25" s="29"/>
      <c r="D25" s="85" t="s">
        <v>2118</v>
      </c>
      <c r="E25" s="14">
        <f>IF(B8=1,B17+B52-B55-(E14-E10)-E16-E7/2,B17-B52+B55+(E14-E10)+E16+E7/2)</f>
        <v>62.599999999999994</v>
      </c>
      <c r="F25" s="29"/>
      <c r="G25" s="19" t="s">
        <v>2143</v>
      </c>
      <c r="H25" s="45">
        <f>IF(AND(OR(B27=1,B27=2,B27=5,B27=6,B27=7,B27=8),H69&lt;&gt;19,B21=2),3,IF(AND(OR(B27=1,B27=2,B27=5,B27=6,B27=7,B27=8),H69=19,B21=2),5,IF(AND(H69&lt;&gt;19,B21=2),4,IF(AND(H69=19,B21=2),6,IF(AND(OR(B27=1,B27=2,B27=5,B27=6,B27=7,B27=8),B21=1),1,IF(B21=1,2,FALSE))))))</f>
        <v>4</v>
      </c>
      <c r="J25" s="19" t="s">
        <v>2116</v>
      </c>
      <c r="K25" s="14">
        <f>IF(OR(B27=6,B27=8),K6,K6-K17*2)</f>
        <v>47.77000000000001</v>
      </c>
      <c r="L25" s="29"/>
      <c r="M25" s="19" t="s">
        <v>503</v>
      </c>
      <c r="N25" s="14">
        <f>IF(AND(B9=1,B8=1),N18/2-B33/2,IF(AND(B9=1,B8=2),(N18/2-B33/2)*-1,IF(B9=2,0,FALSE)))</f>
        <v>15.939999999999998</v>
      </c>
      <c r="O25" s="465"/>
      <c r="P25" s="19" t="s">
        <v>2172</v>
      </c>
      <c r="Q25" s="45">
        <f>IF(AND(B9=1,B27=6),1,0)</f>
        <v>0</v>
      </c>
    </row>
    <row r="26" spans="1:18" ht="12" customHeight="1" x14ac:dyDescent="0.2">
      <c r="A26" s="570" t="s">
        <v>398</v>
      </c>
      <c r="B26" s="14" t="str">
        <f>IF(OR(B27=1,B27=2,B27=7,B27=8),"FIA","LIA")</f>
        <v>LIA</v>
      </c>
      <c r="C26" s="29"/>
      <c r="D26" s="85" t="s">
        <v>1588</v>
      </c>
      <c r="E26" s="14">
        <f>E57+E34</f>
        <v>12.99001</v>
      </c>
      <c r="F26" s="29"/>
      <c r="G26" s="19" t="s">
        <v>1343</v>
      </c>
      <c r="H26" s="45">
        <f>IF(ISEVEN(H25),0,1)</f>
        <v>0</v>
      </c>
      <c r="J26" s="19" t="s">
        <v>1999</v>
      </c>
      <c r="K26" s="14">
        <f t="shared" ref="K26:K27" si="0">K15</f>
        <v>6</v>
      </c>
      <c r="L26" s="29"/>
      <c r="M26" s="19" t="s">
        <v>91</v>
      </c>
      <c r="N26" s="14">
        <f>IF(B27=8,B14-N8+N24,IF(B27=7,B14+N24-N8,IF(OR(B27=5,B27=6),B7-B14-B49+E58-E39,IF(OR(B27=1,B27=2),B13+N24-N8,IF(OR(B27=3,B27=4),B7-B13-B49+E58-E39)))))</f>
        <v>24.809999999999995</v>
      </c>
      <c r="O26" s="137"/>
      <c r="P26" s="19" t="s">
        <v>1226</v>
      </c>
      <c r="Q26" s="45">
        <f>IF(AND(Q17=1,OR(Q24=1,Q25=1)),1,0)</f>
        <v>0</v>
      </c>
    </row>
    <row r="27" spans="1:18" ht="12" customHeight="1" x14ac:dyDescent="0.2">
      <c r="A27" s="570" t="s">
        <v>110</v>
      </c>
      <c r="B27" s="14">
        <f>IF(FANDISCHARGELOC="F",1,IF(FANDISCHARGELOC="FI",2,IF(FANDISCHARGELOC="R",3,IF(FANDISCHARGELOC="RI",4,IF(FANDISCHARGELOC="T",5,IF(FANDISCHARGELOC="B",6,IF(FANDISCHARGELOC="TI",7,IF(FANDISCHARGELOC="BI",8,FALSE))))))))</f>
        <v>3</v>
      </c>
      <c r="C27" s="29"/>
      <c r="D27" s="85" t="s">
        <v>2117</v>
      </c>
      <c r="E27" s="14">
        <f>IF(OR(B27=1,B27=2,B27=7,B27=8),'Center Distance'!D5,'Center Distance'!D5*-1)</f>
        <v>-15.88</v>
      </c>
      <c r="F27" s="29"/>
      <c r="G27" s="19" t="s">
        <v>1472</v>
      </c>
      <c r="H27" s="45">
        <f>IF(ISODD(H25),0,1)</f>
        <v>1</v>
      </c>
      <c r="J27" s="19" t="s">
        <v>76</v>
      </c>
      <c r="K27" s="14">
        <f t="shared" si="0"/>
        <v>8.1999999999999993</v>
      </c>
      <c r="L27" s="29"/>
      <c r="M27" s="933" t="s">
        <v>635</v>
      </c>
      <c r="N27" s="934"/>
      <c r="O27" s="137"/>
      <c r="P27" s="19" t="s">
        <v>670</v>
      </c>
      <c r="Q27" s="45">
        <f>IF(B8=1,Q97+K28-Q5+K45+Q5,Q127+K28-Q5+K45+Q5)</f>
        <v>9.84</v>
      </c>
      <c r="R27" s="243"/>
    </row>
    <row r="28" spans="1:18" ht="12" customHeight="1" x14ac:dyDescent="0.2">
      <c r="A28" s="570" t="s">
        <v>654</v>
      </c>
      <c r="B28" s="14">
        <f>IF(OR(B27=2,B27=3,B27=6,B27=7),1,IF(OR(B27=1,B27=4,B27=5,B27=8),2,FALSE))</f>
        <v>1</v>
      </c>
      <c r="C28" s="29"/>
      <c r="D28" s="85" t="s">
        <v>1743</v>
      </c>
      <c r="E28" s="14">
        <f>IF(OR(B27=1,B27=2,B27=7,B27=8),'Center Distance'!D5,'Center Distance'!D5*-1)</f>
        <v>-15.88</v>
      </c>
      <c r="F28" s="29"/>
      <c r="G28" s="19" t="s">
        <v>1473</v>
      </c>
      <c r="H28" s="14">
        <f>VLOOKUP(H25,Isolator_Plate_Table,MATCH(PLT_SW1,Isolator_Plate_Column_Names,0),FALSE)</f>
        <v>2.625</v>
      </c>
      <c r="J28" s="19" t="s">
        <v>2000</v>
      </c>
      <c r="K28" s="14">
        <f>VLOOKUP(K24,Steel_List_Table,MATCH(STL_D,Steel_List_Column_Names,0),FALSE)</f>
        <v>1.92</v>
      </c>
      <c r="L28" s="29"/>
      <c r="M28" s="19" t="s">
        <v>231</v>
      </c>
      <c r="N28" s="45">
        <f>IF(N9=0,0,IF(MOTORLOCATION="BESIDE",0,1))</f>
        <v>0</v>
      </c>
      <c r="O28" s="29"/>
      <c r="P28" s="19" t="s">
        <v>671</v>
      </c>
      <c r="Q28" s="14">
        <f>IF(B8=1,Q6/2-Q27/2,(Q6/2-Q27/2)*-1)</f>
        <v>33.345299999999995</v>
      </c>
      <c r="R28" s="216"/>
    </row>
    <row r="29" spans="1:18" ht="12" customHeight="1" x14ac:dyDescent="0.2">
      <c r="A29" s="19" t="s">
        <v>923</v>
      </c>
      <c r="B29" s="14">
        <f>VLOOKUP(B25,Fan_Data_Table,MATCH(WH_DIA_Nominal,Fan_Data_Column_Names,0),FALSE)</f>
        <v>30</v>
      </c>
      <c r="C29" s="29"/>
      <c r="D29"/>
      <c r="E29" s="29"/>
      <c r="F29" s="29"/>
      <c r="G29" s="19" t="s">
        <v>2021</v>
      </c>
      <c r="H29" s="14">
        <f>VLOOKUP(H25,Isolator_Plate_Table,MATCH(PLT_SW2,Isolator_Plate_Column_Names,0),FALSE)</f>
        <v>6.375</v>
      </c>
      <c r="J29" s="19" t="s">
        <v>1877</v>
      </c>
      <c r="K29" s="14">
        <f>VLOOKUP(K24,Steel_List_Table,MATCH(STL_WT,Steel_List_Column_Names,0),FALSE)</f>
        <v>0.2</v>
      </c>
      <c r="L29" s="29"/>
      <c r="M29" s="19" t="s">
        <v>500</v>
      </c>
      <c r="N29" s="14" t="str">
        <f>CONCATENATE("Angle",N31,N32,N33)</f>
        <v>Angle430.375</v>
      </c>
      <c r="O29" s="29"/>
      <c r="P29" s="19" t="s">
        <v>1921</v>
      </c>
      <c r="Q29" s="14">
        <f>IF(B9=2,6,IF(AND(B8=1,OR(B27=6,B27=8)),Q97+K28-Q5+K45/2,IF(AND(B8=2,OR(B27=6,B27=8)),Q97+K28-Q5+K46*2+Q112-K45/2,IF(B8=1,Q97+K29-Q5+K45/2,IF(B8=2,Q97+K29-Q5+K46*2+Q112-K45/2,FALSE)))))</f>
        <v>6.66</v>
      </c>
      <c r="R29" s="243"/>
    </row>
    <row r="30" spans="1:18" ht="12" customHeight="1" x14ac:dyDescent="0.2">
      <c r="A30" s="69" t="s">
        <v>2030</v>
      </c>
      <c r="B30" s="66">
        <f>FANWEIGHT</f>
        <v>1024</v>
      </c>
      <c r="C30" s="29"/>
      <c r="D30" s="149" t="s">
        <v>732</v>
      </c>
      <c r="E30" s="72" t="s">
        <v>1857</v>
      </c>
      <c r="F30" s="29"/>
      <c r="G30" s="19" t="s">
        <v>778</v>
      </c>
      <c r="H30" s="14">
        <f>VLOOKUP(H25,Isolator_Plate_Table,MATCH(PLT_SL1,Isolator_Plate_Column_Names,0),FALSE)</f>
        <v>1.125</v>
      </c>
      <c r="I30" s="136"/>
      <c r="J30" s="19" t="s">
        <v>1590</v>
      </c>
      <c r="K30" s="14">
        <f>VLOOKUP(K24,Steel_List_Table,MATCH(STL_FTR,Steel_List_Column_Names,0),FALSE)</f>
        <v>0.34300000000000003</v>
      </c>
      <c r="L30" s="29"/>
      <c r="M30" s="19" t="s">
        <v>1334</v>
      </c>
      <c r="N30" s="169">
        <f>N18</f>
        <v>74.63</v>
      </c>
      <c r="O30" s="29"/>
      <c r="P30" s="19" t="s">
        <v>1382</v>
      </c>
      <c r="Q30" s="45">
        <f>IF(Q26=1,0,IF(K36=0,0,1))</f>
        <v>1</v>
      </c>
      <c r="R30" s="243"/>
    </row>
    <row r="31" spans="1:18" ht="12" customHeight="1" x14ac:dyDescent="0.2">
      <c r="A31" s="69" t="s">
        <v>653</v>
      </c>
      <c r="B31" s="66">
        <f>E22</f>
        <v>25</v>
      </c>
      <c r="C31" s="29"/>
      <c r="D31" s="930" t="s">
        <v>623</v>
      </c>
      <c r="E31" s="931"/>
      <c r="F31" s="137"/>
      <c r="G31" s="19" t="s">
        <v>1344</v>
      </c>
      <c r="H31" s="14">
        <f>VLOOKUP(H25,Isolator_Plate_Table,MATCH(PLT_SL2,Isolator_Plate_Column_Names,0),FALSE)</f>
        <v>6.5</v>
      </c>
      <c r="J31" s="69" t="s">
        <v>1878</v>
      </c>
      <c r="K31" s="66">
        <f>K25*(VLOOKUP(K24,Steel_List_Table,MATCH(STL_LBFT,Steel_List_Column_Names,0),FALSE)/12)</f>
        <v>32.642833333333336</v>
      </c>
      <c r="L31" s="216"/>
      <c r="M31" s="19" t="s">
        <v>1180</v>
      </c>
      <c r="N31" s="169">
        <v>4</v>
      </c>
      <c r="O31" s="647"/>
      <c r="P31" s="19" t="s">
        <v>119</v>
      </c>
      <c r="Q31" s="14">
        <f>IF(AND(B8=1,B9=1,OR(B27=6,B27=8)),Q97+K28-Q5+K46+Q112+K46-K45/2,IF(AND(B8=1,B9=2,OR(B27=6,B27=8)),Q97+K28-Q5+K29-K45/2,IF(AND(B8=2,OR(B27=6,B27=8)),Q97+K28-Q5+K45/2,IF(AND(B8=1,B9=1),Q97+K29-Q5+K46+Q112+K46-K45/2,IF(B8=1,Q97+K29-Q5+K46-K45/2,IF(B8=2,Q97+K29-Q5+K45/2,FALSE))))))</f>
        <v>11.14</v>
      </c>
    </row>
    <row r="32" spans="1:18" ht="12" customHeight="1" x14ac:dyDescent="0.2">
      <c r="A32" s="19" t="s">
        <v>650</v>
      </c>
      <c r="B32" s="14">
        <f>VLOOKUP(B25,Fan_Data_Table,MATCH(FAN_A,Fan_Data_Column_Names,0),FALSE)</f>
        <v>31.81</v>
      </c>
      <c r="C32" s="29"/>
      <c r="D32" s="85" t="s">
        <v>72</v>
      </c>
      <c r="E32" s="14">
        <f>VLOOKUP(MOTORFRAME,MotorBase_Table,MATCH(MTRBS_AL,MotorBase_Data_Column_Names,0),FALSE)</f>
        <v>22.75</v>
      </c>
      <c r="F32" s="29"/>
      <c r="G32" s="19" t="s">
        <v>1194</v>
      </c>
      <c r="H32" s="45">
        <f>IF(AND(OR(B27=3,B27=4,B27=5,B27=6,B27=7,B27=8),H82&lt;&gt;19,B21=2),3,IF(AND(OR(B27=3,B27=4,B27=5,B27=6,B27=7,B27=8),H82=19,B21=2),5,IF(AND(H82&lt;&gt;19,B21=2),4,IF(AND(H82=19,B21=2),6,IF(AND(OR(B27=3,B27=4,B27=5,B27=6,B27=7,B27=8),B21=1),1,IF(B21=1,2,FALSE))))))</f>
        <v>3</v>
      </c>
      <c r="J32" s="19" t="s">
        <v>660</v>
      </c>
      <c r="K32" s="14">
        <f>IF(AND(B27&lt;&gt;6,B27&lt;&gt;8),K4,IF(K45-(B59-B33/2-B11+B37/2)&lt;0.25,K45-B37/2-0.25,B59-B33/2-B11))</f>
        <v>1.1304000000000001</v>
      </c>
      <c r="L32" s="216"/>
      <c r="M32" s="19" t="s">
        <v>1181</v>
      </c>
      <c r="N32" s="169">
        <v>3</v>
      </c>
      <c r="O32" s="29"/>
      <c r="P32" s="19" t="s">
        <v>402</v>
      </c>
      <c r="Q32" s="14">
        <f>IF(B8=1,Q31-(Q6-Q78),Q31)</f>
        <v>-52.070599999999992</v>
      </c>
    </row>
    <row r="33" spans="1:20" ht="12" customHeight="1" x14ac:dyDescent="0.2">
      <c r="A33" s="19" t="s">
        <v>1206</v>
      </c>
      <c r="B33" s="14">
        <f>VLOOKUP(B25,Fan_Data_Table,MATCH(FAN_B,Fan_Data_Column_Names,0),FALSE)</f>
        <v>42.75</v>
      </c>
      <c r="C33" s="29"/>
      <c r="D33" s="85" t="s">
        <v>622</v>
      </c>
      <c r="E33" s="14">
        <f>VLOOKUP(MOTORFRAME,MotorBase_Table,MATCH(MTRBS_AM,MotorBase_Data_Column_Names,0),FALSE)</f>
        <v>20.75</v>
      </c>
      <c r="F33" s="29"/>
      <c r="G33" s="19" t="s">
        <v>1218</v>
      </c>
      <c r="H33" s="45">
        <f>IF(ISEVEN(H32),0,1)</f>
        <v>1</v>
      </c>
      <c r="J33" s="933" t="s">
        <v>116</v>
      </c>
      <c r="K33" s="934"/>
      <c r="L33" s="216"/>
      <c r="M33" s="19" t="s">
        <v>2133</v>
      </c>
      <c r="N33" s="169">
        <f>N21</f>
        <v>0.375</v>
      </c>
      <c r="O33" s="29"/>
      <c r="P33" s="19" t="s">
        <v>99</v>
      </c>
      <c r="Q33" s="14">
        <f>K45+0.5</f>
        <v>2.42</v>
      </c>
      <c r="T33" s="103"/>
    </row>
    <row r="34" spans="1:20" ht="12" customHeight="1" x14ac:dyDescent="0.2">
      <c r="A34" s="19" t="s">
        <v>1053</v>
      </c>
      <c r="B34" s="14">
        <f>VLOOKUP(B25,Fan_Data_Table,MATCH(FAN_BAH,Fan_Data_Column_Names,0),FALSE)</f>
        <v>2.5</v>
      </c>
      <c r="C34" s="29"/>
      <c r="D34" s="85" t="s">
        <v>213</v>
      </c>
      <c r="E34" s="14">
        <f>VLOOKUP(MOTORFRAME,MotorBase_Table,MATCH(MTRBS_AX,MotorBase_Data_Column_Names,0),FALSE)</f>
        <v>2.5</v>
      </c>
      <c r="F34" s="29"/>
      <c r="G34" s="19" t="s">
        <v>1369</v>
      </c>
      <c r="H34" s="45">
        <f>IF(ISODD(H32),0,1)</f>
        <v>0</v>
      </c>
      <c r="J34" s="19" t="s">
        <v>2169</v>
      </c>
      <c r="K34" s="45">
        <f>IF(AND(OR(B27=6,B27=8),B8=1,B9=2),1,IF(AND(OR(B27=6,B27=8),B8=2,B9=2),2,0))</f>
        <v>0</v>
      </c>
      <c r="L34" s="216"/>
      <c r="M34" s="19" t="s">
        <v>367</v>
      </c>
      <c r="N34" s="14">
        <f>VLOOKUP(N29,Steel_List_Table,MATCH(STL_FTR,Steel_List_Column_Names,0),FALSE)</f>
        <v>0.5</v>
      </c>
      <c r="O34" s="29"/>
      <c r="P34" s="19" t="s">
        <v>530</v>
      </c>
      <c r="Q34" s="14">
        <v>2.375</v>
      </c>
    </row>
    <row r="35" spans="1:20" ht="12" customHeight="1" x14ac:dyDescent="0.2">
      <c r="A35" s="19" t="s">
        <v>651</v>
      </c>
      <c r="B35" s="14">
        <f>VLOOKUP(B25,Fan_Data_Table,MATCH(FAN_BAW,Fan_Data_Column_Names,0),FALSE)</f>
        <v>2.5</v>
      </c>
      <c r="C35" s="29"/>
      <c r="D35" s="85" t="s">
        <v>488</v>
      </c>
      <c r="E35" s="14">
        <f>VLOOKUP(MOTORFRAME,MotorBase_Table,MATCH(MTRBS_BB,MotorBase_Data_Column_Names,0),FALSE)</f>
        <v>15.5</v>
      </c>
      <c r="F35" s="29"/>
      <c r="G35" s="19" t="s">
        <v>1345</v>
      </c>
      <c r="H35" s="14">
        <f>VLOOKUP(H32,Isolator_Plate_Table,MATCH(PLT_SW1,Isolator_Plate_Column_Names,0),FALSE)</f>
        <v>1.125</v>
      </c>
      <c r="J35" s="19" t="s">
        <v>1370</v>
      </c>
      <c r="K35" s="45">
        <f>IF(K8=0,0,IF(OR(B9=1,FANSIZE&gt;=402),1,0))</f>
        <v>1</v>
      </c>
      <c r="L35" s="216"/>
      <c r="M35" s="69" t="s">
        <v>2134</v>
      </c>
      <c r="N35" s="66">
        <f>N30*(VLOOKUP(N29,Steel_List_Table,MATCH(STL_LBFT,Steel_List_Column_Names,0),FALSE)/12)</f>
        <v>52.862916666666663</v>
      </c>
      <c r="O35" s="29"/>
      <c r="P35" s="19" t="s">
        <v>666</v>
      </c>
      <c r="Q35" s="14">
        <f>Q22/2</f>
        <v>0.875</v>
      </c>
    </row>
    <row r="36" spans="1:20" ht="12" customHeight="1" x14ac:dyDescent="0.2">
      <c r="A36" s="19" t="s">
        <v>1209</v>
      </c>
      <c r="B36" s="14">
        <f>VLOOKUP(B25,Fan_Data_Table,MATCH(FAN_BAT,Fan_Data_Column_Names,0),FALSE)</f>
        <v>0.25</v>
      </c>
      <c r="C36" s="29"/>
      <c r="D36" s="85" t="s">
        <v>1874</v>
      </c>
      <c r="E36" s="14">
        <f>VLOOKUP(MOTORFRAME,MotorBase_Table,MATCH(MTRBS_BT,MotorBase_Data_Column_Names,0),FALSE)</f>
        <v>5.25</v>
      </c>
      <c r="G36" s="19" t="s">
        <v>1901</v>
      </c>
      <c r="H36" s="14">
        <f>VLOOKUP(H32,Isolator_Plate_Table,MATCH(PLT_SW2,Isolator_Plate_Column_Names,0),FALSE)</f>
        <v>4.875</v>
      </c>
      <c r="J36" s="19" t="s">
        <v>1065</v>
      </c>
      <c r="K36" s="45">
        <f>IF(K8=0,0,IF(B9=1,1,0))</f>
        <v>1</v>
      </c>
      <c r="L36" s="216"/>
      <c r="M36" s="19" t="s">
        <v>1755</v>
      </c>
      <c r="N36" s="169">
        <f>N32/2</f>
        <v>1.5</v>
      </c>
      <c r="O36" s="29"/>
      <c r="P36" s="19" t="s">
        <v>936</v>
      </c>
      <c r="Q36" s="14">
        <f>IF(B8=1,Q54-Q78,0)</f>
        <v>63.210599999999992</v>
      </c>
    </row>
    <row r="37" spans="1:20" ht="12" customHeight="1" x14ac:dyDescent="0.2">
      <c r="A37" s="19" t="s">
        <v>1904</v>
      </c>
      <c r="B37" s="14">
        <f>VLOOKUP(B25,Fan_Data_Table,MATCH(FAN_BH,Fan_Data_Column_Names,0),FALSE)</f>
        <v>0.56000000000000005</v>
      </c>
      <c r="C37" s="29"/>
      <c r="D37" s="85" t="s">
        <v>1584</v>
      </c>
      <c r="E37" s="14">
        <f>VLOOKUP(MOTORFRAME,MotorBase_Table,MATCH(MTRBS_E,MotorBase_Data_Column_Names,0),FALSE)</f>
        <v>6.25</v>
      </c>
      <c r="G37" s="19" t="s">
        <v>510</v>
      </c>
      <c r="H37" s="14">
        <f>VLOOKUP(H32,Isolator_Plate_Table,MATCH(PLT_SL1,Isolator_Plate_Column_Names,0),FALSE)</f>
        <v>3.8125</v>
      </c>
      <c r="J37" s="19" t="s">
        <v>1788</v>
      </c>
      <c r="K37" s="14">
        <f>IF(B8=1,E56-B17-E40+K5+K45-K50,B17-E56-E40+K5+K45-K50)</f>
        <v>37.544599999999996</v>
      </c>
      <c r="L37" s="216"/>
      <c r="M37" s="19" t="s">
        <v>1182</v>
      </c>
      <c r="N37" s="169">
        <f>IF(OR(B27=1,B27=2,B27=7,B27=8),B15+E58-E39,B15+E58+E39)</f>
        <v>40.809999999999995</v>
      </c>
      <c r="O37" s="29"/>
      <c r="P37" s="19" t="s">
        <v>667</v>
      </c>
      <c r="Q37" s="14" t="str">
        <f>'Hole Sizes'!I11</f>
        <v>0.152</v>
      </c>
      <c r="T37" s="103"/>
    </row>
    <row r="38" spans="1:20" ht="12" customHeight="1" x14ac:dyDescent="0.2">
      <c r="A38" s="19" t="s">
        <v>1354</v>
      </c>
      <c r="B38" s="14">
        <f>VLOOKUP(B25,Fan_Data_Table,MATCH(FAN_BH_NOM,Fan_Data_Column_Names,0),FALSE)</f>
        <v>0.5</v>
      </c>
      <c r="C38" s="29"/>
      <c r="D38" s="85" t="s">
        <v>2113</v>
      </c>
      <c r="E38" s="14">
        <f>VLOOKUP(MOTORFRAME,MotorBase_Table,MATCH(MTRBS_F,MotorBase_Data_Column_Names,0),FALSE)</f>
        <v>6</v>
      </c>
      <c r="F38" s="29"/>
      <c r="G38" s="19" t="s">
        <v>1046</v>
      </c>
      <c r="H38" s="14">
        <f>VLOOKUP(H32,Isolator_Plate_Table,MATCH(PLT_SL2,Isolator_Plate_Column_Names,0),FALSE)</f>
        <v>9.1875</v>
      </c>
      <c r="J38" s="19" t="s">
        <v>1373</v>
      </c>
      <c r="K38" s="14">
        <f>IF(AND(B27=6,B9=2),K54-((K25-K17*2-B11*2-B32+K60)/2),IF(AND(B27=8,B9=2),K54+((K25-K17*2-B11*2-B32+K60)/2),IF(OR(B27=6,B27=8),H104-K93/2+K17-K106+K25/2,H104-K93/2+K106+K25/2)))</f>
        <v>46.695</v>
      </c>
      <c r="L38" s="216"/>
      <c r="M38" s="933" t="s">
        <v>1600</v>
      </c>
      <c r="N38" s="934"/>
      <c r="O38" s="29"/>
      <c r="P38" s="19" t="s">
        <v>668</v>
      </c>
      <c r="Q38" s="14" t="str">
        <f>'Hole Sizes'!B7</f>
        <v>0.218</v>
      </c>
    </row>
    <row r="39" spans="1:20" ht="12" customHeight="1" x14ac:dyDescent="0.2">
      <c r="A39" s="19" t="s">
        <v>248</v>
      </c>
      <c r="B39" s="14">
        <f>VLOOKUP(B25,Fan_Data_Table,MATCH(FAN_DC,Fan_Data_Column_Names,0),FALSE)</f>
        <v>24.5</v>
      </c>
      <c r="C39" s="29"/>
      <c r="D39" s="85" t="s">
        <v>1740</v>
      </c>
      <c r="E39" s="14">
        <f>VLOOKUP(MOTORFRAME,MotorBase_Table,MATCH(MTRBS_AO,MotorBase_Data_Column_Names,0),FALSE)</f>
        <v>8</v>
      </c>
      <c r="F39" s="29"/>
      <c r="G39" s="29"/>
      <c r="J39" s="19" t="s">
        <v>1372</v>
      </c>
      <c r="K39" s="14">
        <f>B59</f>
        <v>22.75</v>
      </c>
      <c r="L39" s="216"/>
      <c r="M39" s="19" t="s">
        <v>1601</v>
      </c>
      <c r="N39" s="14" t="str">
        <f>CONCATENATE("Angle",N41,N42,N43)</f>
        <v>Angle430.375</v>
      </c>
      <c r="O39" s="29"/>
      <c r="P39" s="19" t="s">
        <v>1379</v>
      </c>
      <c r="Q39" s="14">
        <f>IF(Q18&lt;=0.09,'Hole Sizes'!B35,IF(AND(Q18&gt;0.09,Q18&lt;0.14),'Hole Sizes'!B36,'Hole Sizes'!B37))</f>
        <v>0.125</v>
      </c>
    </row>
    <row r="40" spans="1:20" ht="12" customHeight="1" x14ac:dyDescent="0.2">
      <c r="A40" s="19" t="s">
        <v>792</v>
      </c>
      <c r="B40" s="14">
        <f>VLOOKUP(B25,Fan_Data_Table,MATCH(FAN_DD,Fan_Data_Column_Names,0),FALSE)</f>
        <v>30.25</v>
      </c>
      <c r="C40" s="29"/>
      <c r="D40" s="85" t="s">
        <v>1313</v>
      </c>
      <c r="E40" s="14">
        <f>VLOOKUP(MOTORFRAME,MotorBase_Table,MATCH(MTRBS_AR,MotorBase_Data_Column_Names,0),FALSE)</f>
        <v>9.25</v>
      </c>
      <c r="F40" s="29"/>
      <c r="G40" s="149" t="s">
        <v>732</v>
      </c>
      <c r="H40" s="72" t="s">
        <v>1857</v>
      </c>
      <c r="J40" s="19" t="s">
        <v>1066</v>
      </c>
      <c r="K40" s="14">
        <f>K38</f>
        <v>46.695</v>
      </c>
      <c r="L40" s="216"/>
      <c r="M40" s="19" t="s">
        <v>1175</v>
      </c>
      <c r="N40" s="14">
        <f>N18</f>
        <v>74.63</v>
      </c>
      <c r="O40" s="29"/>
      <c r="P40" s="19" t="s">
        <v>1500</v>
      </c>
      <c r="Q40" s="45">
        <f>IF(B8=1,0,1)</f>
        <v>0</v>
      </c>
    </row>
    <row r="41" spans="1:20" ht="12" customHeight="1" x14ac:dyDescent="0.2">
      <c r="A41" s="19" t="s">
        <v>1363</v>
      </c>
      <c r="B41" s="14">
        <f>VLOOKUP(B25,Fan_Data_Table,MATCH(FAN_DE,Fan_Data_Column_Names,0),FALSE)</f>
        <v>14.75</v>
      </c>
      <c r="C41" s="29"/>
      <c r="D41" s="85" t="s">
        <v>754</v>
      </c>
      <c r="E41" s="14">
        <f>VLOOKUP(MOTORFRAME,MotorBase_Table,MATCH(MTRBS_AU,MotorBase_Data_Column_Names,0),FALSE)</f>
        <v>0.75</v>
      </c>
      <c r="F41" s="29"/>
      <c r="G41" s="932" t="s">
        <v>470</v>
      </c>
      <c r="H41" s="931"/>
      <c r="J41" s="19" t="s">
        <v>1219</v>
      </c>
      <c r="K41" s="14" t="str">
        <f>CONCATENATE("Channel",K43,K44)</f>
        <v>Channel68.2</v>
      </c>
      <c r="L41" s="216"/>
      <c r="M41" s="19" t="s">
        <v>1025</v>
      </c>
      <c r="N41" s="14">
        <v>4</v>
      </c>
      <c r="O41" s="29"/>
      <c r="P41" s="19" t="s">
        <v>1792</v>
      </c>
      <c r="Q41" s="45">
        <f>IF(AND(B8=1,Q17&gt;=2),1,IF(B8=2,1,0))</f>
        <v>0</v>
      </c>
      <c r="T41" s="103"/>
    </row>
    <row r="42" spans="1:20" ht="12" customHeight="1" x14ac:dyDescent="0.2">
      <c r="A42" s="19" t="s">
        <v>1057</v>
      </c>
      <c r="B42" s="14">
        <f>VLOOKUP(B25,Fan_Data_Table,MATCH(FAN_DX,Fan_Data_Column_Names,0),FALSE)</f>
        <v>1.5</v>
      </c>
      <c r="C42" s="29"/>
      <c r="D42" s="85" t="s">
        <v>1874</v>
      </c>
      <c r="E42" s="14">
        <f>VLOOKUP(MOTORFRAME,MotorBase_Table,MATCH(MTRBS_BT,MotorBase_Data_Column_Names,0),FALSE)</f>
        <v>5.25</v>
      </c>
      <c r="F42" s="29"/>
      <c r="G42" s="85" t="s">
        <v>234</v>
      </c>
      <c r="H42" s="14">
        <f>IF(AND(B21=1,B20="TYPEA"),4.625,7.25)</f>
        <v>7.25</v>
      </c>
      <c r="J42" s="19" t="s">
        <v>262</v>
      </c>
      <c r="K42" s="14">
        <f>IF(AND(B9=2,OR(B27=6,B27=8)),K25-K17*2-B11*2-B32-K60,IF(OR(B27=6,B27=8),K25-K17*2,K25))</f>
        <v>47.77000000000001</v>
      </c>
      <c r="L42" s="216"/>
      <c r="M42" s="19" t="s">
        <v>1026</v>
      </c>
      <c r="N42" s="14">
        <v>3</v>
      </c>
      <c r="O42" s="29"/>
      <c r="P42" s="19" t="s">
        <v>1648</v>
      </c>
      <c r="Q42" s="14">
        <f>Q34</f>
        <v>2.375</v>
      </c>
    </row>
    <row r="43" spans="1:20" ht="12" customHeight="1" x14ac:dyDescent="0.2">
      <c r="A43" s="19" t="s">
        <v>1905</v>
      </c>
      <c r="B43" s="14">
        <f>VLOOKUP(B25,Fan_Data_Table,MATCH(FAN_G,Fan_Data_Column_Names,0),FALSE)</f>
        <v>41</v>
      </c>
      <c r="C43" s="29"/>
      <c r="D43" s="85" t="s">
        <v>214</v>
      </c>
      <c r="E43" s="14">
        <f>VLOOKUP(MOTORFRAME,MotorBase_Table,MATCH(MTRBS_AT,MotorBase_Data_Column_Names,0),FALSE)</f>
        <v>0.1875</v>
      </c>
      <c r="F43" s="29"/>
      <c r="G43" s="85" t="s">
        <v>1149</v>
      </c>
      <c r="H43" s="45">
        <f t="array" ref="H43">IF('Load Calculations'!B4&gt;Isolators!G22,Isolators!B22,MAX(IF(('Load Calculations'!B4&gt;=Isolators!F4:F22)*('Load Calculations'!B4&lt;=Isolators!G4:G22)*(B21=Isolators!E4:E22),1,0)*Isolators!B4:B22))</f>
        <v>11</v>
      </c>
      <c r="J43" s="19" t="s">
        <v>263</v>
      </c>
      <c r="K43" s="14">
        <f t="shared" ref="K43:K44" si="1">K15</f>
        <v>6</v>
      </c>
      <c r="L43" s="72"/>
      <c r="M43" s="19" t="s">
        <v>81</v>
      </c>
      <c r="N43" s="14">
        <f>N21</f>
        <v>0.375</v>
      </c>
      <c r="O43" s="29"/>
      <c r="P43" s="19" t="s">
        <v>1380</v>
      </c>
      <c r="Q43" s="45">
        <f>ROUNDUP((Q96-Q42*2)/8,0)+1</f>
        <v>2</v>
      </c>
    </row>
    <row r="44" spans="1:20" ht="12" customHeight="1" x14ac:dyDescent="0.2">
      <c r="A44" s="19" t="s">
        <v>1907</v>
      </c>
      <c r="B44" s="14">
        <f>VLOOKUP(B25,Fan_Data_Table,MATCH(FAN_GA,Fan_Data_Column_Names,0),FALSE)</f>
        <v>0.126</v>
      </c>
      <c r="C44" s="29"/>
      <c r="D44" s="85" t="s">
        <v>489</v>
      </c>
      <c r="E44" s="14">
        <f>VLOOKUP(MOTORFRAME,MotorBase_Table,MATCH(MTRBS_XC,MotorBase_Data_Column_Names,0),FALSE)</f>
        <v>2.125</v>
      </c>
      <c r="F44" s="29"/>
      <c r="G44" s="85" t="s">
        <v>1562</v>
      </c>
      <c r="H44" s="14">
        <f>VLOOKUP(H43,Isolator_Table,MATCH(ISO_OPHGT,Isolator_Data_Column_Names,0),FALSE)</f>
        <v>7.25</v>
      </c>
      <c r="J44" s="19" t="s">
        <v>1371</v>
      </c>
      <c r="K44" s="14">
        <f t="shared" si="1"/>
        <v>8.1999999999999993</v>
      </c>
      <c r="L44" s="29"/>
      <c r="M44" s="19" t="s">
        <v>1748</v>
      </c>
      <c r="N44" s="14">
        <f>VLOOKUP(N39,Steel_List_Table,MATCH(STL_FTR,Steel_List_Column_Names,0),FALSE)</f>
        <v>0.5</v>
      </c>
      <c r="O44" s="29"/>
      <c r="P44" s="19" t="s">
        <v>529</v>
      </c>
      <c r="Q44" s="14">
        <f>(Q96-Q42*2)/(Q43-1)</f>
        <v>1.9100000000000001</v>
      </c>
    </row>
    <row r="45" spans="1:20" ht="12" customHeight="1" x14ac:dyDescent="0.2">
      <c r="A45" s="19" t="s">
        <v>249</v>
      </c>
      <c r="B45" s="14">
        <f>VLOOKUP(B25,Fan_Data_Table,MATCH(FAN_GB,Fan_Data_Column_Names,0),FALSE)</f>
        <v>9.7000000000000003E-2</v>
      </c>
      <c r="C45" s="29"/>
      <c r="D45" s="85" t="s">
        <v>1585</v>
      </c>
      <c r="E45" s="14">
        <f>VLOOKUP(MOTORFRAME,MotorBase_Table,MATCH(MTRBS_DBOLT_D,MotorBase_Data_Column_Names,0),FALSE)</f>
        <v>0.625</v>
      </c>
      <c r="F45" s="29"/>
      <c r="G45" s="85" t="s">
        <v>1563</v>
      </c>
      <c r="H45" s="14">
        <f>VLOOKUP(H43,Isolator_Table,MATCH(ISO_BLT,Isolator_Data_Column_Names,0),FALSE)</f>
        <v>1.5</v>
      </c>
      <c r="J45" s="19" t="s">
        <v>117</v>
      </c>
      <c r="K45" s="14">
        <f>VLOOKUP(K41,Steel_List_Table,MATCH(STL_D,Steel_List_Column_Names,0),FALSE)</f>
        <v>1.92</v>
      </c>
      <c r="L45" s="29"/>
      <c r="M45" s="69" t="s">
        <v>82</v>
      </c>
      <c r="N45" s="66">
        <f>N40*(VLOOKUP(N39,Steel_List_Table,MATCH(STL_LBFT,Steel_List_Column_Names,0),FALSE)/12)</f>
        <v>52.862916666666663</v>
      </c>
      <c r="O45" s="29"/>
      <c r="P45" s="19" t="s">
        <v>1228</v>
      </c>
      <c r="Q45" s="45">
        <f>IF(B9=1,1,IF(AND(B9=2,K35=1),1,0))</f>
        <v>1</v>
      </c>
      <c r="T45" s="103"/>
    </row>
    <row r="46" spans="1:20" ht="12" customHeight="1" x14ac:dyDescent="0.2">
      <c r="A46" s="19" t="s">
        <v>787</v>
      </c>
      <c r="B46" s="14">
        <f>IF(OR(B27=3,B27=4,B27=5,B27=6),VLOOKUP(B25,Fan_Data_Table,MATCH(FAN_GC,Fan_Data_Column_Names,0),FALSE),B43-VLOOKUP(B25,Fan_Data_Table,MATCH(FAN_GC,Fan_Data_Column_Names,0),FALSE))</f>
        <v>20.5</v>
      </c>
      <c r="C46" s="29"/>
      <c r="D46" s="85" t="s">
        <v>1586</v>
      </c>
      <c r="E46" s="14">
        <f>VLOOKUP(MOTORFRAME,MotorBase_Table,MATCH(MTRBS_DBOLT_L,MotorBase_Data_Column_Names,0),FALSE)</f>
        <v>2.5</v>
      </c>
      <c r="F46" s="29"/>
      <c r="G46" s="85" t="s">
        <v>741</v>
      </c>
      <c r="H46" s="14">
        <f>VLOOKUP(H43,Isolator_Table,MATCH(ISO_BW,Isolator_Data_Column_Names,0),FALSE)</f>
        <v>6</v>
      </c>
      <c r="J46" s="19" t="s">
        <v>2164</v>
      </c>
      <c r="K46" s="14">
        <f>VLOOKUP(K41,Steel_List_Table,MATCH(STL_WT,Steel_List_Column_Names,0),FALSE)</f>
        <v>0.2</v>
      </c>
      <c r="L46" s="29"/>
      <c r="M46" s="19" t="s">
        <v>1456</v>
      </c>
      <c r="N46" s="14">
        <f>N42/2</f>
        <v>1.5</v>
      </c>
      <c r="O46" s="29"/>
      <c r="P46" s="19" t="s">
        <v>1227</v>
      </c>
      <c r="Q46" s="14">
        <f>IF(AND(B8=1,B9=1),Q29+Q34,Q31+Q34)</f>
        <v>9.0350000000000001</v>
      </c>
    </row>
    <row r="47" spans="1:20" ht="12" customHeight="1" x14ac:dyDescent="0.2">
      <c r="A47" s="19" t="s">
        <v>247</v>
      </c>
      <c r="B47" s="14">
        <f>VLOOKUP(B25,Fan_Data_Table,MATCH(FAN_H,Fan_Data_Column_Names,0),FALSE)</f>
        <v>47.75</v>
      </c>
      <c r="C47" s="29"/>
      <c r="D47" s="85" t="s">
        <v>73</v>
      </c>
      <c r="E47" s="14">
        <f>VLOOKUP(MOTORFRAME,MotorBase_Table,MATCH(MTRBS_AYBOLT_D,MotorBase_Data_Column_Names,0),FALSE)</f>
        <v>0.75</v>
      </c>
      <c r="F47" s="29"/>
      <c r="G47" s="85" t="s">
        <v>1150</v>
      </c>
      <c r="H47" s="14">
        <f>VLOOKUP(H43,Isolator_Table,MATCH(ISO_BL,Isolator_Data_Column_Names,0),FALSE)</f>
        <v>7.625</v>
      </c>
      <c r="J47" s="19" t="s">
        <v>1787</v>
      </c>
      <c r="K47" s="14">
        <f>VLOOKUP(K41,Steel_List_Table,MATCH(STL_FTR,Steel_List_Column_Names,0),FALSE)</f>
        <v>0.34300000000000003</v>
      </c>
      <c r="L47" s="29"/>
      <c r="M47" s="19" t="s">
        <v>1742</v>
      </c>
      <c r="N47" s="14">
        <f>IF(OR(B27=7,B27=8),B14+B49+E58+E39,IF(OR(B27=6,B27=5),B7-B14+N8-N46,IF(OR(B27=1,B27=2),B13+B49+E58+E39,IF(OR(B27=3,B27=4),B7-B13-N46+N8))))</f>
        <v>71</v>
      </c>
      <c r="O47" s="137"/>
      <c r="P47" s="19" t="s">
        <v>1225</v>
      </c>
      <c r="Q47" s="45">
        <f>ROUNDUP((Q111-Q34*2)/8,0)+1</f>
        <v>0</v>
      </c>
    </row>
    <row r="48" spans="1:20" ht="12" customHeight="1" x14ac:dyDescent="0.2">
      <c r="A48" s="19" t="s">
        <v>1484</v>
      </c>
      <c r="B48" s="14">
        <f>VLOOKUP(B25,Fan_Data_Table,MATCH(FAN_HE,Fan_Data_Column_Names,0),FALSE)</f>
        <v>25.75</v>
      </c>
      <c r="C48" s="29"/>
      <c r="D48" s="85" t="s">
        <v>74</v>
      </c>
      <c r="E48" s="14">
        <f>VLOOKUP(MOTORFRAME,MotorBase_Table,MATCH(MTRBS_AYBOLT_L,MotorBase_Data_Column_Names,0),FALSE)</f>
        <v>9</v>
      </c>
      <c r="F48" s="29"/>
      <c r="G48" s="85" t="s">
        <v>1201</v>
      </c>
      <c r="H48" s="14">
        <f>VLOOKUP(H43,Isolator_Table,MATCH(ISO_BT,Isolator_Data_Column_Names,0),FALSE)</f>
        <v>0.375</v>
      </c>
      <c r="J48" s="69" t="s">
        <v>2165</v>
      </c>
      <c r="K48" s="66">
        <f>K42*(VLOOKUP(K41,Steel_List_Table,MATCH(STL_LBFT,Steel_List_Column_Names,0),FALSE)/12)</f>
        <v>32.642833333333336</v>
      </c>
      <c r="L48" s="29"/>
      <c r="M48" s="933" t="s">
        <v>1064</v>
      </c>
      <c r="N48" s="934"/>
      <c r="O48" s="29"/>
      <c r="P48" s="19" t="s">
        <v>1381</v>
      </c>
      <c r="Q48" s="14">
        <f>(Q111-Q34*2)/(Q47-1)</f>
        <v>0.26999999999999957</v>
      </c>
    </row>
    <row r="49" spans="1:18" ht="12" customHeight="1" x14ac:dyDescent="0.2">
      <c r="A49" s="19" t="s">
        <v>2029</v>
      </c>
      <c r="B49" s="14">
        <f>VLOOKUP(B25,Fan_Data_Table,MATCH(FAN_HJ,Fan_Data_Column_Names,0),FALSE)</f>
        <v>23.31</v>
      </c>
      <c r="C49" s="29"/>
      <c r="D49" s="586" t="s">
        <v>1886</v>
      </c>
      <c r="E49" s="66">
        <f>VLOOKUP(MOTORFRAME,MotorBase_Table,MATCH(MTRBS_LB,MotorBase_Data_Column_Names,0),FALSE)</f>
        <v>31</v>
      </c>
      <c r="F49" s="29"/>
      <c r="G49" s="85" t="s">
        <v>1350</v>
      </c>
      <c r="H49" s="14">
        <f>VLOOKUP(H43,Isolator_Table,MATCH(ISO_BHD,Isolator_Data_Column_Names,0),FALSE)</f>
        <v>0.875</v>
      </c>
      <c r="J49" s="19" t="s">
        <v>275</v>
      </c>
      <c r="K49" s="169">
        <f>IF(AND(B27&lt;&gt;6,B27&lt;&gt;8),K4,IF(K45-(B59-B33/2-B11+B37/2)&lt;0.25,K45-B37/2-0.25,B59-B33/2-B11))</f>
        <v>1.1304000000000001</v>
      </c>
      <c r="L49" s="29"/>
      <c r="M49" s="19" t="s">
        <v>2034</v>
      </c>
      <c r="N49" s="45">
        <f>IF(N9=0,0,IF(OR(B27=6,B27=8),1,0))</f>
        <v>0</v>
      </c>
      <c r="O49" s="29"/>
      <c r="P49" s="19" t="s">
        <v>811</v>
      </c>
      <c r="Q49" s="45">
        <f>IF(B9=1,1,0)</f>
        <v>1</v>
      </c>
    </row>
    <row r="50" spans="1:18" ht="12" customHeight="1" x14ac:dyDescent="0.2">
      <c r="A50" s="19" t="s">
        <v>2148</v>
      </c>
      <c r="B50" s="14">
        <f>VLOOKUP(B25,Fan_Data_Table,MATCH(FAN_HN,Fan_Data_Column_Names,0),FALSE)</f>
        <v>31.75</v>
      </c>
      <c r="C50" s="29"/>
      <c r="D50" s="85" t="s">
        <v>1315</v>
      </c>
      <c r="E50" s="14">
        <f>IF(MOTORFRAME&lt;"143T",0,'Excel Calcs'!E38)</f>
        <v>6</v>
      </c>
      <c r="F50" s="29"/>
      <c r="G50" s="85" t="s">
        <v>1011</v>
      </c>
      <c r="H50" s="14">
        <f>VLOOKUP(H43,Isolator_Table,MATCH(ISO_BHW,Isolator_Data_Column_Names,0),FALSE)</f>
        <v>1.125</v>
      </c>
      <c r="J50" s="19" t="s">
        <v>276</v>
      </c>
      <c r="K50" s="169">
        <f>K4</f>
        <v>1.1304000000000001</v>
      </c>
      <c r="L50" s="29"/>
      <c r="M50" s="19" t="s">
        <v>1490</v>
      </c>
      <c r="N50" s="14" t="str">
        <f>CONCATENATE("Angle",N52,N53,N54)</f>
        <v>Angle430.375</v>
      </c>
      <c r="O50" s="29"/>
      <c r="P50" s="19" t="s">
        <v>810</v>
      </c>
      <c r="Q50" s="14">
        <f>IF(B8=1,Q31+Q34,IF(AND(B8=2,B9=1),Q29+Q34,Q34))</f>
        <v>13.515000000000001</v>
      </c>
    </row>
    <row r="51" spans="1:18" ht="12" customHeight="1" x14ac:dyDescent="0.2">
      <c r="A51" s="19" t="s">
        <v>1355</v>
      </c>
      <c r="B51" s="14">
        <f>VLOOKUP(B25,Fan_Data_Table,MATCH(FAN_J,Fan_Data_Column_Names,0),FALSE)</f>
        <v>26.25</v>
      </c>
      <c r="C51" s="29"/>
      <c r="D51" s="85" t="s">
        <v>75</v>
      </c>
      <c r="E51" s="45">
        <f>IF(E50=0,1,2)</f>
        <v>2</v>
      </c>
      <c r="F51" s="29"/>
      <c r="G51" s="85" t="s">
        <v>1447</v>
      </c>
      <c r="H51" s="14">
        <f>VLOOKUP(H43,Isolator_Table,MATCH(ISO_BHL,Isolator_Data_Column_Names,0),FALSE)</f>
        <v>1.125</v>
      </c>
      <c r="J51" s="933" t="s">
        <v>399</v>
      </c>
      <c r="K51" s="934"/>
      <c r="L51" s="29"/>
      <c r="M51" s="19" t="s">
        <v>1916</v>
      </c>
      <c r="N51" s="14">
        <f>B33</f>
        <v>42.75</v>
      </c>
      <c r="O51" s="72"/>
      <c r="P51" s="19" t="s">
        <v>1072</v>
      </c>
      <c r="Q51" s="14">
        <f>ROUNDUP((Q126-Q34*2)/8,0)+1</f>
        <v>2</v>
      </c>
    </row>
    <row r="52" spans="1:18" ht="12" customHeight="1" x14ac:dyDescent="0.2">
      <c r="A52" s="19" t="s">
        <v>383</v>
      </c>
      <c r="B52" s="14">
        <f>VLOOKUP(B25,Fan_Data_Table,MATCH(FAN_P,Fan_Data_Column_Names,0),FALSE)</f>
        <v>32.880000000000003</v>
      </c>
      <c r="C52" s="29"/>
      <c r="D52" s="85" t="s">
        <v>1587</v>
      </c>
      <c r="E52" s="14">
        <f>E38*2</f>
        <v>12</v>
      </c>
      <c r="F52" s="29"/>
      <c r="G52" s="85" t="s">
        <v>102</v>
      </c>
      <c r="H52" s="14">
        <f>VLOOKUP(H43,Isolator_Table,MATCH(ISO_HL,Isolator_Data_Column_Names,0),FALSE)</f>
        <v>6.44</v>
      </c>
      <c r="J52" s="19" t="s">
        <v>1224</v>
      </c>
      <c r="K52" s="45">
        <f>IF(K8=0,0,IF(OR(B27=6,B27=8),1,0))</f>
        <v>0</v>
      </c>
      <c r="L52" s="29"/>
      <c r="M52" s="19" t="s">
        <v>1917</v>
      </c>
      <c r="N52" s="14">
        <v>4</v>
      </c>
      <c r="O52" s="29"/>
      <c r="P52" s="19" t="s">
        <v>2173</v>
      </c>
      <c r="Q52" s="14">
        <f>(Q126-Q34*2)/(Q51-1)</f>
        <v>1.9100000000000001</v>
      </c>
    </row>
    <row r="53" spans="1:18" ht="12" customHeight="1" x14ac:dyDescent="0.2">
      <c r="A53" s="19" t="s">
        <v>919</v>
      </c>
      <c r="B53" s="14">
        <f>VLOOKUP(B25,Fan_Data_Table,MATCH(FAN_Q,Fan_Data_Column_Names,0),FALSE)</f>
        <v>15.81</v>
      </c>
      <c r="C53" s="29"/>
      <c r="D53" s="85" t="s">
        <v>490</v>
      </c>
      <c r="E53" s="45">
        <f>IF(MOTORFRAME&lt;="215T",0,1)</f>
        <v>1</v>
      </c>
      <c r="F53" s="29"/>
      <c r="G53" s="85" t="s">
        <v>244</v>
      </c>
      <c r="H53" s="14">
        <f>VLOOKUP(H43,Isolator_Table,MATCH(ISO_TDBL,Isolator_Data_Column_Names,0),FALSE)</f>
        <v>2</v>
      </c>
      <c r="J53" s="19" t="s">
        <v>1222</v>
      </c>
      <c r="K53" s="169">
        <f>IF(B8=1,B17+(K56-(B33+B11*2))/2,B17-(K56-(B33+B11*2))/2)</f>
        <v>47.951799999999999</v>
      </c>
      <c r="L53" s="29"/>
      <c r="M53" s="19" t="s">
        <v>1785</v>
      </c>
      <c r="N53" s="14">
        <v>3</v>
      </c>
      <c r="O53" s="29"/>
      <c r="P53" s="19" t="s">
        <v>1341</v>
      </c>
      <c r="Q53" s="14">
        <f>IF(Q17=0,12,Q7/Q17)</f>
        <v>12</v>
      </c>
    </row>
    <row r="54" spans="1:18" ht="12" customHeight="1" x14ac:dyDescent="0.2">
      <c r="A54" s="19" t="s">
        <v>1773</v>
      </c>
      <c r="B54" s="14">
        <f>VLOOKUP(B25,Fan_Data_Table,MATCH(FAN_SD,Fan_Data_Column_Names,0),FALSE)</f>
        <v>2.4375</v>
      </c>
      <c r="C54" s="29"/>
      <c r="D54" s="85" t="s">
        <v>885</v>
      </c>
      <c r="E54" s="14">
        <f>(E35-E38*2)/2+2.25</f>
        <v>4</v>
      </c>
      <c r="F54" s="29"/>
      <c r="G54" s="85" t="s">
        <v>104</v>
      </c>
      <c r="H54" s="14">
        <f>VLOOKUP(H43,Isolator_Table,MATCH(ISO_TDBD,Isolator_Data_Column_Names,0),FALSE)</f>
        <v>0.5</v>
      </c>
      <c r="J54" s="19" t="s">
        <v>934</v>
      </c>
      <c r="K54" s="169">
        <f>IF(B27=6,B15+B49-B32-B11,B15-B49+B32+B11)</f>
        <v>57.220999999999997</v>
      </c>
      <c r="L54" s="29"/>
      <c r="M54" s="19" t="s">
        <v>395</v>
      </c>
      <c r="N54" s="14">
        <f>N21</f>
        <v>0.375</v>
      </c>
      <c r="O54" s="29"/>
      <c r="P54" s="19" t="s">
        <v>1612</v>
      </c>
      <c r="Q54" s="14">
        <f>Q6</f>
        <v>76.530599999999993</v>
      </c>
    </row>
    <row r="55" spans="1:18" ht="12" customHeight="1" x14ac:dyDescent="0.2">
      <c r="A55" s="19" t="s">
        <v>1486</v>
      </c>
      <c r="B55" s="14">
        <f>VLOOKUP(B25,Fan_Data_Table,MATCH(FAN_KSL,Fan_Data_Column_Names,0),FALSE)</f>
        <v>5.5</v>
      </c>
      <c r="C55" s="29"/>
      <c r="D55" s="85" t="s">
        <v>1875</v>
      </c>
      <c r="E55" s="14">
        <f>IF(MOTORFRAME&lt;="286T",1.75,IF(MOTORFRAME&lt;="365T",2,2.5))</f>
        <v>2</v>
      </c>
      <c r="F55" s="29"/>
      <c r="G55" s="85" t="s">
        <v>1771</v>
      </c>
      <c r="H55" s="14">
        <f>VLOOKUP(H43,Isolator_Table,MATCH(ISO_ADJBD,Isolator_Data_Column_Names,0),FALSE)</f>
        <v>0.625</v>
      </c>
      <c r="J55" s="19" t="s">
        <v>270</v>
      </c>
      <c r="K55" s="14" t="str">
        <f>CONCATENATE("Channel",K57,K58)</f>
        <v>Channel68.2</v>
      </c>
      <c r="L55" s="29"/>
      <c r="M55" s="19" t="s">
        <v>1216</v>
      </c>
      <c r="N55" s="14">
        <f>VLOOKUP(N50,Steel_List_Table,MATCH(STL_FTR,Steel_List_Column_Names,0),FALSE)</f>
        <v>0.5</v>
      </c>
      <c r="O55" s="137"/>
      <c r="P55" s="19" t="s">
        <v>1378</v>
      </c>
      <c r="Q55" s="14">
        <f>IF(AND(B27=8,B9=2),K54+Q5+Q53/2,K11+K21-K17+Q5+Q53/2)</f>
        <v>27.389999999999993</v>
      </c>
      <c r="R55" s="80" t="b">
        <f>N7&lt;N62</f>
        <v>1</v>
      </c>
    </row>
    <row r="56" spans="1:18" ht="12" customHeight="1" x14ac:dyDescent="0.2">
      <c r="A56" s="19" t="s">
        <v>1207</v>
      </c>
      <c r="B56" s="14">
        <f>VLOOKUP(B25,Fan_Data_Table,MATCH(FAN_KSW,Fan_Data_Column_Names,0),FALSE)</f>
        <v>0.63</v>
      </c>
      <c r="C56" s="29"/>
      <c r="D56" s="85" t="s">
        <v>2114</v>
      </c>
      <c r="E56" s="14">
        <f>IF(B9=1,E24,IF(B9=2,E25))</f>
        <v>93.35</v>
      </c>
      <c r="F56" s="29"/>
      <c r="G56" s="85" t="s">
        <v>609</v>
      </c>
      <c r="H56" s="45">
        <f t="array" ref="H56">IF('Load Calculations'!C4&gt;Isolators!G22,Isolators!B22,MAX(IF(('Load Calculations'!C4&gt;=Isolators!F4:F22)*('Load Calculations'!C4&lt;=Isolators!G4:G22)*(B21=Isolators!E4:E22),1,0)*Isolators!B4:B22))</f>
        <v>14</v>
      </c>
      <c r="J56" s="19" t="s">
        <v>804</v>
      </c>
      <c r="K56" s="14">
        <f>B33/2+B11+B59-K49</f>
        <v>43.025599999999997</v>
      </c>
      <c r="L56" s="29"/>
      <c r="M56" s="69" t="s">
        <v>396</v>
      </c>
      <c r="N56" s="66">
        <f>N51*(VLOOKUP(N50,Steel_List_Table,MATCH(STL_LBFT,Steel_List_Column_Names,0),FALSE)/12)</f>
        <v>30.28125</v>
      </c>
      <c r="O56" s="29"/>
      <c r="P56" s="69" t="s">
        <v>1476</v>
      </c>
      <c r="Q56" s="66">
        <f>IF(Q9=0,0,IF(Q6=Q53,((Q53*Q54)/144)*$B$4*$Q$18,(((Q53+Q22)*Q54)/144)*$B$4*$Q$18))</f>
        <v>0</v>
      </c>
    </row>
    <row r="57" spans="1:18" ht="12" customHeight="1" x14ac:dyDescent="0.2">
      <c r="A57" s="19" t="s">
        <v>1353</v>
      </c>
      <c r="B57" s="14">
        <f>VLOOKUP(B25,Fan_Data_Table,MATCH(FAN_KSD,Fan_Data_Column_Names,0),FALSE)</f>
        <v>0.31</v>
      </c>
      <c r="D57" s="85" t="s">
        <v>1992</v>
      </c>
      <c r="E57" s="14">
        <f>IF(B20="TYPEA",H44+H6+N65,H44+H6+K94+K102+K72)</f>
        <v>10.49001</v>
      </c>
      <c r="F57" s="29"/>
      <c r="G57" s="85" t="s">
        <v>739</v>
      </c>
      <c r="H57" s="14">
        <f>VLOOKUP(H56,Isolator_Table,MATCH(ISO_OPHGT,Isolator_Data_Column_Names,0),FALSE)</f>
        <v>7.25</v>
      </c>
      <c r="J57" s="19" t="s">
        <v>664</v>
      </c>
      <c r="K57" s="169">
        <f t="shared" ref="K57:K58" si="2">K15</f>
        <v>6</v>
      </c>
      <c r="L57" s="29"/>
      <c r="M57" s="19" t="s">
        <v>1217</v>
      </c>
      <c r="N57" s="14">
        <f>N53/2</f>
        <v>1.5</v>
      </c>
      <c r="O57" s="29"/>
      <c r="P57" s="19" t="s">
        <v>901</v>
      </c>
      <c r="Q57" s="14">
        <f>IF(Q17=0,12,Q7/Q17)</f>
        <v>12</v>
      </c>
    </row>
    <row r="58" spans="1:18" ht="12" customHeight="1" x14ac:dyDescent="0.2">
      <c r="A58" s="19" t="s">
        <v>251</v>
      </c>
      <c r="B58" s="14">
        <f>IF(VLOOKUP(B25,Fan_Data_Table,MATCH(FAN_AH,Fan_Data_Column_Names,0),FALSE)="n/a",1,VLOOKUP(FANSIZE,Fan_Data_Table,MATCH(FAN_AH,Fan_Data_Column_Names,0),FALSE))</f>
        <v>1</v>
      </c>
      <c r="D58" s="85" t="s">
        <v>1876</v>
      </c>
      <c r="E58" s="14">
        <f>IF(MOTORLOCATION="BESIDE",E27,IF(MOTORLOCATION="BEHIND",E28,FALSE))</f>
        <v>-15.88</v>
      </c>
      <c r="F58" s="29"/>
      <c r="G58" s="85" t="s">
        <v>1436</v>
      </c>
      <c r="H58" s="14">
        <f>VLOOKUP(H56,Isolator_Table,MATCH(ISO_BLT,Isolator_Data_Column_Names,0),FALSE)</f>
        <v>1.5</v>
      </c>
      <c r="J58" s="19" t="s">
        <v>805</v>
      </c>
      <c r="K58" s="169">
        <f t="shared" si="2"/>
        <v>8.1999999999999993</v>
      </c>
      <c r="L58" s="29"/>
      <c r="M58" s="19" t="s">
        <v>801</v>
      </c>
      <c r="N58" s="14">
        <f>IF(B27=6,B15+B49-B32-N57,B15-B49+B32+N57)</f>
        <v>58.69</v>
      </c>
      <c r="O58" s="29"/>
      <c r="P58" s="19" t="s">
        <v>1188</v>
      </c>
      <c r="Q58" s="14">
        <f>Q54</f>
        <v>76.530599999999993</v>
      </c>
    </row>
    <row r="59" spans="1:18" ht="12" customHeight="1" x14ac:dyDescent="0.2">
      <c r="A59" s="19" t="s">
        <v>1906</v>
      </c>
      <c r="B59" s="14">
        <f>VLOOKUP(B25,Fan_Data_Table,MATCH(FAN_K,Fan_Data_Column_Names,0),FALSE)</f>
        <v>22.75</v>
      </c>
      <c r="C59" s="29"/>
      <c r="D59" s="85" t="s">
        <v>636</v>
      </c>
      <c r="E59" s="14">
        <v>0.5</v>
      </c>
      <c r="F59" s="29"/>
      <c r="G59" s="85" t="s">
        <v>611</v>
      </c>
      <c r="H59" s="14">
        <f>VLOOKUP(H56,Isolator_Table,MATCH(ISO_BW,Isolator_Data_Column_Names,0),FALSE)</f>
        <v>6</v>
      </c>
      <c r="J59" s="19" t="s">
        <v>665</v>
      </c>
      <c r="K59" s="169">
        <f>VLOOKUP(K55,Steel_List_Table,MATCH(STL_D,Steel_List_Column_Names,0),FALSE)</f>
        <v>1.92</v>
      </c>
      <c r="L59" s="29"/>
      <c r="M59" s="933" t="s">
        <v>1745</v>
      </c>
      <c r="N59" s="934"/>
      <c r="O59" s="29"/>
      <c r="P59" s="19" t="s">
        <v>935</v>
      </c>
      <c r="Q59" s="14">
        <f>IF(B27=8,K11+K21-K17+Q53+Q5+Q57/2+Q77,K11+K21-K17+Q53+Q5+Q57/2)</f>
        <v>39.389999999999993</v>
      </c>
    </row>
    <row r="60" spans="1:18" ht="12" customHeight="1" x14ac:dyDescent="0.2">
      <c r="A60" s="19" t="s">
        <v>918</v>
      </c>
      <c r="B60" s="14">
        <f>VLOOKUP(B25,Fan_Data_Table,MATCH(FAN_M,Fan_Data_Column_Names,0),FALSE)</f>
        <v>15.88</v>
      </c>
      <c r="C60" s="29"/>
      <c r="D60" s="85" t="s">
        <v>1326</v>
      </c>
      <c r="E60" s="14">
        <f>VLOOKUP(E41,Hardware_Table,MATCH(HDWR_BOD,Hardware_Column_Names,0),FALSE)</f>
        <v>1.083</v>
      </c>
      <c r="F60" s="137"/>
      <c r="G60" s="85" t="s">
        <v>858</v>
      </c>
      <c r="H60" s="14">
        <f>VLOOKUP(H56,Isolator_Table,MATCH(ISO_BL,Isolator_Data_Column_Names,0),FALSE)</f>
        <v>7.625</v>
      </c>
      <c r="J60" s="19" t="s">
        <v>271</v>
      </c>
      <c r="K60" s="169">
        <f>VLOOKUP(K55,Steel_List_Table,MATCH(STL_WT,Steel_List_Column_Names,0),FALSE)</f>
        <v>0.2</v>
      </c>
      <c r="L60" s="29"/>
      <c r="M60" s="19" t="s">
        <v>1597</v>
      </c>
      <c r="N60" s="14" t="str">
        <f>CONCATENATE("Angle",N63,N64,N65)</f>
        <v>Angle640.375</v>
      </c>
      <c r="O60" s="72"/>
      <c r="P60" s="69" t="s">
        <v>1346</v>
      </c>
      <c r="Q60" s="66">
        <f>IF(Q10=0,0,(((Q57+$Q$22*2)*Q58)/144)*$B$4*$Q$18)</f>
        <v>0</v>
      </c>
    </row>
    <row r="61" spans="1:18" ht="12" customHeight="1" x14ac:dyDescent="0.2">
      <c r="A61" s="19" t="s">
        <v>1485</v>
      </c>
      <c r="B61" s="14">
        <f>VLOOKUP(B25,Fan_Data_Table,MATCH(FAN_N,Fan_Data_Column_Names,0),FALSE)</f>
        <v>1.1299999999999999</v>
      </c>
      <c r="C61" s="29"/>
      <c r="D61" s="85" t="s">
        <v>1032</v>
      </c>
      <c r="E61" s="14">
        <f>VLOOKUP(E41,Hardware_Table,MATCH(HDWR_FWOD,Hardware_Column_Names,0),FALSE)</f>
        <v>1.3120000000000001</v>
      </c>
      <c r="F61" s="29"/>
      <c r="G61" s="85" t="s">
        <v>1049</v>
      </c>
      <c r="H61" s="14">
        <f>VLOOKUP(H56,Isolator_Table,MATCH(ISO_BT,Isolator_Data_Column_Names,0),FALSE)</f>
        <v>0.375</v>
      </c>
      <c r="J61" s="19" t="s">
        <v>1377</v>
      </c>
      <c r="K61" s="169">
        <f>VLOOKUP(K55,Steel_List_Table,MATCH(STL_FTR,Steel_List_Column_Names,0),FALSE)</f>
        <v>0.34300000000000003</v>
      </c>
      <c r="L61" s="29"/>
      <c r="M61" s="19" t="s">
        <v>1599</v>
      </c>
      <c r="N61" s="14">
        <f>N7</f>
        <v>49.190000000000005</v>
      </c>
      <c r="O61" s="29"/>
      <c r="P61" s="19" t="s">
        <v>507</v>
      </c>
      <c r="Q61" s="14">
        <f>IF(Q17=0,12,Q7/Q17)</f>
        <v>12</v>
      </c>
    </row>
    <row r="62" spans="1:18" ht="12" customHeight="1" x14ac:dyDescent="0.2">
      <c r="A62" s="19" t="s">
        <v>2147</v>
      </c>
      <c r="B62" s="14">
        <f>VLOOKUP(B25,Fan_Data_Table,MATCH(FAN_ND,Fan_Data_Column_Names,0),FALSE)</f>
        <v>4.6199999999999992</v>
      </c>
      <c r="C62" s="29"/>
      <c r="D62" s="85" t="s">
        <v>1027</v>
      </c>
      <c r="E62" s="14">
        <f>VLOOKUP(E41,Hardware_Table,MATCH(HDWR_LWOD,Hardware_Column_Names,0),FALSE)</f>
        <v>1.079</v>
      </c>
      <c r="G62" s="85" t="s">
        <v>1202</v>
      </c>
      <c r="H62" s="14">
        <f>VLOOKUP(H56,Isolator_Table,MATCH(ISO_BHD,Isolator_Data_Column_Names,0),FALSE)</f>
        <v>0.875</v>
      </c>
      <c r="J62" s="69" t="s">
        <v>272</v>
      </c>
      <c r="K62" s="790">
        <f>K56*(VLOOKUP(K55,Steel_List_Table,MATCH(STL_LBFT,Steel_List_Column_Names,0),FALSE)/12)</f>
        <v>29.40082666666666</v>
      </c>
      <c r="L62" s="29"/>
      <c r="M62" s="19" t="s">
        <v>2001</v>
      </c>
      <c r="N62" s="14">
        <f>N61+N68+N69</f>
        <v>53.315000000000005</v>
      </c>
      <c r="O62" s="137"/>
      <c r="P62" s="19" t="s">
        <v>900</v>
      </c>
      <c r="Q62" s="14">
        <f>Q54</f>
        <v>76.530599999999993</v>
      </c>
    </row>
    <row r="63" spans="1:18" ht="12" customHeight="1" x14ac:dyDescent="0.2">
      <c r="A63" s="19" t="s">
        <v>1360</v>
      </c>
      <c r="B63" s="14">
        <f>VLOOKUP(B25,Fan_Data_Table,MATCH(FAN_WOD,Fan_Data_Column_Names,0),FALSE)</f>
        <v>36</v>
      </c>
      <c r="C63" s="29"/>
      <c r="D63" s="85" t="s">
        <v>1463</v>
      </c>
      <c r="E63" s="14">
        <f>VLOOKUP(E41,Hardware_Table,MATCH(HDWR_NOD,Hardware_Column_Names,0),FALSE)</f>
        <v>1.23</v>
      </c>
      <c r="G63" s="85" t="s">
        <v>880</v>
      </c>
      <c r="H63" s="14">
        <f>VLOOKUP(H56,Isolator_Table,MATCH(ISO_BHW,Isolator_Data_Column_Names,0),FALSE)</f>
        <v>1.125</v>
      </c>
      <c r="J63" s="933" t="s">
        <v>1596</v>
      </c>
      <c r="K63" s="934"/>
      <c r="L63" s="29"/>
      <c r="M63" s="19" t="s">
        <v>1879</v>
      </c>
      <c r="N63" s="14">
        <v>6</v>
      </c>
      <c r="O63" s="137"/>
      <c r="P63" s="19" t="s">
        <v>528</v>
      </c>
      <c r="Q63" s="14">
        <f>IF(B27=8,K11+K21-K17+Q53+Q57+Q5+Q61/2+Q77,K11+K21-K17+Q53+Q57+Q5+Q61/2)</f>
        <v>51.389999999999993</v>
      </c>
    </row>
    <row r="64" spans="1:18" ht="12" customHeight="1" x14ac:dyDescent="0.2">
      <c r="A64" s="374" t="s">
        <v>111</v>
      </c>
      <c r="B64" s="14">
        <f>VLOOKUP(B25,Fan_Data_Table,MATCH(FAN_WID,Fan_Data_Column_Names,0),FALSE)</f>
        <v>23.400000000000002</v>
      </c>
      <c r="C64" s="29"/>
      <c r="D64" s="85" t="s">
        <v>86</v>
      </c>
      <c r="E64" s="14">
        <f>IF(FANSIZE=122,0.45,0.5)</f>
        <v>0.5</v>
      </c>
      <c r="G64" s="85" t="s">
        <v>1311</v>
      </c>
      <c r="H64" s="14">
        <f>VLOOKUP(H56,Isolator_Table,MATCH(ISO_BHL,Isolator_Data_Column_Names,0),FALSE)</f>
        <v>1.125</v>
      </c>
      <c r="J64" s="19" t="s">
        <v>1491</v>
      </c>
      <c r="K64" s="14">
        <f>IF(AND(B9=2,B8=1,K77&lt;&gt;0,B20&lt;&gt;"TYPEC"),B17+K77/2,IF(AND(B9=2,B8=2,K77&lt;&gt;0,B20&lt;&gt;"TYPEC"),B17-K77/2,IF(AND(B9=2,K77=0,B20&lt;&gt;"TYPEC"),B17,IF(AND(B8=1,K77&lt;&gt;0),E56+K77-K76*2,IF(AND(B8=2,K77&lt;&gt;0),E56-K77+K76*2,E56)))))</f>
        <v>93.35</v>
      </c>
      <c r="L64" s="216"/>
      <c r="M64" s="19" t="s">
        <v>1880</v>
      </c>
      <c r="N64" s="14">
        <v>4</v>
      </c>
      <c r="O64" s="29"/>
      <c r="P64" s="69" t="s">
        <v>1196</v>
      </c>
      <c r="Q64" s="66">
        <f>IF(Q11=0,0,(((Q61+$Q$22*2)*Q62)/144)*$B$4*$Q$18)</f>
        <v>0</v>
      </c>
    </row>
    <row r="65" spans="1:18" ht="12" customHeight="1" x14ac:dyDescent="0.2">
      <c r="A65" s="374" t="s">
        <v>1488</v>
      </c>
      <c r="B65" s="14">
        <f>VLOOKUP(B25,Fan_Data_Table,MATCH(FAN_WW,Fan_Data_Column_Names,0),FALSE)</f>
        <v>27.787500000000001</v>
      </c>
      <c r="C65" s="29"/>
      <c r="D65" s="29"/>
      <c r="E65" s="29"/>
      <c r="G65" s="85" t="s">
        <v>2144</v>
      </c>
      <c r="H65" s="14">
        <f>VLOOKUP(H56,Isolator_Table,MATCH(ISO_HL,Isolator_Data_Column_Names,0),FALSE)</f>
        <v>6.44</v>
      </c>
      <c r="J65" s="19" t="s">
        <v>1220</v>
      </c>
      <c r="K65" s="14">
        <f>E58</f>
        <v>-15.88</v>
      </c>
      <c r="L65" s="29"/>
      <c r="M65" s="19" t="s">
        <v>2002</v>
      </c>
      <c r="N65" s="14">
        <v>0.375</v>
      </c>
      <c r="O65" s="29"/>
      <c r="P65" s="19" t="s">
        <v>235</v>
      </c>
      <c r="Q65" s="14">
        <f>IF(Q17=0,12,Q7/Q17)</f>
        <v>12</v>
      </c>
    </row>
    <row r="66" spans="1:18" ht="12" customHeight="1" x14ac:dyDescent="0.2">
      <c r="A66" s="374" t="s">
        <v>926</v>
      </c>
      <c r="B66" s="14">
        <f>VLOOKUP(B25,Fan_Data_Table,MATCH(FAN_INLET_FLG_W,Fan_Data_Column_Names,0),FALSE)</f>
        <v>1.5</v>
      </c>
      <c r="C66" s="29"/>
      <c r="D66" s="149" t="s">
        <v>732</v>
      </c>
      <c r="E66" s="72" t="s">
        <v>1857</v>
      </c>
      <c r="G66" s="85" t="s">
        <v>2028</v>
      </c>
      <c r="H66" s="14">
        <f>VLOOKUP(H56,Isolator_Table,MATCH(ISO_TDBL,Isolator_Data_Column_Names,0),FALSE)</f>
        <v>2</v>
      </c>
      <c r="J66" s="19" t="s">
        <v>362</v>
      </c>
      <c r="K66" s="14" t="str">
        <f>CONCATENATE("Channel",K70,K71)</f>
        <v>Channel45.4</v>
      </c>
      <c r="L66" s="29"/>
      <c r="M66" s="19" t="s">
        <v>1316</v>
      </c>
      <c r="N66" s="14">
        <f>VLOOKUP(N60,Steel_List_Table,MATCH(STL_FTR,Steel_List_Column_Names,0),FALSE)</f>
        <v>0.5</v>
      </c>
      <c r="O66" s="29"/>
      <c r="P66" s="19" t="s">
        <v>506</v>
      </c>
      <c r="Q66" s="14">
        <f>Q54</f>
        <v>76.530599999999993</v>
      </c>
    </row>
    <row r="67" spans="1:18" ht="12" customHeight="1" x14ac:dyDescent="0.2">
      <c r="A67" s="374" t="s">
        <v>1777</v>
      </c>
      <c r="B67" s="14">
        <f>VLOOKUP(B25,Fan_Data_Table,MATCH(FAN_BRG_SUP_W,Fan_Data_Column_Names,0),FALSE)</f>
        <v>3.5</v>
      </c>
      <c r="C67" s="29"/>
      <c r="D67" s="930" t="s">
        <v>284</v>
      </c>
      <c r="E67" s="931"/>
      <c r="G67" s="85" t="s">
        <v>1903</v>
      </c>
      <c r="H67" s="14">
        <f>VLOOKUP(H56,Isolator_Table,MATCH(ISO_TDBD,Isolator_Data_Column_Names,0),FALSE)</f>
        <v>0.5</v>
      </c>
      <c r="J67" s="19" t="s">
        <v>358</v>
      </c>
      <c r="K67" s="14">
        <f>E39*2</f>
        <v>16</v>
      </c>
      <c r="L67" s="29"/>
      <c r="M67" s="69" t="s">
        <v>2003</v>
      </c>
      <c r="N67" s="66">
        <f>N62*(VLOOKUP(N60,Steel_List_Table,MATCH(STL_LBFT,Steel_List_Column_Names,0),FALSE)/12)</f>
        <v>54.647875000000013</v>
      </c>
      <c r="O67" s="29"/>
      <c r="P67" s="19" t="s">
        <v>273</v>
      </c>
      <c r="Q67" s="14">
        <f>IF(B27=8,K11+K21-K17+Q53+Q57+Q61+Q5+Q65/2+Q77,K11+K21-K17+Q53+Q57+Q61+Q5+Q65/2)</f>
        <v>63.389999999999993</v>
      </c>
    </row>
    <row r="68" spans="1:18" ht="12" customHeight="1" x14ac:dyDescent="0.2">
      <c r="A68" s="374" t="s">
        <v>2163</v>
      </c>
      <c r="B68" s="14">
        <f>VLOOKUP(B25,Fan_Data_Table,MATCH(FAN_BRG_SUP_T,Fan_Data_Column_Names,0),FALSE)</f>
        <v>0.375</v>
      </c>
      <c r="C68" s="29"/>
      <c r="D68" s="85" t="s">
        <v>678</v>
      </c>
      <c r="E68" s="14">
        <v>4</v>
      </c>
      <c r="G68" s="85" t="s">
        <v>916</v>
      </c>
      <c r="H68" s="14">
        <f>VLOOKUP(H56,Isolator_Table,MATCH(ISO_ADJBD,Isolator_Data_Column_Names,0),FALSE)</f>
        <v>0.625</v>
      </c>
      <c r="J68" s="19" t="s">
        <v>1894</v>
      </c>
      <c r="K68" s="14">
        <f>IF(AND(B9=2,B20="TYPEC"),K76*2+E33,IF(AND(B9=2,OR(B27=6,B27=8)),K14+K17*2+K76*2,IF(B9=2,K14+K76*2,E33+K76*2)))</f>
        <v>21.25</v>
      </c>
      <c r="L68" s="216"/>
      <c r="M68" s="19" t="s">
        <v>89</v>
      </c>
      <c r="N68" s="14">
        <f>IF(N61-N11*2-N12*2+N69&gt;=B19,0,IF(N61-N11*2-N12*2&lt;B19,B19-(N61-N11*2-N12*2),0))</f>
        <v>0</v>
      </c>
      <c r="O68" s="29"/>
      <c r="P68" s="69" t="s">
        <v>1047</v>
      </c>
      <c r="Q68" s="66">
        <f>IF(Q12=0,0,(((Q65+$Q$22*2)*Q66)/144)*$B$4*$Q$18)</f>
        <v>0</v>
      </c>
    </row>
    <row r="69" spans="1:18" ht="12" customHeight="1" x14ac:dyDescent="0.2">
      <c r="A69" s="374" t="s">
        <v>1778</v>
      </c>
      <c r="B69" s="14">
        <f>VLOOKUP(B25,Fan_Data_Table,MATCH(FAN_BRG_DIA,Fan_Data_Column_Names,0),FALSE)</f>
        <v>3.65625</v>
      </c>
      <c r="C69" s="29"/>
      <c r="D69" s="85" t="s">
        <v>2044</v>
      </c>
      <c r="E69" s="14">
        <v>1.5</v>
      </c>
      <c r="G69" s="85" t="s">
        <v>193</v>
      </c>
      <c r="H69" s="45">
        <f t="array" ref="H69">IF('Load Calculations'!D4&gt;Isolators!G22,Isolators!B22,MAX(IF(('Load Calculations'!D4&gt;=Isolators!F4:F22)*('Load Calculations'!D4&lt;=Isolators!G4:G22)*(B21=Isolators!E4:E22),1,0)*Isolators!B4:B22))</f>
        <v>12</v>
      </c>
      <c r="J69" s="19" t="s">
        <v>886</v>
      </c>
      <c r="K69" s="14">
        <f>K68+K77</f>
        <v>21.25</v>
      </c>
      <c r="L69" s="29"/>
      <c r="M69" s="19" t="s">
        <v>771</v>
      </c>
      <c r="N69" s="14">
        <f>N11+N12*0.75-(N42-N46)+(E32/2-E39)</f>
        <v>4.125</v>
      </c>
      <c r="O69" s="137"/>
      <c r="P69" s="19" t="s">
        <v>2022</v>
      </c>
      <c r="Q69" s="14">
        <f>IF(Q17=0,12,Q7/Q17)</f>
        <v>12</v>
      </c>
    </row>
    <row r="70" spans="1:18" ht="12" customHeight="1" x14ac:dyDescent="0.2">
      <c r="A70" s="374" t="s">
        <v>2157</v>
      </c>
      <c r="B70" s="14">
        <f>VLOOKUP(B25,Fan_Data_Table,MATCH(FAN_BRG_W,Fan_Data_Column_Names,0),FALSE)</f>
        <v>3</v>
      </c>
      <c r="C70" s="29"/>
      <c r="D70" s="85" t="s">
        <v>1387</v>
      </c>
      <c r="E70" s="14">
        <v>0.125</v>
      </c>
      <c r="G70" s="85" t="s">
        <v>2100</v>
      </c>
      <c r="H70" s="14">
        <f>VLOOKUP(H69,Isolator_Table,MATCH(ISO_OPHGT,Isolator_Data_Column_Names,0),FALSE)</f>
        <v>7.25</v>
      </c>
      <c r="J70" s="19" t="s">
        <v>755</v>
      </c>
      <c r="K70" s="14">
        <f>IF(Motor_ChannelO&lt;&gt;0,LEFT(Motor_ChannelO,FIND(" ",Motor_ChannelO)-1),4)</f>
        <v>4</v>
      </c>
      <c r="L70" s="29"/>
      <c r="M70" s="19" t="s">
        <v>1367</v>
      </c>
      <c r="N70" s="169">
        <f>IF(OR(B27=1,B27=2,B27=7,B27=8),N26-N24+N62/2,N26-N24+N62/2-N69)</f>
        <v>45.842500000000001</v>
      </c>
      <c r="O70" s="29"/>
      <c r="P70" s="19" t="s">
        <v>101</v>
      </c>
      <c r="Q70" s="14">
        <f>Q54</f>
        <v>76.530599999999993</v>
      </c>
    </row>
    <row r="71" spans="1:18" ht="12" customHeight="1" x14ac:dyDescent="0.2">
      <c r="A71" s="374" t="s">
        <v>254</v>
      </c>
      <c r="B71" s="14">
        <f>VLOOKUP(B25,Fan_Data_Table,MATCH(FAN_BRG_H,Fan_Data_Column_Names,0),FALSE)</f>
        <v>3.78125</v>
      </c>
      <c r="C71" s="29"/>
      <c r="D71" s="85" t="s">
        <v>286</v>
      </c>
      <c r="E71" s="14">
        <v>0.75</v>
      </c>
      <c r="G71" s="85" t="s">
        <v>1295</v>
      </c>
      <c r="H71" s="14">
        <f>VLOOKUP(H69,Isolator_Table,MATCH(ISO_BLT,Isolator_Data_Column_Names,0),FALSE)</f>
        <v>1.5</v>
      </c>
      <c r="J71" s="19" t="s">
        <v>1016</v>
      </c>
      <c r="K71" s="14">
        <f>IF(Motor_ChannelO&lt;&gt;0,MID(Motor_ChannelO,FIND(" ",Motor_ChannelO)+1,255),5.4)</f>
        <v>5.4</v>
      </c>
      <c r="L71" s="29"/>
      <c r="M71" s="933" t="s">
        <v>2014</v>
      </c>
      <c r="N71" s="934"/>
      <c r="P71" s="19" t="s">
        <v>2037</v>
      </c>
      <c r="Q71" s="14">
        <f>IF(B27=8,K12-K21+K17-Q5-Q69/2,IF(Q12=1,K11+K21-K17+Q53+Q57+Q61+Q65+Q5+Q69/2,IF(Q11=1,K11+K21-K17+Q53+Q57+Q61+Q5+Q69/2,IF(Q10=1,K11+K21-K17+Q53+Q57+Q5+Q69/2,K11+K21-K17+Q53+Q5+Q69/2))))</f>
        <v>39.389999999999993</v>
      </c>
      <c r="R71" s="216"/>
    </row>
    <row r="72" spans="1:18" ht="12" customHeight="1" x14ac:dyDescent="0.2">
      <c r="A72" s="374" t="s">
        <v>523</v>
      </c>
      <c r="B72" s="14">
        <f>IF(OR(B27=1,B27=7,B27=8),0.063,IF(B27=3,B40-B63/2-B34,IF(OR(B27=2,B27=5,B27=6),B40-B71+B69/2,IF(B27=4,1,))))</f>
        <v>9.75</v>
      </c>
      <c r="C72" s="29"/>
      <c r="D72" s="85" t="s">
        <v>1655</v>
      </c>
      <c r="E72" s="14">
        <v>3.1E-2</v>
      </c>
      <c r="G72" s="85" t="s">
        <v>331</v>
      </c>
      <c r="H72" s="14">
        <f>VLOOKUP(H69,Isolator_Table,MATCH(ISO_BW,Isolator_Data_Column_Names,0),FALSE)</f>
        <v>6</v>
      </c>
      <c r="J72" s="19" t="s">
        <v>756</v>
      </c>
      <c r="K72" s="14">
        <f>VLOOKUP(K66,Steel_List_Table,MATCH(STL_D,Steel_List_Column_Names,0),FALSE)</f>
        <v>1.5840000000000001</v>
      </c>
      <c r="M72" s="19" t="s">
        <v>1317</v>
      </c>
      <c r="N72" s="45">
        <f>IF(N9=0,0,IF(B9=2,0,1))</f>
        <v>0</v>
      </c>
      <c r="P72" s="69" t="s">
        <v>907</v>
      </c>
      <c r="Q72" s="66">
        <f>IF(Q13=0,0,(((Q69+$Q$22)*Q70)/144)*$B$4*$Q$18)</f>
        <v>0</v>
      </c>
      <c r="R72" s="243"/>
    </row>
    <row r="73" spans="1:18" ht="12" customHeight="1" x14ac:dyDescent="0.2">
      <c r="A73" s="374" t="s">
        <v>524</v>
      </c>
      <c r="B73" s="14">
        <f>IF(B27=1,B40-B63/2-B34,IF(OR(B27=3,B27=5,B27=6),0.063,IF(B27=2,1,IF(OR(B27=4,B27=7,B27=8),B40-B71+B69/2,))))</f>
        <v>6.3E-2</v>
      </c>
      <c r="C73" s="29"/>
      <c r="D73" s="85" t="s">
        <v>1930</v>
      </c>
      <c r="E73" s="14">
        <f>B16+B39+B50+E68+E75/2</f>
        <v>75.156010000000009</v>
      </c>
      <c r="G73" s="85" t="s">
        <v>740</v>
      </c>
      <c r="H73" s="14">
        <f>VLOOKUP(H69,Isolator_Table,MATCH(ISO_BL,Isolator_Data_Column_Names,0),FALSE)</f>
        <v>7.625</v>
      </c>
      <c r="J73" s="19" t="s">
        <v>1994</v>
      </c>
      <c r="K73" s="14">
        <f>VLOOKUP(K66,Steel_List_Table,MATCH(STL_WT,Steel_List_Column_Names,0),FALSE)</f>
        <v>0.184</v>
      </c>
      <c r="M73" s="19" t="s">
        <v>1368</v>
      </c>
      <c r="N73" s="14">
        <f>IF(B8=1,B17+B33/2+N82,E56+E40)</f>
        <v>70.72</v>
      </c>
      <c r="P73" s="19" t="s">
        <v>1647</v>
      </c>
      <c r="Q73" s="14">
        <f>Q69</f>
        <v>12</v>
      </c>
      <c r="R73" s="243"/>
    </row>
    <row r="74" spans="1:18" ht="12" customHeight="1" x14ac:dyDescent="0.2">
      <c r="A74" s="374" t="s">
        <v>931</v>
      </c>
      <c r="B74" s="45">
        <f>IF(OR(B27=1,B27=3),1,0)</f>
        <v>1</v>
      </c>
      <c r="C74" s="29"/>
      <c r="D74" s="85" t="s">
        <v>1796</v>
      </c>
      <c r="E74" s="14">
        <f>IF(B27=5,B15+B49-B32/2,B15-B49+B32/2)</f>
        <v>41.284999999999997</v>
      </c>
      <c r="G74" s="85" t="s">
        <v>914</v>
      </c>
      <c r="H74" s="14">
        <f>VLOOKUP(H69,Isolator_Table,MATCH(ISO_BT,Isolator_Data_Column_Names,0),FALSE)</f>
        <v>0.375</v>
      </c>
      <c r="J74" s="19" t="s">
        <v>2115</v>
      </c>
      <c r="K74" s="14">
        <f>VLOOKUP(K66,Steel_List_Table,MATCH(STL_FTR,Steel_List_Column_Names,0),FALSE)</f>
        <v>0.29599999999999999</v>
      </c>
      <c r="M74" s="19" t="s">
        <v>1063</v>
      </c>
      <c r="N74" s="14">
        <f>IF(B8=1,E56-E40,B17-B33/2-N82)</f>
        <v>84.1</v>
      </c>
      <c r="P74" s="19" t="s">
        <v>2038</v>
      </c>
      <c r="Q74" s="14">
        <f>Q54</f>
        <v>76.530599999999993</v>
      </c>
      <c r="R74" s="243"/>
    </row>
    <row r="75" spans="1:18" ht="12" customHeight="1" x14ac:dyDescent="0.2">
      <c r="A75" s="85" t="s">
        <v>921</v>
      </c>
      <c r="B75" s="14">
        <f>VLOOKUP(B38,Hardware_Table,MATCH(HDWR_BOD,Hardware_Column_Names,0),FALSE)</f>
        <v>0.64900000000000002</v>
      </c>
      <c r="C75" s="29"/>
      <c r="D75" s="85" t="s">
        <v>538</v>
      </c>
      <c r="E75" s="14">
        <f>IF(OR(B27=5,B27=7),B5-B16-B39-B50-E68+E69,12)</f>
        <v>12</v>
      </c>
      <c r="G75" s="85" t="s">
        <v>915</v>
      </c>
      <c r="H75" s="14">
        <f>VLOOKUP(H69,Isolator_Table,MATCH(ISO_BHD,Isolator_Data_Column_Names,0),FALSE)</f>
        <v>0.875</v>
      </c>
      <c r="J75" s="69" t="s">
        <v>1995</v>
      </c>
      <c r="K75" s="66">
        <f>K69*(VLOOKUP(K66,Steel_List_Table,MATCH(STL_LBFT,Steel_List_Column_Names,0),FALSE)/12)</f>
        <v>9.5625</v>
      </c>
      <c r="M75" s="19" t="s">
        <v>1893</v>
      </c>
      <c r="N75" s="14" t="str">
        <f>CONCATENATE("Angle",N77,N78,N79)</f>
        <v>Angle430.375</v>
      </c>
      <c r="P75" s="19" t="s">
        <v>1791</v>
      </c>
      <c r="Q75" s="14">
        <f>IF(B27=6,Q71,Q84+Q82/2+Q73/2)</f>
        <v>39.389999999999993</v>
      </c>
      <c r="R75" s="243"/>
    </row>
    <row r="76" spans="1:18" ht="12" customHeight="1" x14ac:dyDescent="0.2">
      <c r="A76" s="85" t="s">
        <v>1775</v>
      </c>
      <c r="B76" s="14">
        <f>VLOOKUP(B38,Hardware_Table,MATCH(HDWR_FWOD,Hardware_Column_Names,0),FALSE)</f>
        <v>0.81200000000000006</v>
      </c>
      <c r="C76" s="29"/>
      <c r="D76" s="85" t="s">
        <v>817</v>
      </c>
      <c r="E76" s="14">
        <f>B33-E70*2-E98*2</f>
        <v>42.387979999999999</v>
      </c>
      <c r="G76" s="85" t="s">
        <v>749</v>
      </c>
      <c r="H76" s="14">
        <f>VLOOKUP(H69,Isolator_Table,MATCH(ISO_BHW,Isolator_Data_Column_Names,0),FALSE)</f>
        <v>1.125</v>
      </c>
      <c r="J76" s="19" t="s">
        <v>1335</v>
      </c>
      <c r="K76" s="14">
        <v>0.25</v>
      </c>
      <c r="M76" s="19" t="s">
        <v>1328</v>
      </c>
      <c r="N76" s="14">
        <f>N7-N20-N42</f>
        <v>43.190000000000005</v>
      </c>
      <c r="P76" s="69" t="s">
        <v>401</v>
      </c>
      <c r="Q76" s="66">
        <f>IF(Q14=0,0,(((Q73+$Q$22)*Q74)/144)*$B$4*$Q$18)</f>
        <v>0</v>
      </c>
      <c r="R76" s="243"/>
    </row>
    <row r="77" spans="1:18" ht="12" customHeight="1" x14ac:dyDescent="0.2">
      <c r="A77" s="85" t="s">
        <v>1632</v>
      </c>
      <c r="B77" s="14">
        <f>VLOOKUP(B38,Hardware_Table,MATCH(HDWR_LWOD,Hardware_Column_Names,0),FALSE)</f>
        <v>0.68300000000000005</v>
      </c>
      <c r="C77" s="29"/>
      <c r="D77" s="85" t="s">
        <v>1931</v>
      </c>
      <c r="E77" s="14">
        <f>B32-E70*2</f>
        <v>31.56</v>
      </c>
      <c r="G77" s="85" t="s">
        <v>1012</v>
      </c>
      <c r="H77" s="14">
        <f>VLOOKUP(H69,Isolator_Table,MATCH(ISO_BHL,Isolator_Data_Column_Names,0),FALSE)</f>
        <v>1.125</v>
      </c>
      <c r="J77" s="19" t="s">
        <v>1465</v>
      </c>
      <c r="K77" s="14">
        <f>IF(B20="TYPEC",0,IF(AND(B8=1,B9&lt;&gt;1,OR(B27=6,B27=8)),((B17-E56)*-1)+E33/2-K68/2+K76,IF(AND(B8=2,B9&lt;&gt;1,OR(B27=6,B27=8)),B17-E56+E33/2-K68/2+K76,IF(AND(B8=1,B9&lt;&gt;1),((B17-E56)*-1)+E33/2-K68/2+K76,IF(AND(B8=2,B9&lt;&gt;1),B17-E56+E33/2-K68/2+K76,0)))))</f>
        <v>0</v>
      </c>
      <c r="L77" s="216"/>
      <c r="M77" s="19" t="s">
        <v>1178</v>
      </c>
      <c r="N77" s="14">
        <v>4</v>
      </c>
      <c r="P77" s="19" t="s">
        <v>807</v>
      </c>
      <c r="Q77" s="14">
        <f>IF(AND(B9=1,OR(B27=6,B27=8)),K25-Q5*2-Q7,12)</f>
        <v>12</v>
      </c>
      <c r="R77" s="243"/>
    </row>
    <row r="78" spans="1:18" ht="12" customHeight="1" x14ac:dyDescent="0.2">
      <c r="A78" s="85" t="s">
        <v>922</v>
      </c>
      <c r="B78" s="14">
        <f>VLOOKUP(B38,Hardware_Table,MATCH(HDWR_NOD,Hardware_Column_Names,0),FALSE)</f>
        <v>0.79500000000000004</v>
      </c>
      <c r="C78" s="29"/>
      <c r="D78" s="85" t="s">
        <v>1389</v>
      </c>
      <c r="E78" s="14">
        <f>E76+E98*2</f>
        <v>42.5</v>
      </c>
      <c r="G78" s="85" t="s">
        <v>2027</v>
      </c>
      <c r="H78" s="14">
        <f>VLOOKUP(H69,Isolator_Table,MATCH(ISO_HL,Isolator_Data_Column_Names,0),FALSE)</f>
        <v>6.44</v>
      </c>
      <c r="J78" s="19" t="s">
        <v>2198</v>
      </c>
      <c r="K78" s="169">
        <f>IF(AND(B20="TYPEB",B8=2,B9=1),((B17+K10-K14/2)-(E24-K69/2)),IF(AND(B20="TYPEB",B8=1,B9=1),((E24+K69/2)-(B17+K10+K14/2)),0))</f>
        <v>2.4798000000000116</v>
      </c>
      <c r="L78" s="216"/>
      <c r="M78" s="19" t="s">
        <v>1179</v>
      </c>
      <c r="N78" s="14">
        <v>3</v>
      </c>
      <c r="P78" s="19" t="s">
        <v>1070</v>
      </c>
      <c r="Q78" s="14">
        <f>IF(B8=1,Q112+Q127+K46*2+K28-Q5*2,Q97+Q112+K46*2+K28-Q5*2)</f>
        <v>13.32</v>
      </c>
      <c r="R78" s="243"/>
    </row>
    <row r="79" spans="1:18" ht="12" customHeight="1" x14ac:dyDescent="0.2">
      <c r="D79" s="85" t="s">
        <v>285</v>
      </c>
      <c r="E79" s="14">
        <f>E77-E98*2-E72*2</f>
        <v>31.385979999999996</v>
      </c>
      <c r="G79" s="85" t="s">
        <v>1625</v>
      </c>
      <c r="H79" s="14">
        <f>VLOOKUP(H69,Isolator_Table,MATCH(ISO_TDBL,Isolator_Data_Column_Names,0),FALSE)</f>
        <v>2</v>
      </c>
      <c r="J79" s="19" t="s">
        <v>1251</v>
      </c>
      <c r="K79" s="169">
        <f>IF(AND(B20="TYPEC",B8=2,B9=1),((B17+K10-K14/2)-(E24-K69/2)),IF(AND(B20="TYPEC",B8=1,B9=1),((E24+K69/2)-(B17+K10+K14/2)),0))</f>
        <v>0</v>
      </c>
      <c r="L79" s="216"/>
      <c r="M79" s="19" t="s">
        <v>226</v>
      </c>
      <c r="N79" s="14">
        <v>0.375</v>
      </c>
      <c r="P79" s="19" t="s">
        <v>808</v>
      </c>
      <c r="Q79" s="14">
        <f>IF(Q12=1,K11+K21-K17+Q57+Q61+Q65+Q69+Q73+Q5+Q77/2,IF(Q11=1,K11+K21-K17+Q57+Q61+Q65+Q73+Q5+Q77/2,IF(Q10=1,K11+K21-K17+Q57+Q61+Q73+Q5+Q77/2,IF(Q17=2,K11+K21-K17+Q53+Q73+Q77/2+Q5,K11+K21-K17+Q53+Q5+Q77/2))))</f>
        <v>39.389999999999993</v>
      </c>
      <c r="R79" s="216"/>
    </row>
    <row r="80" spans="1:18" ht="12" customHeight="1" x14ac:dyDescent="0.2">
      <c r="A80" s="149" t="s">
        <v>732</v>
      </c>
      <c r="B80" s="72" t="s">
        <v>1857</v>
      </c>
      <c r="D80" s="19" t="s">
        <v>1390</v>
      </c>
      <c r="E80" s="14">
        <f>E69/2</f>
        <v>0.75</v>
      </c>
      <c r="G80" s="85" t="s">
        <v>1482</v>
      </c>
      <c r="H80" s="14">
        <f>VLOOKUP(H69,Isolator_Table,MATCH(ISO_TDBD,Isolator_Data_Column_Names,0),FALSE)</f>
        <v>0.5</v>
      </c>
      <c r="J80" s="933" t="s">
        <v>491</v>
      </c>
      <c r="K80" s="934"/>
      <c r="L80" s="192"/>
      <c r="M80" s="19" t="s">
        <v>1604</v>
      </c>
      <c r="N80" s="14">
        <f>VLOOKUP(N75,Steel_List_Table,MATCH(STL_FTR,Steel_List_Column_Names,0),FALSE)</f>
        <v>0.5</v>
      </c>
      <c r="P80" s="19" t="s">
        <v>1071</v>
      </c>
      <c r="Q80" s="14">
        <f>IF(B8=1,Q21+Q54/2-Q78/2,Q21-Q54/2+Q78/2)</f>
        <v>46.490199999999987</v>
      </c>
      <c r="R80" s="243"/>
    </row>
    <row r="81" spans="1:18" ht="12" customHeight="1" x14ac:dyDescent="0.2">
      <c r="A81" s="930" t="s">
        <v>818</v>
      </c>
      <c r="B81" s="931"/>
      <c r="D81" s="19" t="s">
        <v>1391</v>
      </c>
      <c r="E81" s="14">
        <f>E71+E84/2</f>
        <v>1.375</v>
      </c>
      <c r="G81" s="85" t="s">
        <v>105</v>
      </c>
      <c r="H81" s="14">
        <f>VLOOKUP(H69,Isolator_Table,MATCH(ISO_ADJBD,Isolator_Data_Column_Names,0),FALSE)</f>
        <v>0.625</v>
      </c>
      <c r="J81" s="19" t="s">
        <v>1744</v>
      </c>
      <c r="K81" s="45">
        <f>IF(B20&lt;&gt;"TYPEA",1,0)</f>
        <v>1</v>
      </c>
      <c r="L81" s="192"/>
      <c r="M81" s="69" t="s">
        <v>227</v>
      </c>
      <c r="N81" s="66">
        <f>N76*(VLOOKUP(N75,Steel_List_Table,MATCH(STL_LBFT,Steel_List_Column_Names,0),FALSE)/12)</f>
        <v>30.592916666666671</v>
      </c>
      <c r="P81" s="69" t="s">
        <v>1497</v>
      </c>
      <c r="Q81" s="66">
        <f>IF(Q15=0,0,(((Q77+$Q$22)*Q78)/144)*$B$4*$Q$18)</f>
        <v>0</v>
      </c>
      <c r="R81" s="243"/>
    </row>
    <row r="82" spans="1:18" ht="12" customHeight="1" x14ac:dyDescent="0.2">
      <c r="A82" s="85" t="s">
        <v>135</v>
      </c>
      <c r="B82" s="45">
        <f>IF(B26="FIA",1,2)</f>
        <v>2</v>
      </c>
      <c r="D82" s="19" t="s">
        <v>1236</v>
      </c>
      <c r="E82" s="14">
        <f>ROUNDUP((E75-E80-E81)/8,0)+1</f>
        <v>3</v>
      </c>
      <c r="G82" s="85" t="s">
        <v>1863</v>
      </c>
      <c r="H82" s="45">
        <f t="array" ref="H82">IF('Load Calculations'!E4&gt;Isolators!G22,Isolators!B22,MAX(IF(('Load Calculations'!E4&gt;=Isolators!F4:F22)*('Load Calculations'!E4&lt;=Isolators!G4:G22)*(B21=Isolators!E4:E22),1,0)*Isolators!B4:B22))</f>
        <v>12</v>
      </c>
      <c r="J82" s="19" t="s">
        <v>92</v>
      </c>
      <c r="K82" s="45">
        <f>IF(B21=1,1,2)</f>
        <v>2</v>
      </c>
      <c r="M82" s="19" t="s">
        <v>2033</v>
      </c>
      <c r="N82" s="14">
        <f>N78/2</f>
        <v>1.5</v>
      </c>
      <c r="P82" s="19" t="s">
        <v>1498</v>
      </c>
      <c r="Q82" s="14">
        <f t="shared" ref="Q82:Q83" si="3">Q77</f>
        <v>12</v>
      </c>
      <c r="R82" s="243"/>
    </row>
    <row r="83" spans="1:18" ht="12" customHeight="1" x14ac:dyDescent="0.2">
      <c r="A83" s="85" t="s">
        <v>681</v>
      </c>
      <c r="B83" s="14">
        <v>0.25</v>
      </c>
      <c r="D83" s="19" t="s">
        <v>539</v>
      </c>
      <c r="E83" s="14">
        <f>(E75-E80-E81)/(E82-1)</f>
        <v>4.9375</v>
      </c>
      <c r="G83" s="85" t="s">
        <v>1294</v>
      </c>
      <c r="H83" s="14">
        <f>VLOOKUP(H82,Isolator_Table,MATCH(ISO_OPHGT,Isolator_Data_Column_Names,0),FALSE)</f>
        <v>7.25</v>
      </c>
      <c r="J83" s="19" t="s">
        <v>1757</v>
      </c>
      <c r="K83" s="45">
        <f>IF(AND('Load Calculations'!B4&lt;'Iso Sup Angle'!D5,H44=7.25),'Iso Sup Angle'!B5,IF(AND('Load Calculations'!B4&gt;='Iso Sup Angle'!D5,H44=7.25),'Iso Sup Angle'!B6,IF(AND('Load Calculations'!B4&lt;'Iso Sup Angle'!D7,H44=8.125),'Iso Sup Angle'!B7,IF(AND('Load Calculations'!B4&gt;='Iso Sup Angle'!D7,H44=8.125),'Iso Sup Angle'!B8,IF(H44=4.625,'Iso Sup Angle'!B4,FALSE)))))</f>
        <v>2</v>
      </c>
      <c r="L83" s="192"/>
      <c r="N83" s="29"/>
      <c r="P83" s="19" t="s">
        <v>1789</v>
      </c>
      <c r="Q83" s="14">
        <f t="shared" si="3"/>
        <v>13.32</v>
      </c>
      <c r="R83" s="243"/>
    </row>
    <row r="84" spans="1:18" ht="12" customHeight="1" x14ac:dyDescent="0.2">
      <c r="A84" s="85" t="s">
        <v>1797</v>
      </c>
      <c r="B84" s="14">
        <f>IF(AND(B9=1,B86=4),45,IF(B86=4,50,IF(AND(B9=1,B86&lt;&gt;4),38.5,50.5)))</f>
        <v>38.5</v>
      </c>
      <c r="D84" s="85" t="s">
        <v>126</v>
      </c>
      <c r="E84" s="14">
        <v>1.25</v>
      </c>
      <c r="G84" s="85" t="s">
        <v>1153</v>
      </c>
      <c r="H84" s="14">
        <f>VLOOKUP(H82,Isolator_Table,MATCH(ISO_BLT,Isolator_Data_Column_Names,0),FALSE)</f>
        <v>1.5</v>
      </c>
      <c r="J84" s="19" t="s">
        <v>368</v>
      </c>
      <c r="K84" s="45">
        <f>IF(OR(K83=1,K83=2,K83=4),0,1)</f>
        <v>0</v>
      </c>
      <c r="N84" s="29"/>
      <c r="P84" s="19" t="s">
        <v>1499</v>
      </c>
      <c r="Q84" s="14">
        <f>K11+K21-K17+Q5+Q82/2</f>
        <v>27.389999999999993</v>
      </c>
      <c r="R84" s="243"/>
    </row>
    <row r="85" spans="1:18" ht="12" customHeight="1" x14ac:dyDescent="0.2">
      <c r="A85" s="85" t="s">
        <v>1510</v>
      </c>
      <c r="B85" s="14">
        <f>IF(AND(B86=4,B9=2),50,IF(AND(B86=4,B9=1),60,IF(B9=2,40,50)))</f>
        <v>50</v>
      </c>
      <c r="D85" s="85" t="s">
        <v>540</v>
      </c>
      <c r="E85" s="14">
        <f>E71+E84/2</f>
        <v>1.375</v>
      </c>
      <c r="G85" s="85" t="s">
        <v>195</v>
      </c>
      <c r="H85" s="14">
        <f>VLOOKUP(H82,Isolator_Table,MATCH(ISO_BW,Isolator_Data_Column_Names,0),FALSE)</f>
        <v>6</v>
      </c>
      <c r="J85" s="19" t="s">
        <v>1610</v>
      </c>
      <c r="K85" s="45">
        <f>IF(AND('Load Calculations'!E4&lt;'Iso Sup Angle'!C5,H57=7.25),'Iso Sup Angle'!B5,IF(AND('Load Calculations'!E4&gt;='Iso Sup Angle'!C5,H57=7.25),'Iso Sup Angle'!B6,IF(AND('Load Calculations'!C4&lt;'Iso Sup Angle'!D7,H57=8.125),'Iso Sup Angle'!B7,IF(AND('Load Calculations'!C4&gt;='Iso Sup Angle'!D7,H57=8.125),'Iso Sup Angle'!B8,IF(H57=4.625,'Iso Sup Angle'!B4,FALSE)))))</f>
        <v>2</v>
      </c>
      <c r="N85" s="29"/>
      <c r="P85" s="19" t="s">
        <v>1790</v>
      </c>
      <c r="Q85" s="14">
        <f>Q80</f>
        <v>46.490199999999987</v>
      </c>
      <c r="R85" s="243"/>
    </row>
    <row r="86" spans="1:18" ht="12" customHeight="1" x14ac:dyDescent="0.2">
      <c r="A86" s="85" t="s">
        <v>1798</v>
      </c>
      <c r="B86" s="14">
        <f>IF(B20="TYPEA",4,IF(B20="TYPEB",6,IF(B20="TYPEC",8)))</f>
        <v>6</v>
      </c>
      <c r="D86" s="19" t="s">
        <v>2045</v>
      </c>
      <c r="E86" s="14">
        <f>IF(E75&gt;36,2,1)</f>
        <v>1</v>
      </c>
      <c r="G86" s="85" t="s">
        <v>610</v>
      </c>
      <c r="H86" s="14">
        <f>VLOOKUP(H82,Isolator_Table,MATCH(ISO_BL,Isolator_Data_Column_Names,0),FALSE)</f>
        <v>7.625</v>
      </c>
      <c r="J86" s="19" t="s">
        <v>638</v>
      </c>
      <c r="K86" s="45">
        <f>IF(OR(K85=1,K85=2,K85=4),0,1)</f>
        <v>0</v>
      </c>
      <c r="N86" s="29"/>
      <c r="P86" s="69" t="s">
        <v>809</v>
      </c>
      <c r="Q86" s="66">
        <f>IF(Q16=0,0,(((Q82+$Q$22)*Q83)/144)*$B$4*$Q$18)</f>
        <v>0</v>
      </c>
      <c r="R86" s="243"/>
    </row>
    <row r="87" spans="1:18" ht="12" customHeight="1" x14ac:dyDescent="0.2">
      <c r="A87" s="85" t="s">
        <v>1799</v>
      </c>
      <c r="B87" s="14">
        <f>N20</f>
        <v>3</v>
      </c>
      <c r="D87" s="19" t="s">
        <v>409</v>
      </c>
      <c r="E87" s="747">
        <f>(E75-E69-E71-E84)/2+E84+E71</f>
        <v>6.25</v>
      </c>
      <c r="G87" s="85" t="s">
        <v>782</v>
      </c>
      <c r="H87" s="14">
        <f>VLOOKUP(H82,Isolator_Table,MATCH(ISO_BT,Isolator_Data_Column_Names,0),FALSE)</f>
        <v>0.375</v>
      </c>
      <c r="J87" s="19" t="s">
        <v>1339</v>
      </c>
      <c r="K87" s="45">
        <f>IF(AND('Load Calculations'!D4&lt;'Iso Sup Angle'!D5,H70=7.25),'Iso Sup Angle'!B5,IF(AND('Load Calculations'!D4&gt;='Iso Sup Angle'!D5,H70=7.25),'Iso Sup Angle'!B6,IF(AND('Load Calculations'!D4&lt;'Iso Sup Angle'!D7,H70=8.125),'Iso Sup Angle'!B7,IF(AND('Load Calculations'!D4&gt;='Iso Sup Angle'!D7,H70=8.125),'Iso Sup Angle'!B8,IF(H70=4.625,'Iso Sup Angle'!B4,FALSE)))))</f>
        <v>2</v>
      </c>
      <c r="P87" s="19" t="s">
        <v>1618</v>
      </c>
      <c r="Q87" s="14" t="str">
        <f>CONCATENATE("Rebar",Q88)</f>
        <v>Rebar0.5</v>
      </c>
      <c r="R87" s="243"/>
    </row>
    <row r="88" spans="1:18" ht="12" customHeight="1" x14ac:dyDescent="0.2">
      <c r="A88" s="85" t="s">
        <v>410</v>
      </c>
      <c r="B88" s="14">
        <f>N42</f>
        <v>3</v>
      </c>
      <c r="D88" s="85" t="s">
        <v>1084</v>
      </c>
      <c r="E88" s="14">
        <f>E78</f>
        <v>42.5</v>
      </c>
      <c r="G88" s="85" t="s">
        <v>783</v>
      </c>
      <c r="H88" s="14">
        <f>VLOOKUP(H82,Isolator_Table,MATCH(ISO_BHD,Isolator_Data_Column_Names,0),FALSE)</f>
        <v>0.875</v>
      </c>
      <c r="J88" s="19" t="s">
        <v>1039</v>
      </c>
      <c r="K88" s="45">
        <f>IF(OR(K87=1,K87=2,K87=4),0,1)</f>
        <v>0</v>
      </c>
      <c r="P88" s="19" t="s">
        <v>98</v>
      </c>
      <c r="Q88" s="14">
        <v>0.5</v>
      </c>
      <c r="R88" s="243"/>
    </row>
    <row r="89" spans="1:18" ht="12" customHeight="1" x14ac:dyDescent="0.2">
      <c r="A89" s="85" t="s">
        <v>1094</v>
      </c>
      <c r="B89" s="14">
        <f>IF(AND(B86=4,N7&lt;N62,OR(B27=3,B27=4,B27=5,B27=6)),B84/2-1,B84/2)</f>
        <v>19.25</v>
      </c>
      <c r="C89" s="136"/>
      <c r="D89" s="19" t="s">
        <v>127</v>
      </c>
      <c r="E89" s="14">
        <v>1.5</v>
      </c>
      <c r="G89" s="85" t="s">
        <v>485</v>
      </c>
      <c r="H89" s="14">
        <f>VLOOKUP(H82,Isolator_Table,MATCH(ISO_BHW,Isolator_Data_Column_Names,0),FALSE)</f>
        <v>1.125</v>
      </c>
      <c r="J89" s="19" t="s">
        <v>1184</v>
      </c>
      <c r="K89" s="45">
        <f>IF(AND('Load Calculations'!E4&lt;'Iso Sup Angle'!D5,H83=7.25),'Iso Sup Angle'!B5,IF(AND('Load Calculations'!E4&gt;='Iso Sup Angle'!D5,H83=7.25),'Iso Sup Angle'!B6,IF(AND('Load Calculations'!E4&lt;'Iso Sup Angle'!D7,H83=8.125),'Iso Sup Angle'!B7,IF(AND('Load Calculations'!E4&gt;='Iso Sup Angle'!D7,H83=8.125),'Iso Sup Angle'!B8,IF(H83=4.625,'Iso Sup Angle'!B4,FALSE)))))</f>
        <v>2</v>
      </c>
      <c r="P89" s="19" t="s">
        <v>374</v>
      </c>
      <c r="Q89" s="45">
        <f>IF(INERTIA&lt;&gt;"YES",0,1)</f>
        <v>0</v>
      </c>
      <c r="R89" s="243"/>
    </row>
    <row r="90" spans="1:18" ht="12" customHeight="1" x14ac:dyDescent="0.2">
      <c r="A90" s="85" t="s">
        <v>287</v>
      </c>
      <c r="B90" s="14">
        <f>IF(AND(B86=4,N7&lt;N62,OR(B27=1,B27=2,B27=7,B27=8)),B84/2-1,B84/2)</f>
        <v>19.25</v>
      </c>
      <c r="D90" s="19" t="s">
        <v>1237</v>
      </c>
      <c r="E90" s="14">
        <f>ROUNDUP((E88-E89*2)/8,0)+1</f>
        <v>6</v>
      </c>
      <c r="G90" s="85" t="s">
        <v>881</v>
      </c>
      <c r="H90" s="14">
        <f>VLOOKUP(H82,Isolator_Table,MATCH(ISO_BHL,Isolator_Data_Column_Names,0),FALSE)</f>
        <v>1.125</v>
      </c>
      <c r="J90" s="19" t="s">
        <v>1340</v>
      </c>
      <c r="K90" s="45">
        <f>IF(OR(K89=1,K89=2,K89=4),0,1)</f>
        <v>0</v>
      </c>
      <c r="M90" s="192"/>
      <c r="P90" s="19" t="s">
        <v>2142</v>
      </c>
      <c r="Q90" s="45">
        <f>IF(INERTIA&lt;&gt;"YES",0,IF(B9=1,1,IF(AND(B9=2,B20="TYPEC"),1,0)))</f>
        <v>0</v>
      </c>
      <c r="R90" s="243"/>
    </row>
    <row r="91" spans="1:18" ht="12" customHeight="1" x14ac:dyDescent="0.2">
      <c r="A91" s="85" t="s">
        <v>1933</v>
      </c>
      <c r="B91" s="45">
        <f>IF(B86=4,2,IF(OR(B27=6,B27=8),0,1))</f>
        <v>1</v>
      </c>
      <c r="D91" s="19" t="s">
        <v>1928</v>
      </c>
      <c r="E91" s="14">
        <f>(E88-E89*2)/(E90-1)</f>
        <v>7.9</v>
      </c>
      <c r="G91" s="85" t="s">
        <v>1902</v>
      </c>
      <c r="H91" s="14">
        <f>VLOOKUP(H82,Isolator_Table,MATCH(ISO_HL,Isolator_Data_Column_Names,0),FALSE)</f>
        <v>6.44</v>
      </c>
      <c r="J91" s="19" t="s">
        <v>1884</v>
      </c>
      <c r="K91" s="14">
        <f>VLOOKUP(K82,Isolator_SupAng_Table,MATCH(SUPANG_H,Isolator_SupAng_Column_Names,0),FALSE)</f>
        <v>4</v>
      </c>
      <c r="P91" s="19" t="s">
        <v>1615</v>
      </c>
      <c r="Q91" s="45">
        <f>IF(OR(INERTIA&lt;&gt;"YES",B9&lt;&gt;1),0,1)</f>
        <v>0</v>
      </c>
      <c r="R91" s="243"/>
    </row>
    <row r="92" spans="1:18" ht="12" customHeight="1" x14ac:dyDescent="0.2">
      <c r="A92" s="85" t="s">
        <v>682</v>
      </c>
      <c r="B92" s="14">
        <f>IF(B86=4,B90-B88-0.001,IF(AND(B27=6,B9=2),B111-B83-0.001,B84/2))</f>
        <v>19.25</v>
      </c>
      <c r="D92" s="85" t="s">
        <v>942</v>
      </c>
      <c r="E92" s="14">
        <f>E79+E98*2+E72*2</f>
        <v>31.56</v>
      </c>
      <c r="G92" s="85" t="s">
        <v>1204</v>
      </c>
      <c r="H92" s="14">
        <f>VLOOKUP(H82,Isolator_Table,MATCH(ISO_TDBL,Isolator_Data_Column_Names,0),FALSE)</f>
        <v>2</v>
      </c>
      <c r="J92" s="19" t="s">
        <v>1885</v>
      </c>
      <c r="K92" s="14">
        <f>VLOOKUP(K82,Isolator_SupAng_Table,MATCH(SUPANG_D,Isolator_SupAng_Column_Names,0),FALSE)</f>
        <v>6</v>
      </c>
      <c r="P92" s="19" t="s">
        <v>1041</v>
      </c>
      <c r="Q92" s="14">
        <v>0.125</v>
      </c>
      <c r="R92" s="243"/>
    </row>
    <row r="93" spans="1:18" ht="12" customHeight="1" x14ac:dyDescent="0.2">
      <c r="A93" s="85" t="s">
        <v>1085</v>
      </c>
      <c r="B93" s="14">
        <f>IF(B86=4,B85/7,IF(B21=1,B85/11,B85/9))</f>
        <v>5.5555555555555554</v>
      </c>
      <c r="D93" s="19" t="s">
        <v>1929</v>
      </c>
      <c r="E93" s="14">
        <v>2</v>
      </c>
      <c r="G93" s="85" t="s">
        <v>1051</v>
      </c>
      <c r="H93" s="14">
        <f>VLOOKUP(H82,Isolator_Table,MATCH(ISO_TDBD,Isolator_Data_Column_Names,0),FALSE)</f>
        <v>0.5</v>
      </c>
      <c r="J93" s="19" t="s">
        <v>1883</v>
      </c>
      <c r="K93" s="14">
        <f>VLOOKUP(K82,Isolator_SupAng_Table,MATCH(SUPANG_L,Isolator_SupAng_Column_Names,0),FALSE)</f>
        <v>8</v>
      </c>
      <c r="P93" s="19" t="s">
        <v>1468</v>
      </c>
      <c r="Q93" s="14">
        <v>9</v>
      </c>
      <c r="R93" s="243"/>
    </row>
    <row r="94" spans="1:18" ht="12" customHeight="1" x14ac:dyDescent="0.2">
      <c r="A94" s="85" t="s">
        <v>1238</v>
      </c>
      <c r="B94" s="14">
        <f>IF(AND(B9=1,OR(B86=6,B86=8)),B84,IF(AND(B9=2,OR(B27=1,B27=2,B27=3,B27=4,B27=5,B27=7)),B84,IF(OR(B86=6,B86=8),B84/2+1-B83,IF(OR(B27=1,B27=2,B27=7,B27=8),B84/2-B87+B90-B88,B84/2-B87+B89-B88))))-0.001*2</f>
        <v>38.497999999999998</v>
      </c>
      <c r="C94" s="29"/>
      <c r="D94" s="19" t="s">
        <v>680</v>
      </c>
      <c r="E94" s="14">
        <f>ROUNDUP((E92-E93*2)/8,0)+1</f>
        <v>5</v>
      </c>
      <c r="G94" s="85" t="s">
        <v>1351</v>
      </c>
      <c r="H94" s="14">
        <f>VLOOKUP(H82,Isolator_Table,MATCH(ISO_ADJBD,Isolator_Data_Column_Names,0),FALSE)</f>
        <v>0.625</v>
      </c>
      <c r="J94" s="19" t="s">
        <v>627</v>
      </c>
      <c r="K94" s="14">
        <f>VLOOKUP(K82,Isolator_SupAng_Table,MATCH(SUPANG_WT,Isolator_SupAng_Column_Names,0),FALSE)</f>
        <v>0.5</v>
      </c>
      <c r="M94" s="192"/>
      <c r="P94" s="19" t="s">
        <v>1193</v>
      </c>
      <c r="Q94" s="14">
        <v>2</v>
      </c>
    </row>
    <row r="95" spans="1:18" ht="12" customHeight="1" x14ac:dyDescent="0.2">
      <c r="A95" s="85" t="s">
        <v>2053</v>
      </c>
      <c r="B95" s="45">
        <f>IF(OR(B86&lt;&gt;4,B9=2),0,1)</f>
        <v>0</v>
      </c>
      <c r="D95" s="19" t="s">
        <v>2182</v>
      </c>
      <c r="E95" s="14">
        <f>(E92-E93*2)/(E94-1)</f>
        <v>6.89</v>
      </c>
      <c r="G95" s="85" t="s">
        <v>769</v>
      </c>
      <c r="H95" s="14">
        <f>IF(B20="TYPEA",N65,K94)</f>
        <v>0.5</v>
      </c>
      <c r="J95" s="19" t="s">
        <v>1321</v>
      </c>
      <c r="K95" s="14">
        <f>VLOOKUP(K82,Isolator_SupAng_Table,MATCH(SUPANG_FTR,Isolator_SupAng_Column_Names,0),FALSE)</f>
        <v>0.5</v>
      </c>
      <c r="P95" s="19" t="s">
        <v>1192</v>
      </c>
      <c r="Q95" s="14">
        <f>B16-K15+Q94</f>
        <v>4.9060100000000002</v>
      </c>
    </row>
    <row r="96" spans="1:18" ht="12" customHeight="1" x14ac:dyDescent="0.2">
      <c r="A96" s="85" t="s">
        <v>687</v>
      </c>
      <c r="B96" s="45">
        <f>IF(OR(B86&lt;&gt;4,B9=1),0,1)</f>
        <v>0</v>
      </c>
      <c r="D96" s="19" t="s">
        <v>943</v>
      </c>
      <c r="E96" s="14" t="str">
        <f>'Hole Sizes'!E17</f>
        <v>0.152</v>
      </c>
      <c r="G96" s="85" t="s">
        <v>1033</v>
      </c>
      <c r="H96" s="14">
        <f>VLOOKUP(N14,Hardware_Table,MATCH(HDWR_BOD,Hardware_Column_Names,0),FALSE)</f>
        <v>0.86599999999999999</v>
      </c>
      <c r="J96" s="19" t="s">
        <v>1322</v>
      </c>
      <c r="K96" s="14">
        <f>VLOOKUP(K82,Isolator_SupAng_Table,MATCH(SUPANG_HS,Isolator_SupAng_Column_Names,0),FALSE)</f>
        <v>2</v>
      </c>
      <c r="P96" s="19" t="s">
        <v>672</v>
      </c>
      <c r="Q96" s="14">
        <f>IF(OR(B27=6,B27=8),Q97+K28-Q5+K45/2,Q97+K29-Q5+K45/2)</f>
        <v>6.66</v>
      </c>
    </row>
    <row r="97" spans="1:18" ht="12" customHeight="1" x14ac:dyDescent="0.2">
      <c r="A97" s="85" t="s">
        <v>1932</v>
      </c>
      <c r="B97" s="45">
        <f>IF(OR(B86&lt;&gt;4,B8=2),0,1)</f>
        <v>0</v>
      </c>
      <c r="D97" s="19" t="s">
        <v>944</v>
      </c>
      <c r="E97" s="14" t="str">
        <f>'Hole Sizes'!B7</f>
        <v>0.218</v>
      </c>
      <c r="G97" s="85" t="s">
        <v>2015</v>
      </c>
      <c r="H97" s="14">
        <f>H99</f>
        <v>106.24519999999998</v>
      </c>
      <c r="J97" s="19" t="s">
        <v>1887</v>
      </c>
      <c r="K97" s="14">
        <f>VLOOKUP(K82,Isolator_SupAng_Table,MATCH(SUPANG_HL,Isolator_SupAng_Column_Names,0),FALSE)</f>
        <v>1.25</v>
      </c>
      <c r="M97" s="192"/>
      <c r="P97" s="19" t="s">
        <v>369</v>
      </c>
      <c r="Q97" s="14">
        <f>IF(Q89=0,6,IF(AND(B20&lt;&gt;"TYPEC",B9&lt;&gt;1,OR(B27=6,B27=8)),K14,IF(AND(B20&lt;&gt;"TYPEC",B9&lt;&gt;1),K14-K29*2,IF(AND(B8=1,B9=1,OR(B27=6,B27=8)),K39*2-K49-K32,IF(AND(B8=1,OR(B27=6,B27=8)),K14-Q112-K46,IF(AND(B8=2,OR(B27=6,B27=8)),K14-(B59-K32)-K37-K50,IF(AND(B8=1,B9=1),K39*2-K49+K32-K29,IF(B8=1,K14-(Q112+K29)-K29-K46,IF(B8=2,K14-(B59+K32)-K37-K50-K29)))))))))</f>
        <v>6</v>
      </c>
      <c r="R97" s="103"/>
    </row>
    <row r="98" spans="1:18" ht="12" customHeight="1" x14ac:dyDescent="0.2">
      <c r="A98" s="85" t="s">
        <v>415</v>
      </c>
      <c r="B98" s="45">
        <f>IF(OR(B86&lt;&gt;4,B8=1),0,1)</f>
        <v>0</v>
      </c>
      <c r="D98" s="19" t="s">
        <v>1654</v>
      </c>
      <c r="E98" s="413">
        <f>IF(TopDischTransThkO&lt;&gt;"-",TopDischTransThkO,VLOOKUP(CONCATENATE(E99,MaterialStyle),'Material List'!$A$8:$S$501,8,FALSE))</f>
        <v>5.6009999999999997E-2</v>
      </c>
      <c r="G98" s="85" t="s">
        <v>1752</v>
      </c>
      <c r="H98" s="14">
        <f>H102</f>
        <v>68.5</v>
      </c>
      <c r="J98" s="19" t="s">
        <v>2125</v>
      </c>
      <c r="K98" s="14">
        <f>VLOOKUP(K82,Isolator_SupAng_Table,MATCH(SUPANG_HD1,Isolator_SupAng_Column_Names,0),FALSE)</f>
        <v>0.625</v>
      </c>
      <c r="P98" s="19" t="s">
        <v>94</v>
      </c>
      <c r="Q98" s="14">
        <f>Q97-$Q$92*2</f>
        <v>5.75</v>
      </c>
      <c r="R98" s="243"/>
    </row>
    <row r="99" spans="1:18" ht="12" customHeight="1" x14ac:dyDescent="0.2">
      <c r="A99" s="85" t="s">
        <v>411</v>
      </c>
      <c r="B99" s="45">
        <f>IF(OR(B86=4,B8=2),0,1)</f>
        <v>1</v>
      </c>
      <c r="D99" s="19" t="s">
        <v>407</v>
      </c>
      <c r="E99" s="45">
        <f>IF(TopDischTransThkO&lt;&gt;"-","NA",16)</f>
        <v>16</v>
      </c>
      <c r="G99" s="85" t="s">
        <v>1753</v>
      </c>
      <c r="H99" s="14">
        <f>IF(B20="TYPEA",H103+(N63-N13)+N18+(N63-N13),IF(OR(B27=6,B27=8),B17+K10+(K14/2)+K29+(K92-K97),B17+K10+(K14/2)+(K92-K97)))</f>
        <v>106.24519999999998</v>
      </c>
      <c r="J99" s="19" t="s">
        <v>492</v>
      </c>
      <c r="K99" s="14">
        <f>VLOOKUP(K82,Isolator_SupAng_Table,MATCH(SUPANG_HD2,Isolator_SupAng_Column_Names,0),FALSE)</f>
        <v>0.875</v>
      </c>
      <c r="P99" s="19" t="s">
        <v>2139</v>
      </c>
      <c r="Q99" s="14">
        <f>IF(Q89=0,12,IF(AND(B8=1,B9=1,OR(B27=6,B27=8)),K25-K17*2-B11*2-B32-K60,IF(OR(B27=6,B27=8),K42,K25)))</f>
        <v>12</v>
      </c>
    </row>
    <row r="100" spans="1:18" ht="12" customHeight="1" x14ac:dyDescent="0.2">
      <c r="A100" s="85" t="s">
        <v>1086</v>
      </c>
      <c r="B100" s="45">
        <f>IF(OR(B86=4,B8=1),0,1)</f>
        <v>0</v>
      </c>
      <c r="G100" s="85" t="s">
        <v>1329</v>
      </c>
      <c r="H100" s="14">
        <f>H104</f>
        <v>24.889999999999993</v>
      </c>
      <c r="J100" s="69" t="s">
        <v>628</v>
      </c>
      <c r="K100" s="66">
        <f>VLOOKUP(K82,Isolator_SupAng_Table,MATCH(SUPANG_LB,Isolator_SupAng_Column_Names,0),FALSE)</f>
        <v>10.799999999999999</v>
      </c>
      <c r="P100" s="19" t="s">
        <v>508</v>
      </c>
      <c r="Q100" s="14">
        <f>Q99-$Q$92*2</f>
        <v>11.75</v>
      </c>
    </row>
    <row r="101" spans="1:18" ht="12" customHeight="1" x14ac:dyDescent="0.2">
      <c r="A101" s="85" t="s">
        <v>1808</v>
      </c>
      <c r="B101" s="14">
        <f>IF(OR(B103=1,B104=1),IF(OR(B97=1,B99=1),4,-12),IF(OR(B27=6,B27=8),IF(OR(B97=1,B99=1),4.4,-12.4),IF(OR(B97=1,B99=1),3.6,-11.6)))</f>
        <v>4</v>
      </c>
      <c r="D101" s="136"/>
      <c r="G101" s="85" t="s">
        <v>1330</v>
      </c>
      <c r="H101" s="14">
        <f>H103</f>
        <v>19.214599999999997</v>
      </c>
      <c r="J101" s="19" t="s">
        <v>1186</v>
      </c>
      <c r="K101" s="14">
        <f>IF(OR(K15=6,K15=8),1,IF(K15=10,3,IF(K15=12, 5,FALSE)))</f>
        <v>1</v>
      </c>
      <c r="P101" s="19" t="s">
        <v>1613</v>
      </c>
      <c r="Q101" s="14">
        <f>IF(OR(B27=6,B27=8),(Q97-((Q103-1)*Q104))/2,((Q97-((Q103-1)*Q104))/2)+K28)</f>
        <v>4.92</v>
      </c>
    </row>
    <row r="102" spans="1:18" ht="12" customHeight="1" x14ac:dyDescent="0.2">
      <c r="A102" s="85" t="s">
        <v>1395</v>
      </c>
      <c r="B102" s="14">
        <f>IF(OR(B103=1,B104=1),IF(OR(B97=1,B99=1),12,-4),IF(OR(B27=6,B27=8),IF(OR(B97=1,B99=1),12.4,-4.4),IF(OR(B97=1,B99=1),11.6,-3.6)))</f>
        <v>12</v>
      </c>
      <c r="D102" s="136"/>
      <c r="G102" s="85" t="s">
        <v>1034</v>
      </c>
      <c r="H102" s="14">
        <f>IF(B20="TYPEA",H104+N62-N11*2-N12*2,IF(OR(B27=6,B27=8),H104+K25-K93,H104+K25+(K106*2)-K93))</f>
        <v>68.5</v>
      </c>
      <c r="J102" s="19" t="s">
        <v>1756</v>
      </c>
      <c r="K102" s="14">
        <f>IF(K83=1,K101+('Iso Sup Angle'!F5-'Iso Sup Angle'!F4),IF(OR(K83=2,K83=3),K101,IF(AND(K83=5,OR(B27=6,B27=8)),K101-0.5,K101-(H44-H42))))</f>
        <v>1</v>
      </c>
      <c r="P102" s="19" t="s">
        <v>777</v>
      </c>
      <c r="Q102" s="14">
        <f>IF(AND(B27=6,B8=1),K40-(K42-Q99)/2,IF(AND(B27=8,B8=1),K40+(K42-Q99)/2,K40))</f>
        <v>46.695</v>
      </c>
    </row>
    <row r="103" spans="1:18" ht="12" customHeight="1" x14ac:dyDescent="0.2">
      <c r="A103" s="85" t="s">
        <v>824</v>
      </c>
      <c r="B103" s="14">
        <f>IF(B86=4,0,IF(B9=1,1,IF(AND(B9=2,K35=1,B8=2),1,0)))</f>
        <v>1</v>
      </c>
      <c r="G103" s="85" t="s">
        <v>896</v>
      </c>
      <c r="H103" s="14">
        <f>IF(AND(B20="TYPEA",B9=1,B8=1),B17-B33/2-N63+N13,IF(AND(B20="TYPEA",B9=1,B8=2),B17+B33/2-N18-N63+N13,IF(AND(B20="TYPEA",B9=2),B17-B33/2-N63+N13,IF(OR(B27=6,B27=8),B17+K10-(K14/2)-K29-(K92-K97),B17+K10-(K14/2)-(K92-K97)))))</f>
        <v>19.214599999999997</v>
      </c>
      <c r="J103" s="19" t="s">
        <v>1609</v>
      </c>
      <c r="K103" s="14">
        <f>IF(K85=1,K101+('Iso Sup Angle'!F5-'Iso Sup Angle'!F4),IF(OR(K85=2,K85=3),K101,IF(AND(K85=5,OR(B27=6,B27=8)),K101-0.5,K101-(H57-H42))))</f>
        <v>1</v>
      </c>
      <c r="P103" s="19" t="s">
        <v>95</v>
      </c>
      <c r="Q103" s="14">
        <f>IF(ROUND(Q97/Q104,0)&lt;1,1,ROUND(Q97/Q104,0))</f>
        <v>1</v>
      </c>
    </row>
    <row r="104" spans="1:18" ht="12" customHeight="1" x14ac:dyDescent="0.2">
      <c r="A104" s="85" t="s">
        <v>419</v>
      </c>
      <c r="B104" s="14">
        <f>IF(B86=4,0,IF(B9=1,1,IF(AND(B9=2,K35=1,B8=1),1,0)))</f>
        <v>1</v>
      </c>
      <c r="G104" s="85" t="s">
        <v>633</v>
      </c>
      <c r="H104" s="14">
        <f>IF(AND(B20="TYPEA",OR(B27=1,B27=2)),B13-N8+N11+N12,IF(AND(B20="TYPEA",OR(B27=3,B27=4)),B7-B13+N8-N62+N11+N12,IF(AND(B20="TYPEA",B27=6),B7-B14+N8-N62+N11+N12,IF(AND(B20="TYPEA",B27=5),B7-B14+N8-N62+N11+N12,IF(AND(B20="TYPEA",B27=8),B14-N8+N11+N12,IF(AND(B20="TYPEA",B27=7),B14-N8+N11+N12,K11+K21-K106+K93/2))))))</f>
        <v>24.889999999999993</v>
      </c>
      <c r="J104" s="19" t="s">
        <v>1466</v>
      </c>
      <c r="K104" s="14">
        <f>IF(K87=1,K101+('Iso Sup Angle'!F5-'Iso Sup Angle'!F4),IF(OR(K87=2,K87=3),K101,IF(AND(K87=5,OR(B27=6,B27=8)),K101-0.5,K101-(H70-H42))))</f>
        <v>1</v>
      </c>
      <c r="P104" s="19" t="s">
        <v>1469</v>
      </c>
      <c r="Q104" s="14">
        <f>IF(ROUND(Q97/Q93,0)&gt;1,Q93,6)</f>
        <v>6</v>
      </c>
    </row>
    <row r="105" spans="1:18" ht="12" customHeight="1" x14ac:dyDescent="0.2">
      <c r="A105" s="85" t="s">
        <v>1398</v>
      </c>
      <c r="B105" s="14">
        <f>IF(B86=4,0,IF(AND(B9=2,K35=1,B26="LIA",B8=2,K52=1),1,0))</f>
        <v>0</v>
      </c>
      <c r="J105" s="19" t="s">
        <v>1183</v>
      </c>
      <c r="K105" s="14">
        <f>IF(K89=1,K101+('Iso Sup Angle'!F5-'Iso Sup Angle'!F4),IF(OR(K89=2,K89=3),K101,IF(AND(K89=5,OR(B27=6,B27=8)),K101-0.5,K101-(H83-H42))))</f>
        <v>1</v>
      </c>
      <c r="M105" s="192"/>
      <c r="P105" s="19" t="s">
        <v>1760</v>
      </c>
      <c r="Q105" s="14">
        <f>IF(OR(B27=6,B27=8),Q97/2,Q97/2+K29)</f>
        <v>3.2</v>
      </c>
      <c r="R105" s="103"/>
    </row>
    <row r="106" spans="1:18" ht="12" customHeight="1" x14ac:dyDescent="0.2">
      <c r="A106" s="85" t="s">
        <v>548</v>
      </c>
      <c r="B106" s="14">
        <f>IF(B86=4,0,IF(AND(B9=2,K35=1,B26="LIA",B8=1,K52=1),1,0))</f>
        <v>0</v>
      </c>
      <c r="J106" s="19" t="s">
        <v>228</v>
      </c>
      <c r="K106" s="14">
        <f>K17</f>
        <v>1.92</v>
      </c>
      <c r="M106" s="192"/>
      <c r="P106" s="19" t="s">
        <v>1042</v>
      </c>
      <c r="Q106" s="14">
        <f>IF(AND(B27=6,B8=1),K40-(Q108*(Q107-1))/2-(K42-Q99)/2,IF(AND(B27=8,B8=1),K40-(Q108*(Q107-1))/2+(K42-Q99)/2,K40-(Q108*(Q107-1))/2))</f>
        <v>43.695</v>
      </c>
      <c r="R106" s="103"/>
    </row>
    <row r="107" spans="1:18" ht="12" customHeight="1" x14ac:dyDescent="0.2">
      <c r="A107" s="85" t="s">
        <v>951</v>
      </c>
      <c r="B107" s="14">
        <f>IF(B86=4,0,IF(AND(B9=2,K35=1,B26="FIA",B8=2,K52=1),1,0))</f>
        <v>0</v>
      </c>
      <c r="P107" s="19" t="s">
        <v>372</v>
      </c>
      <c r="Q107" s="14">
        <f>IF(ROUND(Q99/Q108,0)&lt;1,1,ROUND(Q99/Q108,0))</f>
        <v>2</v>
      </c>
    </row>
    <row r="108" spans="1:18" ht="12" customHeight="1" x14ac:dyDescent="0.2">
      <c r="A108" s="85" t="s">
        <v>139</v>
      </c>
      <c r="B108" s="14">
        <f>IF(B86=4,0,IF(AND(B9=2,K35=1,B26="FIA",B8=1,K52=1),1,0))</f>
        <v>0</v>
      </c>
      <c r="M108" s="480"/>
      <c r="P108" s="19" t="s">
        <v>1189</v>
      </c>
      <c r="Q108" s="14">
        <f>IF(ROUND(Q99/Q93,0)&gt;1,Q93,6)</f>
        <v>6</v>
      </c>
    </row>
    <row r="109" spans="1:18" ht="12" customHeight="1" x14ac:dyDescent="0.2">
      <c r="A109" s="85" t="s">
        <v>948</v>
      </c>
      <c r="B109" s="14">
        <f>IF(AND(B9=2,OR(B27=6,B27=8)),1,0)</f>
        <v>0</v>
      </c>
      <c r="G109" s="29"/>
      <c r="M109" s="136"/>
      <c r="P109" s="69" t="s">
        <v>1767</v>
      </c>
      <c r="Q109" s="66">
        <f>IF(Q89=0,0,((Q98*Q103)+(Q100*Q107-1))*(VLOOKUP(Q87,Steel_List_Table,MATCH(STL_LBFT,Steel_List_Column_Names,0),FALSE)/12))</f>
        <v>0</v>
      </c>
    </row>
    <row r="110" spans="1:18" ht="12" customHeight="1" x14ac:dyDescent="0.2">
      <c r="A110" s="85" t="s">
        <v>1239</v>
      </c>
      <c r="B110" s="14">
        <f>IF(B82=2,-10,10)</f>
        <v>-10</v>
      </c>
      <c r="D110" s="80"/>
      <c r="G110" s="29"/>
      <c r="M110" s="72"/>
      <c r="P110" s="69" t="s">
        <v>642</v>
      </c>
      <c r="Q110" s="66">
        <f>IF(Q89=0,0,((Q97*Q99*(K15-1))/1728)*150)</f>
        <v>0</v>
      </c>
    </row>
    <row r="111" spans="1:18" ht="12" customHeight="1" x14ac:dyDescent="0.2">
      <c r="A111" s="85" t="s">
        <v>820</v>
      </c>
      <c r="B111" s="14">
        <f>IF(B27=6,1,-1)</f>
        <v>-1</v>
      </c>
      <c r="C111" s="103"/>
      <c r="D111" s="103"/>
      <c r="G111" s="29"/>
      <c r="M111" s="29"/>
      <c r="P111" s="19" t="s">
        <v>1501</v>
      </c>
      <c r="Q111" s="14">
        <f>IF(AND(B9=2,K35=1,OR(B27=6,B27=8)),Q112+K45/2+K28-Q5,IF(AND(B9=2,K35=1),Q112+K45/2+K29-Q5,Q112+K46*2-K45))</f>
        <v>4.4800000000000004</v>
      </c>
    </row>
    <row r="112" spans="1:18" ht="12" customHeight="1" x14ac:dyDescent="0.2">
      <c r="A112" s="85" t="s">
        <v>1511</v>
      </c>
      <c r="B112" s="14">
        <f>IF(B9=2,0,IF(AND(B86=4,B9=1,B8=1),((B85/2-6)/2-(B101-1.5)/2)*-1,IF(AND(B86=4,B9=1,B8=2),(B85/2-6)/2+(B102+1.5)/2,IF(AND(B8=1,OR(B27=6,B27=8)),((B85/2+B101)/2-(B101))*-1,IF(AND(B8=2,OR(B27=6,B27=8)),(B85/2-B102)/2+(B102),IF(B8=1,((B85/2+B101)/2-(B101)-1)*-1,(B85/2-B102)/2+(B102)-1))))))</f>
        <v>-9.5</v>
      </c>
      <c r="C112" s="103"/>
      <c r="M112" s="136"/>
      <c r="P112" s="19" t="s">
        <v>2140</v>
      </c>
      <c r="Q112" s="14">
        <f>IF(Q90=0,6,IF(AND(B9=1,OR(B27=6,B27=8)),K14-MAX(Q97,Q127)-MIN(Q97,Q127)-K29-K46,IF(B9=1,K14-K29*2-MAX(Q97,Q127)-MIN(Q97,Q127)-K46*2,IF(AND(B8=1,OR(B27=6,B27=8)),K14-(B59-K32)-K37-K50,IF(AND(B8=2,OR(B27=6,B27=8)),K14-Q97-K46,IF(B8=1,K14-(B59+K32)-K37-K50-K29,K14-(Q97+K29)-K29-K46))))))</f>
        <v>6</v>
      </c>
      <c r="R112" s="103"/>
    </row>
    <row r="113" spans="1:18" ht="12" customHeight="1" x14ac:dyDescent="0.2">
      <c r="A113" s="85" t="s">
        <v>1392</v>
      </c>
      <c r="B113" s="14">
        <f>IF(AND(B86=4,B9=2),B85-12,IF(AND(B86=4,B9=1,B8=1),B85/2-6+B101-1.5,IF(AND(B86=4,B9=1,B8=2),B85/2-6-B102-1.512,IF(AND(B86&lt;&gt;4,B9=2,OR(B27=6,B27=8)),B85,IF(AND(B86&lt;&gt;4,B9=1,B8=1,OR(B27=6,B27=8)),B85/2+B101,IF(AND(B86&lt;&gt;4,B9=1,B8=2,OR(B27=6,B27=8)),B85/2-B102,IF(AND(B86&lt;&gt;4,B9=2),B85-4,IF(AND(B86&lt;&gt;4,B9=1,B8=1),B85/2+B101-B83,IF(AND(B86&lt;&gt;4,B9=1,B8=2),B85/2-B102-B83)))))))))-0.001*2</f>
        <v>28.748000000000001</v>
      </c>
      <c r="C113" s="103"/>
      <c r="G113" s="29"/>
      <c r="M113" s="72"/>
      <c r="P113" s="19" t="s">
        <v>237</v>
      </c>
      <c r="Q113" s="14">
        <f>Q112-$Q$92*2</f>
        <v>5.75</v>
      </c>
      <c r="R113" s="243"/>
    </row>
    <row r="114" spans="1:18" ht="12" customHeight="1" x14ac:dyDescent="0.2">
      <c r="A114" s="85" t="s">
        <v>134</v>
      </c>
      <c r="B114" s="45">
        <f>IF(AND(B86=4,B27=8),1,IF(AND(B86=4,B27=6),2,0))</f>
        <v>0</v>
      </c>
      <c r="D114" s="103"/>
      <c r="M114" s="72"/>
      <c r="P114" s="19" t="s">
        <v>1898</v>
      </c>
      <c r="Q114" s="14">
        <f>K42</f>
        <v>47.77000000000001</v>
      </c>
      <c r="R114" s="216"/>
    </row>
    <row r="115" spans="1:18" ht="12" customHeight="1" x14ac:dyDescent="0.2">
      <c r="A115" s="85" t="s">
        <v>1240</v>
      </c>
      <c r="B115" s="45">
        <f>IF(OR(B86&lt;&gt;4,B9=1),0,IF(B82=1,1,2))</f>
        <v>0</v>
      </c>
      <c r="D115" s="103"/>
      <c r="J115" s="80"/>
      <c r="M115" s="136"/>
      <c r="P115" s="19" t="s">
        <v>639</v>
      </c>
      <c r="Q115" s="14">
        <f>Q114-$Q$92*2</f>
        <v>47.52000000000001</v>
      </c>
      <c r="R115" s="103"/>
    </row>
    <row r="116" spans="1:18" ht="12" customHeight="1" x14ac:dyDescent="0.2">
      <c r="A116" s="85" t="s">
        <v>291</v>
      </c>
      <c r="B116" s="45">
        <f>IF(B86=4,0,IF(AND(B82=1,OR(B27=6,B27=8)),1,IF(AND(B82=2,OR(B27=6,B27=8)),2,0)))</f>
        <v>0</v>
      </c>
      <c r="D116" s="103"/>
      <c r="M116" s="72"/>
      <c r="P116" s="19" t="s">
        <v>1899</v>
      </c>
      <c r="Q116" s="14">
        <f>IF(OR(B27=6,B27=8),Q97+K46+(Q112-((Q118-1)*Q119))/2,Q97+K29+K46+(Q112-((Q118-1)*Q119))/2)</f>
        <v>9.4</v>
      </c>
      <c r="R116" s="103"/>
    </row>
    <row r="117" spans="1:18" ht="12" customHeight="1" x14ac:dyDescent="0.2">
      <c r="A117" s="85" t="s">
        <v>1241</v>
      </c>
      <c r="B117" s="14">
        <f>IF(OR(B27=6,B27=8),B84/2+2,B84/2+2+0.001)</f>
        <v>21.251000000000001</v>
      </c>
      <c r="D117" s="103"/>
      <c r="M117" s="136"/>
      <c r="P117" s="19" t="s">
        <v>1190</v>
      </c>
      <c r="Q117" s="14">
        <f>IF(AND(B8=1,B9=1),K40,Q102)</f>
        <v>46.695</v>
      </c>
      <c r="R117" s="103"/>
    </row>
    <row r="118" spans="1:18" ht="12" customHeight="1" x14ac:dyDescent="0.2">
      <c r="A118" s="85" t="s">
        <v>1519</v>
      </c>
      <c r="B118" s="14">
        <f>IF(OR(B27=6,B27=8),B85/2+B83+0.002,B85/2+0.001)</f>
        <v>25.001000000000001</v>
      </c>
      <c r="D118" s="103"/>
      <c r="J118" s="103"/>
      <c r="M118" s="72"/>
      <c r="P118" s="19" t="s">
        <v>902</v>
      </c>
      <c r="Q118" s="14">
        <f>IF(ROUND(Q112/Q119,0)&lt;1,1,ROUND(Q112/Q119,0))</f>
        <v>1</v>
      </c>
    </row>
    <row r="119" spans="1:18" ht="12" customHeight="1" x14ac:dyDescent="0.2">
      <c r="A119" s="85" t="s">
        <v>288</v>
      </c>
      <c r="B119" s="14">
        <f>IF(AND(B9=2,FANSIZE&lt;=365,OR(B27=6,B27=8)),B85+5,IF(AND(B9=2,FANSIZE&lt;=365),B85+1,IF(AND(B8=1,OR(B27=6,B27=8)),B85/2+2-B102+4,IF(AND(B8=2,OR(B27=6,B27=8)),B85/2+2+B101+4,IF(B8=1,B85/2-B102+4,IF(B8=2,B85/2+B101+4))))))</f>
        <v>17</v>
      </c>
      <c r="D119" s="103"/>
      <c r="M119" s="136"/>
      <c r="P119" s="19" t="s">
        <v>1043</v>
      </c>
      <c r="Q119" s="14">
        <f>IF(ROUND(Q112/Q93,0)&gt;1,Q93,6)</f>
        <v>6</v>
      </c>
    </row>
    <row r="120" spans="1:18" ht="12" customHeight="1" x14ac:dyDescent="0.2">
      <c r="A120" s="85" t="s">
        <v>546</v>
      </c>
      <c r="B120" s="14">
        <v>12</v>
      </c>
      <c r="D120" s="103"/>
      <c r="M120" s="72"/>
      <c r="P120" s="19" t="s">
        <v>2141</v>
      </c>
      <c r="Q120" s="14">
        <f>IF(OR(B27=6,B27=8),Q97+K29+Q112/2,Q97+K29*2+Q112/2)</f>
        <v>9.4</v>
      </c>
    </row>
    <row r="121" spans="1:18" ht="12" customHeight="1" x14ac:dyDescent="0.2">
      <c r="A121" s="85" t="s">
        <v>688</v>
      </c>
      <c r="B121" s="14">
        <f>IF(AND(B9=2,FANSIZE&lt;=365),0,IF(AND(B8=1,OR(B27=6,B27=8)),B85/2+2.5-B119/2,IF(AND(B8=2,OR(B27=6,B27=8)),(B85/2+2.5-B119/2)*-1,IF(B8=1,B85/2+0.5-B119/2,(B85/2+0.5-B119/2)*-1))))</f>
        <v>17</v>
      </c>
      <c r="D121" s="103"/>
      <c r="M121" s="72"/>
      <c r="P121" s="19" t="s">
        <v>1470</v>
      </c>
      <c r="Q121" s="14">
        <f>IF(AND(B8=1,B9=1),K40-(Q123*(Q122-1))/2,Q106)</f>
        <v>28.695</v>
      </c>
    </row>
    <row r="122" spans="1:18" ht="12" customHeight="1" x14ac:dyDescent="0.2">
      <c r="A122" s="85" t="s">
        <v>416</v>
      </c>
      <c r="B122" s="14">
        <f>IF(B82=1,B84/2-B120/2-2,(B84/2-B120/2-2)*-1)</f>
        <v>-11.25</v>
      </c>
      <c r="D122" s="103"/>
      <c r="M122" s="72"/>
      <c r="P122" s="19" t="s">
        <v>1191</v>
      </c>
      <c r="Q122" s="14">
        <f>IF(ROUND(Q114/Q123,0)&lt;1,1,ROUND(Q114/Q123,0))</f>
        <v>5</v>
      </c>
    </row>
    <row r="123" spans="1:18" ht="12" customHeight="1" x14ac:dyDescent="0.2">
      <c r="A123" s="85" t="s">
        <v>1512</v>
      </c>
      <c r="B123" s="14">
        <f>VLOOKUP(B38,Hardware_Table,MATCH(HDWR_NHD,Hardware_Column_Names,0),FALSE)</f>
        <v>0.5</v>
      </c>
      <c r="D123" s="103"/>
      <c r="M123" s="72"/>
      <c r="P123" s="19" t="s">
        <v>640</v>
      </c>
      <c r="Q123" s="14">
        <f>IF(ROUND(Q114/Q93,0)&gt;1,Q93,6)</f>
        <v>9</v>
      </c>
    </row>
    <row r="124" spans="1:18" ht="12" customHeight="1" x14ac:dyDescent="0.2">
      <c r="A124" s="85" t="s">
        <v>290</v>
      </c>
      <c r="B124" s="14">
        <f>IF(B9=2,B84/2.75,IF(OR(B27=5,B27=6,B27=7,B27=8),B84-12,B84/2.5))</f>
        <v>15.4</v>
      </c>
      <c r="C124" s="103"/>
      <c r="M124" s="72"/>
      <c r="P124" s="69" t="s">
        <v>1617</v>
      </c>
      <c r="Q124" s="66">
        <f>IF(Q90=0,0,((Q113*Q118)+(Q115*Q122-1))*(VLOOKUP(Q87,Steel_List_Table,MATCH(STL_LBFT,Steel_List_Column_Names,0),FALSE)/12))</f>
        <v>0</v>
      </c>
    </row>
    <row r="125" spans="1:18" ht="12" customHeight="1" x14ac:dyDescent="0.2">
      <c r="A125" s="85" t="s">
        <v>1394</v>
      </c>
      <c r="B125" s="14">
        <f>IF(AND(B9=2,B86=4),B85-9,IF(AND(B9=2,B86&lt;&gt;4,OR(B27=6,B27=8)),B85+2,IF(AND(B9=2,B86&lt;&gt;4),B85-2,IF(AND(B9=1,B86=4,B8=1),B85/2-6+(B101-1.5)+3,IF(AND(B9=1,B86=4,B8=2),B85/2-6-(B102+1.5)+3,IF(OR(B27=6,B27=8),B113+2,B113))))))</f>
        <v>28.748000000000001</v>
      </c>
      <c r="C125" s="103"/>
      <c r="E125" s="136"/>
      <c r="P125" s="69" t="s">
        <v>511</v>
      </c>
      <c r="Q125" s="66">
        <f>IF(Q90=0,0,((Q112*Q114*(K15-1))/1728)*150)</f>
        <v>0</v>
      </c>
    </row>
    <row r="126" spans="1:18" ht="12" customHeight="1" x14ac:dyDescent="0.2">
      <c r="A126" s="85" t="s">
        <v>412</v>
      </c>
      <c r="B126" s="14">
        <f>IF(B9=2,0,IF(AND(B86=4,B8=1),((B85/2-6-(B101-1.5))/2)*-1,IF(AND(B86=4,B8=2),((B85/2-6+(B102+1.5))/2),B112)))</f>
        <v>-9.5</v>
      </c>
      <c r="C126" s="103"/>
      <c r="P126" s="19" t="s">
        <v>120</v>
      </c>
      <c r="Q126" s="14">
        <f>IF(OR(B27=6,B27=8),Q127+K45/2+K28-Q5,Q127+K45/2+K29-Q5)</f>
        <v>6.66</v>
      </c>
    </row>
    <row r="127" spans="1:18" ht="12" customHeight="1" x14ac:dyDescent="0.2">
      <c r="A127" s="85" t="s">
        <v>2187</v>
      </c>
      <c r="B127" s="14">
        <f>IF(B82=2,B84/2-(B124/2)-5,(B84/2-(B124/2)-8)*-1)</f>
        <v>6.5500000000000007</v>
      </c>
      <c r="D127" s="80"/>
      <c r="P127" s="19" t="s">
        <v>1758</v>
      </c>
      <c r="Q127" s="14">
        <f>IF(Q91=0,6,IF(AND(B8=1,OR(B27=6,B27=8)),K14-(B59-K32)-K37-K50,IF(AND(B8=2,OR(B27=6,B27=8)),K39*2-K49-K32,IF(B8=1,K14-(B59+K32)-K37-K50-K29,IF(B8=2,K39*2-K49+K32-K29)))))</f>
        <v>6</v>
      </c>
      <c r="R127" s="103"/>
    </row>
    <row r="128" spans="1:18" ht="12" customHeight="1" x14ac:dyDescent="0.2">
      <c r="A128" s="85" t="s">
        <v>952</v>
      </c>
      <c r="B128" s="45">
        <f>IF(OR(B86=4,B8=1,B9=1,OR(B27=6,B27=8)),0,1)</f>
        <v>0</v>
      </c>
      <c r="D128" s="80"/>
      <c r="P128" s="19" t="s">
        <v>371</v>
      </c>
      <c r="Q128" s="14">
        <f>Q127-$Q$92*2</f>
        <v>5.75</v>
      </c>
    </row>
    <row r="129" spans="1:18" ht="12" customHeight="1" x14ac:dyDescent="0.2">
      <c r="A129" s="85" t="s">
        <v>689</v>
      </c>
      <c r="B129" s="45">
        <f>IF(OR(B86=4,B8=1,B9=2,OR(B27=6,B27=8)),0,1)</f>
        <v>0</v>
      </c>
      <c r="D129" s="80"/>
      <c r="P129" s="19" t="s">
        <v>1467</v>
      </c>
      <c r="Q129" s="14">
        <f>IF(OR(B8=1,B27=1,B27=2,B27=3,B27=4,B27=5,B27=7),Q114,K25-K17*2-B11*2-B32-K60)</f>
        <v>47.77000000000001</v>
      </c>
      <c r="R129" s="103"/>
    </row>
    <row r="130" spans="1:18" ht="12" customHeight="1" x14ac:dyDescent="0.2">
      <c r="A130" s="85" t="s">
        <v>953</v>
      </c>
      <c r="B130" s="45">
        <f>IF(OR(B86=4,B8=2,B9=1,OR(B27=6,B27=8)),0,1)</f>
        <v>0</v>
      </c>
      <c r="D130" s="80"/>
      <c r="P130" s="19" t="s">
        <v>776</v>
      </c>
      <c r="Q130" s="14">
        <f>Q129-$Q$92*2</f>
        <v>47.52000000000001</v>
      </c>
    </row>
    <row r="131" spans="1:18" ht="12" customHeight="1" x14ac:dyDescent="0.2">
      <c r="A131" s="85" t="s">
        <v>549</v>
      </c>
      <c r="B131" s="45">
        <f>IF(OR(B86=4,B8=2,B9=2,OR(B27=6,B27=8)),0,1)</f>
        <v>1</v>
      </c>
      <c r="D131" s="80"/>
      <c r="P131" s="19" t="s">
        <v>96</v>
      </c>
      <c r="Q131" s="14">
        <f>IF(OR(B27=6,B27=8),Q97+Q112+K46*2+(Q127-((Q133-1)*Q134))/2,Q97+Q112+K29+K46*2+(Q127-((Q133-1)*Q134))/2)</f>
        <v>15.6</v>
      </c>
    </row>
    <row r="132" spans="1:18" ht="12" customHeight="1" x14ac:dyDescent="0.2">
      <c r="A132" s="85" t="s">
        <v>1399</v>
      </c>
      <c r="B132" s="45">
        <f>IF(OR(B86=4,B8=1,B9=1,B128=1),0,1)</f>
        <v>0</v>
      </c>
      <c r="D132" s="80"/>
      <c r="P132" s="19" t="s">
        <v>1614</v>
      </c>
      <c r="Q132" s="14">
        <f>IF(AND(B8=2,B9=1,B27=8),K40+(K42-Q129)/2,IF(B8=1,Q117,K40-(K42-Q129)/2))</f>
        <v>46.695</v>
      </c>
    </row>
    <row r="133" spans="1:18" ht="12" customHeight="1" x14ac:dyDescent="0.2">
      <c r="A133" s="85" t="s">
        <v>954</v>
      </c>
      <c r="B133" s="45">
        <f>IF(OR(B86=4,B8=1,B9=2,B129=1),0,1)</f>
        <v>0</v>
      </c>
      <c r="D133" s="80"/>
      <c r="P133" s="19" t="s">
        <v>1761</v>
      </c>
      <c r="Q133" s="14">
        <f>IF(ROUND(Q127/Q134,0)&lt;1,1,ROUND(Q127/Q134,0))</f>
        <v>1</v>
      </c>
    </row>
    <row r="134" spans="1:18" ht="12" customHeight="1" x14ac:dyDescent="0.2">
      <c r="A134" s="85" t="s">
        <v>825</v>
      </c>
      <c r="B134" s="45">
        <f>IF(OR(B86=4,B8=2,B9=1,B130=1),0,1)</f>
        <v>0</v>
      </c>
      <c r="D134" s="80"/>
      <c r="P134" s="19" t="s">
        <v>509</v>
      </c>
      <c r="Q134" s="14">
        <f>IF(ROUND(Q127/Q93,0)&gt;1,Q93,6)</f>
        <v>6</v>
      </c>
    </row>
    <row r="135" spans="1:18" ht="12" customHeight="1" x14ac:dyDescent="0.2">
      <c r="A135" s="85" t="s">
        <v>550</v>
      </c>
      <c r="B135" s="45">
        <f>IF(OR(B86=4,B8=2,B9=2,B131=1),0,1)</f>
        <v>0</v>
      </c>
      <c r="D135" s="80"/>
      <c r="P135" s="19" t="s">
        <v>373</v>
      </c>
      <c r="Q135" s="14">
        <f>IF(OR(B27=6,B27=8),Q97+Q112+K29*2+Q127/2,Q97+Q112+K29*3+Q127/2)</f>
        <v>15.6</v>
      </c>
    </row>
    <row r="136" spans="1:18" ht="12" customHeight="1" x14ac:dyDescent="0.2">
      <c r="A136" s="85" t="s">
        <v>1513</v>
      </c>
      <c r="B136" s="14">
        <f>VLOOKUP(E41,Hardware_Table,MATCH(HDWR_NHD,Hardware_Column_Names,0),FALSE)</f>
        <v>0.75</v>
      </c>
      <c r="D136" s="103"/>
      <c r="P136" s="19" t="s">
        <v>1762</v>
      </c>
      <c r="Q136" s="14">
        <f>IF(AND(B8=2,B9=1,B27=8),K40+(Q138*(Q137-1))/2,IF(B8=1,Q121,Q106))</f>
        <v>28.695</v>
      </c>
    </row>
    <row r="137" spans="1:18" ht="12" customHeight="1" x14ac:dyDescent="0.2">
      <c r="A137" s="85" t="s">
        <v>1800</v>
      </c>
      <c r="B137" s="14">
        <f>IF(AND(B90=B89,B86=4),12,IF(B86=4,12-(MAX(B89,B90)-MIN(B89,B90)),B120))</f>
        <v>12</v>
      </c>
      <c r="C137" s="103"/>
      <c r="D137" s="80"/>
      <c r="P137" s="19" t="s">
        <v>2018</v>
      </c>
      <c r="Q137" s="14">
        <f>IF(ROUND(Q129/Q138,0)&lt;1,1,ROUND(Q129/Q138,0))</f>
        <v>5</v>
      </c>
    </row>
    <row r="138" spans="1:18" ht="12" customHeight="1" x14ac:dyDescent="0.2">
      <c r="A138" s="85" t="s">
        <v>683</v>
      </c>
      <c r="B138" s="14">
        <f>IF(AND(B86=4,B8=1),((B85-12)/2-B102)+1.25,IF(AND(B86=4,B8=2),((B85-12)/2+B101)+1.25,IF(AND(B9=2,FANSIZE&lt;=365),15,B119-2)))</f>
        <v>15</v>
      </c>
      <c r="C138" s="103"/>
      <c r="P138" s="19" t="s">
        <v>238</v>
      </c>
      <c r="Q138" s="14">
        <f>IF(ROUND(Q129/Q93,0)&gt;1,Q93,6)</f>
        <v>9</v>
      </c>
    </row>
    <row r="139" spans="1:18" ht="12" customHeight="1" x14ac:dyDescent="0.2">
      <c r="A139" s="85" t="s">
        <v>2047</v>
      </c>
      <c r="B139" s="14">
        <f>IF(AND(B86=4,B8=1),(B85-12)/2+1.25-(B138/2),IF(AND(B86=4,B8=2),((B85-12)/2+1.25-(B138/2))*-1,IF(AND(B9=2,FANSIZE&lt;=365,B8=1),B85/2-B138/2-0.5,IF(AND(B9=2,FANSIZE&lt;=365,B8=2),(B85/2-B138/2-0.5)*-1,B121))))</f>
        <v>17</v>
      </c>
      <c r="C139" s="103"/>
      <c r="D139" s="80"/>
      <c r="P139" s="69" t="s">
        <v>1475</v>
      </c>
      <c r="Q139" s="66">
        <f>IF(Q91=0,0,((Q128*Q133)+(Q130*Q137-1))*(VLOOKUP(Q87,Steel_List_Table,MATCH(STL_LBFT,Steel_List_Column_Names,0),FALSE)/12))</f>
        <v>0</v>
      </c>
    </row>
    <row r="140" spans="1:18" ht="12" customHeight="1" x14ac:dyDescent="0.2">
      <c r="A140" s="85" t="s">
        <v>1801</v>
      </c>
      <c r="B140" s="14">
        <f>IF(AND(B86=4,B82=1),B90-B88/2-B137/2,IF(AND(B86=4,B82=2),(B90-B88/2-B137/2-(MAX(B89,B90)-MIN(B89,B90)))*-1,B122))</f>
        <v>-11.25</v>
      </c>
      <c r="C140" s="103"/>
      <c r="D140" s="103"/>
      <c r="P140" s="69" t="s">
        <v>375</v>
      </c>
      <c r="Q140" s="66">
        <f>IF(Q91=0,0,((Q127*Q129*(K15-1))/1728)*150)</f>
        <v>0</v>
      </c>
    </row>
    <row r="141" spans="1:18" ht="12" customHeight="1" x14ac:dyDescent="0.2">
      <c r="A141" s="85" t="s">
        <v>2054</v>
      </c>
      <c r="B141" s="45">
        <f>IF(OR(B86&lt;&gt;4,B8=1,B9=1),0,1)</f>
        <v>0</v>
      </c>
      <c r="D141" s="80"/>
      <c r="P141" s="29"/>
      <c r="Q141" s="29"/>
    </row>
    <row r="142" spans="1:18" ht="12" customHeight="1" x14ac:dyDescent="0.2">
      <c r="A142" s="85" t="s">
        <v>1656</v>
      </c>
      <c r="B142" s="45">
        <f>IF(OR(B86&lt;&gt;4,B8=1,B9=2),0,1)</f>
        <v>0</v>
      </c>
      <c r="D142" s="80"/>
      <c r="P142" s="29"/>
      <c r="Q142" s="29"/>
    </row>
    <row r="143" spans="1:18" ht="12" customHeight="1" x14ac:dyDescent="0.2">
      <c r="A143" s="85" t="s">
        <v>2048</v>
      </c>
      <c r="B143" s="45">
        <f>IF(OR(B86&lt;&gt;4,B8=2,B9=1),0,1)</f>
        <v>0</v>
      </c>
      <c r="D143" s="80"/>
      <c r="E143" s="29"/>
      <c r="P143" s="29"/>
      <c r="Q143" s="29"/>
    </row>
    <row r="144" spans="1:18" ht="12" customHeight="1" x14ac:dyDescent="0.2">
      <c r="A144" s="85" t="s">
        <v>1657</v>
      </c>
      <c r="B144" s="45">
        <f>IF(OR(B86&lt;&gt;4,B8=2,B9=2),0,1)</f>
        <v>0</v>
      </c>
      <c r="D144" s="80"/>
      <c r="P144" s="29"/>
      <c r="Q144" s="29"/>
    </row>
    <row r="145" spans="1:17" ht="12" customHeight="1" x14ac:dyDescent="0.2">
      <c r="A145" s="85" t="s">
        <v>1662</v>
      </c>
      <c r="B145" s="45">
        <f>IF(OR(B86=4,B8=1,B9=1),0,1)</f>
        <v>0</v>
      </c>
      <c r="D145" s="80"/>
      <c r="P145" s="29"/>
      <c r="Q145" s="29"/>
    </row>
    <row r="146" spans="1:17" ht="12" customHeight="1" x14ac:dyDescent="0.2">
      <c r="A146" s="85" t="s">
        <v>1242</v>
      </c>
      <c r="B146" s="45">
        <f>IF(OR(B86=4,B8=1,B9=2),0,1)</f>
        <v>0</v>
      </c>
      <c r="D146" s="80"/>
      <c r="P146" s="29"/>
      <c r="Q146" s="29"/>
    </row>
    <row r="147" spans="1:17" ht="12" customHeight="1" x14ac:dyDescent="0.2">
      <c r="A147" s="85" t="s">
        <v>1514</v>
      </c>
      <c r="B147" s="45">
        <f>IF(OR(B86=4,B8=2,B9=1),0,1)</f>
        <v>0</v>
      </c>
      <c r="D147" s="80"/>
      <c r="P147" s="465"/>
      <c r="Q147" s="633"/>
    </row>
    <row r="148" spans="1:17" ht="12" customHeight="1" x14ac:dyDescent="0.2">
      <c r="A148" s="85" t="s">
        <v>1243</v>
      </c>
      <c r="B148" s="45">
        <f>IF(OR(B86=4,B8=2,B9=2),0,1)</f>
        <v>1</v>
      </c>
      <c r="D148" s="80"/>
      <c r="P148" s="29"/>
      <c r="Q148" s="29"/>
    </row>
    <row r="149" spans="1:17" ht="12" customHeight="1" x14ac:dyDescent="0.2">
      <c r="A149" s="85" t="s">
        <v>1515</v>
      </c>
      <c r="B149" s="14">
        <f>IF(B86=4,B84/2-N11-N12,B84/2+0.001+2-K93/2)</f>
        <v>17.251000000000001</v>
      </c>
      <c r="C149" s="103"/>
      <c r="D149" s="80"/>
      <c r="P149" s="29"/>
      <c r="Q149" s="29"/>
    </row>
    <row r="150" spans="1:17" ht="12" customHeight="1" x14ac:dyDescent="0.2">
      <c r="A150" s="85" t="s">
        <v>1802</v>
      </c>
      <c r="B150" s="14">
        <f>IF(B86=4,B85/2-K97,B85/2+6-K97)</f>
        <v>29.75</v>
      </c>
      <c r="C150" s="103"/>
      <c r="D150" s="80"/>
      <c r="E150" s="665"/>
      <c r="G150" s="80"/>
      <c r="P150" s="29"/>
      <c r="Q150" s="29"/>
    </row>
    <row r="151" spans="1:17" ht="12" customHeight="1" x14ac:dyDescent="0.2">
      <c r="A151" s="85" t="s">
        <v>945</v>
      </c>
      <c r="B151" s="565">
        <f>ROUND(IF(B86=4,N18+N63*2-N13*2,IF(OR(B27=6,B27=8),K14+K29*2+K92*2-K97*2,K14+K92*2-K97*2)),2)</f>
        <v>87.03</v>
      </c>
      <c r="C151" s="103"/>
      <c r="D151" s="80"/>
      <c r="E151" s="665"/>
      <c r="G151" s="80"/>
      <c r="P151" s="29"/>
      <c r="Q151" s="29"/>
    </row>
    <row r="152" spans="1:17" ht="12" customHeight="1" x14ac:dyDescent="0.2">
      <c r="A152" s="85" t="s">
        <v>2049</v>
      </c>
      <c r="B152" s="565">
        <f>ROUND(IF(B86=4,N62-N11*2-N12*2,IF(OR(B27=6,B27=8),K25-K93,K25+K106*2-K93)),2)</f>
        <v>43.61</v>
      </c>
      <c r="C152" s="103"/>
      <c r="D152" s="80"/>
      <c r="P152" s="29"/>
      <c r="Q152" s="29"/>
    </row>
    <row r="153" spans="1:17" ht="12" customHeight="1" x14ac:dyDescent="0.2">
      <c r="A153" s="85" t="s">
        <v>1516</v>
      </c>
      <c r="B153" s="565">
        <f>ROUND(IF(B86=4,N62,IF(OR(B27=6,B27=8),K25,K25+K17*2)),2)</f>
        <v>51.61</v>
      </c>
      <c r="D153" s="80"/>
      <c r="P153" s="29"/>
      <c r="Q153" s="29"/>
    </row>
    <row r="154" spans="1:17" ht="12" customHeight="1" x14ac:dyDescent="0.2">
      <c r="A154" s="85" t="s">
        <v>2050</v>
      </c>
      <c r="B154" s="565">
        <f>ROUND(IF(B86=4,N18+N63*2,IF(OR(B27=6,B27=8),K14+K28*2,K14)),2)</f>
        <v>77.53</v>
      </c>
      <c r="D154" s="80"/>
      <c r="P154" s="29"/>
      <c r="Q154" s="29"/>
    </row>
    <row r="155" spans="1:17" ht="12" customHeight="1" x14ac:dyDescent="0.2">
      <c r="A155" s="85" t="s">
        <v>413</v>
      </c>
      <c r="B155" s="565">
        <f>IF(AND(N72=1,B9=1),ROUND(N73-N82-(H103-N13),2),IF(AND(K35=1,B9=1,B8=1),ROUND(B17+MIN(K39,K37)-(IF(K37&lt;K39,K50,K49))-H103-(IF(OR(B27=6,B27=8),K92-K97-(K28-K29),K92-K97)),2),IF(AND(K35=1,B9=1,B8=2),ROUND(B17-MAX(K39,K37)-(IF(K37&gt;K39,K50,K49))-H103-(IF(OR(B27=6,B27=8),K92-K97-(K28-K29),K92-K97)),2),IF(AND(B9=2,B8=2,FANSIZE&gt;=402),ROUND(B17-K37-K50-H103-(IF(OR(B27=6,B27=8),K92-K97-(K28-K29),K92-K97)),2),IF(AND(B9=2,B8=1,FANSIZE&gt;=402),ROUND(B17+K37+K50-H103-(IF(OR(B27=6,B27=8),K92-K97-(K28-K29),K92-K97)),2),"-")))))</f>
        <v>45.5</v>
      </c>
      <c r="C155" s="80" t="s">
        <v>1396</v>
      </c>
      <c r="D155" s="243"/>
      <c r="P155" s="29"/>
      <c r="Q155" s="29"/>
    </row>
    <row r="156" spans="1:17" ht="12" customHeight="1" x14ac:dyDescent="0.2">
      <c r="A156" s="85" t="s">
        <v>946</v>
      </c>
      <c r="B156" s="565">
        <f>IF(AND(N72=1,B9=1),ROUND(N74+N82-(H103-N13),2),IF(AND(K35=1,B9=1,B8=1),ROUND(B17+MAX(K39,K37)+(IF(K37&lt;K39,K49,K50))-H103-(IF(OR(B27=6,B27=8),K92-K97-(K28-K29),K92-K97)),2),IF(AND(K35=1,B9=1,B8=2),ROUND(B17-MIN(K39,K37)+(IF(K37&lt;K39,K50,K49))-H103-(IF(OR(B27=6,B27=8),K92-K97-(K28-K29),K92-K97)),2),"-")))</f>
        <v>62.56</v>
      </c>
      <c r="C156" s="80" t="s">
        <v>1934</v>
      </c>
      <c r="D156" s="80"/>
      <c r="P156" s="29"/>
      <c r="Q156" s="29"/>
    </row>
    <row r="157" spans="1:17" ht="12" customHeight="1" x14ac:dyDescent="0.2">
      <c r="A157" s="85" t="s">
        <v>1517</v>
      </c>
      <c r="B157" s="565" t="str">
        <f>IF(AND(N28=1,B26="FIA"),ROUND(N37-H104+N12+N11-N36,2),IF(AND(N28=1,B26="LIA"),ROUND(N37-H104+N12+N11+N36,2),"-"))</f>
        <v>-</v>
      </c>
      <c r="C157" s="80" t="s">
        <v>2190</v>
      </c>
      <c r="D157" s="243"/>
      <c r="P157" s="29"/>
      <c r="Q157" s="29"/>
    </row>
    <row r="158" spans="1:17" ht="12" customHeight="1" x14ac:dyDescent="0.2">
      <c r="A158" s="85" t="s">
        <v>2051</v>
      </c>
      <c r="B158" s="565" t="str">
        <f>IF(AND(N49=1,B26="FIA"),ROUND(N58-H104+N12+N11-N57,2),IF(AND(N49=1,B26="LIA"),ROUND(N58-H104+N12+N11+N57,2),IF(K52=1,ROUND(K54-H104+K93/2+K106-K17,2),"-")))</f>
        <v>-</v>
      </c>
      <c r="C158" s="80" t="s">
        <v>1937</v>
      </c>
      <c r="D158" s="243"/>
      <c r="P158" s="29"/>
      <c r="Q158" s="29"/>
    </row>
    <row r="159" spans="1:17" ht="12" customHeight="1" x14ac:dyDescent="0.2">
      <c r="A159" s="85" t="s">
        <v>541</v>
      </c>
      <c r="B159" s="565" t="str">
        <f>IF(AND(B86=4,B26="FIA"),ROUND(N20,2),IF(AND(B86=4,B26="LIA"),ROUND(N26-H104+N12+N11+N24,2),"-"))</f>
        <v>-</v>
      </c>
      <c r="C159" s="80" t="s">
        <v>292</v>
      </c>
      <c r="D159" s="80"/>
      <c r="P159" s="29"/>
      <c r="Q159" s="29"/>
    </row>
    <row r="160" spans="1:17" ht="12" customHeight="1" x14ac:dyDescent="0.2">
      <c r="A160" s="85" t="s">
        <v>1087</v>
      </c>
      <c r="B160" s="565" t="str">
        <f>IF(AND(B86=4,B26="FIA"),ROUND(N47-H104+N12+N11-N24,2),IF(AND(B86=4,B26="LIA"),ROUND(N62-N42,2),"-"))</f>
        <v>-</v>
      </c>
      <c r="C160" s="80" t="s">
        <v>822</v>
      </c>
      <c r="D160" s="80"/>
      <c r="P160" s="29"/>
      <c r="Q160" s="29"/>
    </row>
    <row r="161" spans="1:17" ht="12" customHeight="1" x14ac:dyDescent="0.2">
      <c r="A161" s="85" t="s">
        <v>1663</v>
      </c>
      <c r="B161" s="565">
        <f>IF(B86=4,"-",IF(B26="FIA",ROUND(B15+K65-K67/2-K70/2-H104+K93/2+K106-K17,2),ROUND(B15+K65-K67/2-K70/2-H104+K93/2+K106-K17,2)))</f>
        <v>1.92</v>
      </c>
      <c r="C161" s="80" t="s">
        <v>418</v>
      </c>
      <c r="D161" s="80"/>
      <c r="P161" s="29"/>
      <c r="Q161" s="29"/>
    </row>
    <row r="162" spans="1:17" ht="12" customHeight="1" x14ac:dyDescent="0.2">
      <c r="A162" s="85" t="s">
        <v>1935</v>
      </c>
      <c r="B162" s="565">
        <f>IF(B86=4,"-",ROUND(K67,2))</f>
        <v>16</v>
      </c>
      <c r="C162" s="80" t="s">
        <v>137</v>
      </c>
      <c r="D162" s="80"/>
      <c r="P162" s="29"/>
      <c r="Q162" s="29"/>
    </row>
    <row r="163" spans="1:17" ht="12" customHeight="1" x14ac:dyDescent="0.2">
      <c r="A163" s="85" t="s">
        <v>293</v>
      </c>
      <c r="B163" s="798">
        <f>IF(B86=4,"-",IF(B20="TYPEC",ROUND(K79,2),IF(B20="TYPEB",ROUND(K78,2),ROUND(K77+K76,2))))</f>
        <v>2.48</v>
      </c>
      <c r="C163" s="80" t="s">
        <v>949</v>
      </c>
      <c r="D163" s="80"/>
      <c r="P163" s="29"/>
      <c r="Q163" s="29"/>
    </row>
    <row r="164" spans="1:17" ht="12" customHeight="1" x14ac:dyDescent="0.2">
      <c r="A164" s="85" t="s">
        <v>414</v>
      </c>
      <c r="B164" s="565">
        <f>ROUND(IF(AND(B86=4,B9=2),N18/2+N63-B59,IF(AND(B86=4,B9=1),B17-H103+N13-B59,IF(AND(B9=2,OR(B27=6,B27=8)),K14/2+K17-B59,IF(B9=2,K14/2-B59,IF(AND(B9=1,OR(B27=6,B27=8)),B17-H103+K97-K92-K46+K45-B59,IF(B9=1,B17-H103+K97-K92-B59)))))),2)</f>
        <v>1.1299999999999999</v>
      </c>
      <c r="C164" s="80" t="s">
        <v>1809</v>
      </c>
      <c r="D164" s="80"/>
      <c r="P164" s="29"/>
      <c r="Q164" s="29"/>
    </row>
    <row r="165" spans="1:17" ht="12" customHeight="1" x14ac:dyDescent="0.2">
      <c r="A165" s="85" t="s">
        <v>947</v>
      </c>
      <c r="B165" s="565">
        <f>ROUND(B59*2,2)</f>
        <v>45.5</v>
      </c>
      <c r="C165" s="80" t="s">
        <v>821</v>
      </c>
      <c r="D165" s="80"/>
      <c r="P165" s="29"/>
      <c r="Q165" s="29"/>
    </row>
    <row r="166" spans="1:17" ht="12" customHeight="1" x14ac:dyDescent="0.2">
      <c r="A166" s="85" t="s">
        <v>1518</v>
      </c>
      <c r="B166" s="565">
        <f>ROUND(IF(AND(B86=4,B9=2),N18+N63*2-B164,IF(AND(B86=4,B9=1),N18+N63*2-B164-B165,IF(AND(B9=2,OR(B27=6,B27=8)),K14/2+K17-B59,IF(B9=2,K14/2-B59,IF(AND(B9=1,OR(B27=6,B27=8)),K14+K17*2-B164-B165,IF(B9=1,K14-B164-B165)))))),2)</f>
        <v>30.9</v>
      </c>
      <c r="C166" s="80" t="s">
        <v>547</v>
      </c>
      <c r="D166" s="80"/>
      <c r="P166" s="29"/>
      <c r="Q166" s="29"/>
    </row>
    <row r="167" spans="1:17" ht="12" customHeight="1" x14ac:dyDescent="0.2">
      <c r="A167" s="85" t="s">
        <v>2183</v>
      </c>
      <c r="B167" s="565">
        <f>ROUND(IF(B86=4,B15-B60-H104+N12+N11,B15-B60-H104+K93/2-K17+K106),2)</f>
        <v>11.92</v>
      </c>
      <c r="C167" s="80" t="s">
        <v>2188</v>
      </c>
      <c r="D167" s="243"/>
      <c r="P167" s="29"/>
      <c r="Q167" s="29"/>
    </row>
    <row r="168" spans="1:17" ht="12" customHeight="1" x14ac:dyDescent="0.2">
      <c r="A168" s="85" t="s">
        <v>542</v>
      </c>
      <c r="B168" s="565">
        <f>ROUND(B60*2,2)</f>
        <v>31.76</v>
      </c>
      <c r="C168" s="80" t="s">
        <v>2189</v>
      </c>
      <c r="D168" s="243"/>
      <c r="P168" s="29"/>
      <c r="Q168" s="29"/>
    </row>
    <row r="169" spans="1:17" ht="12" customHeight="1" x14ac:dyDescent="0.2">
      <c r="A169" s="85" t="s">
        <v>1088</v>
      </c>
      <c r="B169" s="565">
        <f>ROUND(IF(B86=4,N62-B167-B168,IF(OR(B27=6,B27=8),K25-B167-B168,K25+K28*2-B167-B168)),2)</f>
        <v>7.93</v>
      </c>
      <c r="C169" s="80" t="s">
        <v>1248</v>
      </c>
      <c r="D169" s="80"/>
      <c r="P169" s="29"/>
      <c r="Q169" s="29"/>
    </row>
    <row r="170" spans="1:17" ht="12" customHeight="1" x14ac:dyDescent="0.2">
      <c r="A170" s="85" t="s">
        <v>1244</v>
      </c>
      <c r="B170" s="565">
        <f>ROUND(IF(B86=4,E56-H103+N13-E40,IF(B8=1,K69-(K76+E33/2-E40)-E40*2,IF(B8=2,(K76+E33/2-E40)))),2)</f>
        <v>1.38</v>
      </c>
      <c r="C170" s="80" t="s">
        <v>1664</v>
      </c>
      <c r="D170" s="243"/>
      <c r="P170" s="29"/>
      <c r="Q170" s="29"/>
    </row>
    <row r="171" spans="1:17" ht="12" customHeight="1" x14ac:dyDescent="0.2">
      <c r="A171" s="85" t="s">
        <v>1803</v>
      </c>
      <c r="B171" s="565">
        <f>ROUND(E40*2,2)</f>
        <v>18.5</v>
      </c>
      <c r="C171" s="80" t="s">
        <v>950</v>
      </c>
      <c r="D171" s="80"/>
      <c r="P171" s="29"/>
      <c r="Q171" s="29"/>
    </row>
    <row r="172" spans="1:17" ht="12" customHeight="1" x14ac:dyDescent="0.2">
      <c r="A172" s="85" t="s">
        <v>128</v>
      </c>
      <c r="B172" s="565">
        <f>IF(K8=1,K69-B170-B171,N18+N63*2-B170-B171)</f>
        <v>1.370000000000001</v>
      </c>
      <c r="C172" s="80" t="s">
        <v>417</v>
      </c>
      <c r="D172" s="80"/>
      <c r="P172" s="72"/>
      <c r="Q172" s="72"/>
    </row>
    <row r="173" spans="1:17" ht="12" customHeight="1" x14ac:dyDescent="0.2">
      <c r="A173" s="85" t="s">
        <v>819</v>
      </c>
      <c r="B173" s="565">
        <f>ROUND(IF(B86=4,(B15+E58)-E39-H104+N12+N11,K70/2),2)</f>
        <v>2</v>
      </c>
      <c r="C173" s="80" t="s">
        <v>1810</v>
      </c>
      <c r="D173" s="136"/>
      <c r="P173" s="29"/>
      <c r="Q173" s="29"/>
    </row>
    <row r="174" spans="1:17" ht="12" customHeight="1" x14ac:dyDescent="0.2">
      <c r="A174" s="85" t="s">
        <v>1393</v>
      </c>
      <c r="B174" s="565">
        <f>ROUND(E39*2,2)</f>
        <v>16</v>
      </c>
      <c r="C174" s="80" t="s">
        <v>1397</v>
      </c>
      <c r="P174" s="29"/>
      <c r="Q174" s="29"/>
    </row>
    <row r="175" spans="1:17" ht="12" customHeight="1" x14ac:dyDescent="0.2">
      <c r="A175" s="85" t="s">
        <v>1936</v>
      </c>
      <c r="B175" s="565" t="str">
        <f>IF(B86=4,ROUND(N62-B173-B174,2),"-")</f>
        <v>-</v>
      </c>
      <c r="C175" s="80" t="s">
        <v>1095</v>
      </c>
      <c r="D175" s="136"/>
      <c r="P175" s="29"/>
      <c r="Q175" s="29"/>
    </row>
    <row r="176" spans="1:17" ht="12" customHeight="1" x14ac:dyDescent="0.2">
      <c r="P176" s="29"/>
      <c r="Q176" s="29"/>
    </row>
    <row r="177" spans="16:17" ht="12" customHeight="1" x14ac:dyDescent="0.2">
      <c r="P177" s="480"/>
      <c r="Q177" s="137"/>
    </row>
    <row r="178" spans="16:17" ht="12" customHeight="1" x14ac:dyDescent="0.2">
      <c r="P178" s="29"/>
      <c r="Q178" s="29"/>
    </row>
    <row r="179" spans="16:17" ht="12" customHeight="1" x14ac:dyDescent="0.2">
      <c r="P179" s="29"/>
      <c r="Q179" s="29"/>
    </row>
    <row r="180" spans="16:17" ht="12" customHeight="1" x14ac:dyDescent="0.2">
      <c r="P180" s="29"/>
      <c r="Q180" s="29"/>
    </row>
    <row r="181" spans="16:17" ht="12" customHeight="1" x14ac:dyDescent="0.2">
      <c r="P181" s="29"/>
      <c r="Q181" s="29"/>
    </row>
    <row r="182" spans="16:17" ht="12" customHeight="1" x14ac:dyDescent="0.2">
      <c r="P182" s="72"/>
      <c r="Q182" s="72"/>
    </row>
    <row r="183" spans="16:17" ht="12" customHeight="1" x14ac:dyDescent="0.2">
      <c r="P183" s="29"/>
      <c r="Q183" s="29"/>
    </row>
    <row r="184" spans="16:17" ht="12" customHeight="1" x14ac:dyDescent="0.2">
      <c r="P184" s="29"/>
      <c r="Q184" s="29"/>
    </row>
    <row r="185" spans="16:17" ht="12" customHeight="1" x14ac:dyDescent="0.2">
      <c r="P185" s="29"/>
      <c r="Q185" s="29"/>
    </row>
    <row r="186" spans="16:17" ht="12" customHeight="1" x14ac:dyDescent="0.2">
      <c r="P186" s="29"/>
      <c r="Q186" s="29"/>
    </row>
    <row r="187" spans="16:17" ht="12" customHeight="1" x14ac:dyDescent="0.2">
      <c r="P187" s="29"/>
      <c r="Q187" s="29"/>
    </row>
    <row r="188" spans="16:17" ht="12" customHeight="1" x14ac:dyDescent="0.2">
      <c r="P188" s="29"/>
      <c r="Q188" s="29"/>
    </row>
    <row r="189" spans="16:17" ht="12" customHeight="1" x14ac:dyDescent="0.2">
      <c r="P189" s="29"/>
      <c r="Q189" s="29"/>
    </row>
    <row r="190" spans="16:17" ht="12" customHeight="1" x14ac:dyDescent="0.2">
      <c r="P190" s="29"/>
      <c r="Q190" s="29"/>
    </row>
    <row r="191" spans="16:17" ht="12" customHeight="1" x14ac:dyDescent="0.2">
      <c r="P191" s="29"/>
      <c r="Q191" s="29"/>
    </row>
    <row r="199" spans="16:16" ht="12" customHeight="1" x14ac:dyDescent="0.25">
      <c r="P199" s="551"/>
    </row>
  </sheetData>
  <mergeCells count="24">
    <mergeCell ref="D67:E67"/>
    <mergeCell ref="M71:N71"/>
    <mergeCell ref="J80:K80"/>
    <mergeCell ref="A81:B81"/>
    <mergeCell ref="G41:H41"/>
    <mergeCell ref="M48:N48"/>
    <mergeCell ref="J51:K51"/>
    <mergeCell ref="M59:N59"/>
    <mergeCell ref="J63:K63"/>
    <mergeCell ref="A24:B24"/>
    <mergeCell ref="M27:N27"/>
    <mergeCell ref="D31:E31"/>
    <mergeCell ref="J33:K33"/>
    <mergeCell ref="M38:N38"/>
    <mergeCell ref="P3:Q3"/>
    <mergeCell ref="J9:K9"/>
    <mergeCell ref="M10:N10"/>
    <mergeCell ref="M16:N16"/>
    <mergeCell ref="J22:K22"/>
    <mergeCell ref="A3:B3"/>
    <mergeCell ref="D3:E3"/>
    <mergeCell ref="G3:H3"/>
    <mergeCell ref="J3:K3"/>
    <mergeCell ref="M3:N3"/>
  </mergeCells>
  <pageMargins left="0.75" right="0.75" top="1" bottom="1" header="0.5" footer="0.5"/>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DK64"/>
  <sheetViews>
    <sheetView showGridLines="0" topLeftCell="BI1" zoomScale="85" zoomScaleNormal="85" workbookViewId="0">
      <selection activeCell="DJ5" sqref="DJ5"/>
    </sheetView>
  </sheetViews>
  <sheetFormatPr defaultColWidth="8.85546875" defaultRowHeight="12.75" x14ac:dyDescent="0.2"/>
  <cols>
    <col min="1" max="1" width="2.7109375" customWidth="1"/>
    <col min="2" max="2" width="2.85546875" customWidth="1"/>
    <col min="3" max="3" width="5.85546875" bestFit="1" customWidth="1"/>
    <col min="4" max="4" width="4.7109375" customWidth="1"/>
    <col min="5" max="5" width="5.140625" customWidth="1"/>
    <col min="6" max="6" width="5.140625" bestFit="1" customWidth="1"/>
    <col min="7" max="7" width="5.85546875" bestFit="1" customWidth="1"/>
    <col min="8" max="8" width="7.42578125" bestFit="1" customWidth="1"/>
    <col min="9" max="10" width="4.85546875" bestFit="1" customWidth="1"/>
    <col min="11" max="11" width="5.85546875" bestFit="1" customWidth="1"/>
    <col min="12" max="13" width="4.85546875" bestFit="1" customWidth="1"/>
    <col min="14" max="16" width="5.85546875" bestFit="1" customWidth="1"/>
    <col min="17" max="17" width="4.85546875" bestFit="1" customWidth="1"/>
    <col min="18" max="18" width="5.85546875" bestFit="1" customWidth="1"/>
    <col min="19" max="20" width="4.85546875" bestFit="1" customWidth="1"/>
    <col min="21" max="21" width="6.85546875" bestFit="1" customWidth="1"/>
    <col min="22" max="22" width="7.5703125" bestFit="1" customWidth="1"/>
    <col min="23" max="25" width="5.85546875" bestFit="1" customWidth="1"/>
    <col min="26" max="28" width="5.85546875" customWidth="1"/>
    <col min="29" max="29" width="5.85546875" bestFit="1" customWidth="1"/>
    <col min="30" max="30" width="5.5703125" bestFit="1" customWidth="1"/>
    <col min="31" max="32" width="4.85546875" bestFit="1" customWidth="1"/>
    <col min="33" max="33" width="4.5703125" bestFit="1" customWidth="1"/>
    <col min="34" max="35" width="5.85546875" bestFit="1" customWidth="1"/>
    <col min="36" max="36" width="4.85546875" bestFit="1" customWidth="1"/>
    <col min="37" max="39" width="5.85546875" bestFit="1" customWidth="1"/>
    <col min="40" max="40" width="6.85546875" customWidth="1"/>
    <col min="41" max="42" width="4.85546875" bestFit="1" customWidth="1"/>
    <col min="43" max="43" width="4.85546875" customWidth="1"/>
    <col min="44" max="44" width="5.85546875" bestFit="1" customWidth="1"/>
    <col min="45" max="45" width="5.85546875" customWidth="1"/>
    <col min="46" max="46" width="5.85546875" bestFit="1" customWidth="1"/>
    <col min="47" max="47" width="2.7109375" customWidth="1"/>
    <col min="48" max="49" width="5.7109375" bestFit="1" customWidth="1"/>
    <col min="50" max="50" width="5.85546875" bestFit="1" customWidth="1"/>
    <col min="51" max="51" width="7.5703125" bestFit="1" customWidth="1"/>
    <col min="52" max="53" width="4.85546875" bestFit="1" customWidth="1"/>
    <col min="54" max="54" width="5.5703125" bestFit="1" customWidth="1"/>
    <col min="55" max="55" width="4.85546875" bestFit="1" customWidth="1"/>
    <col min="56" max="56" width="5.85546875" bestFit="1" customWidth="1"/>
    <col min="57" max="57" width="5.85546875" customWidth="1"/>
    <col min="58" max="58" width="4.85546875" bestFit="1" customWidth="1"/>
    <col min="59" max="61" width="5.85546875" bestFit="1" customWidth="1"/>
    <col min="62" max="62" width="6.85546875" customWidth="1"/>
    <col min="63" max="63" width="7.5703125" bestFit="1" customWidth="1"/>
    <col min="64" max="70" width="5.85546875" bestFit="1" customWidth="1"/>
    <col min="71" max="75" width="4.85546875" bestFit="1" customWidth="1"/>
    <col min="76" max="76" width="5.85546875" bestFit="1" customWidth="1"/>
    <col min="77" max="77" width="4.85546875" bestFit="1" customWidth="1"/>
    <col min="78" max="80" width="5.85546875" bestFit="1" customWidth="1"/>
    <col min="81" max="81" width="6.85546875" bestFit="1" customWidth="1"/>
    <col min="82" max="82" width="6.42578125" customWidth="1"/>
    <col min="83" max="84" width="4.85546875" bestFit="1" customWidth="1"/>
    <col min="85" max="85" width="2.7109375" customWidth="1"/>
    <col min="86" max="86" width="5.7109375" bestFit="1" customWidth="1"/>
    <col min="87" max="87" width="5.85546875" bestFit="1" customWidth="1"/>
    <col min="88" max="88" width="7.5703125" bestFit="1" customWidth="1"/>
    <col min="89" max="90" width="4.85546875" bestFit="1" customWidth="1"/>
    <col min="91" max="91" width="5.85546875" bestFit="1" customWidth="1"/>
    <col min="92" max="92" width="4.85546875" bestFit="1" customWidth="1"/>
    <col min="93" max="94" width="5.85546875" bestFit="1" customWidth="1"/>
    <col min="95" max="95" width="4.85546875" bestFit="1" customWidth="1"/>
    <col min="96" max="96" width="5.85546875" bestFit="1" customWidth="1"/>
    <col min="97" max="98" width="5.5703125" bestFit="1" customWidth="1"/>
    <col min="99" max="99" width="6.85546875" customWidth="1"/>
    <col min="100" max="100" width="7.5703125" bestFit="1" customWidth="1"/>
    <col min="101" max="103" width="5.85546875" bestFit="1" customWidth="1"/>
    <col min="104" max="104" width="5.85546875" customWidth="1"/>
    <col min="105" max="106" width="5.85546875" bestFit="1" customWidth="1"/>
    <col min="107" max="107" width="5.5703125" bestFit="1" customWidth="1"/>
    <col min="108" max="109" width="4.85546875" bestFit="1" customWidth="1"/>
    <col min="110" max="110" width="5.85546875" bestFit="1" customWidth="1"/>
    <col min="111" max="111" width="4.85546875" bestFit="1" customWidth="1"/>
    <col min="112" max="113" width="5.85546875" bestFit="1" customWidth="1"/>
    <col min="114" max="114" width="6.5703125" customWidth="1"/>
    <col min="115" max="115" width="4.85546875" bestFit="1" customWidth="1"/>
    <col min="116" max="116" width="2.140625" customWidth="1"/>
    <col min="117" max="117" width="2.5703125" customWidth="1"/>
    <col min="118" max="118" width="6" customWidth="1"/>
  </cols>
  <sheetData>
    <row r="1" spans="2:115" ht="14.25" customHeight="1" thickBot="1" x14ac:dyDescent="0.25">
      <c r="C1" s="113"/>
      <c r="D1" s="239"/>
      <c r="E1" s="239"/>
      <c r="F1" s="239"/>
      <c r="G1" s="239"/>
      <c r="H1" s="239"/>
      <c r="I1" s="113"/>
      <c r="J1" s="113"/>
      <c r="K1" s="113"/>
      <c r="L1" s="113"/>
      <c r="M1" s="113"/>
      <c r="N1" s="113"/>
      <c r="O1" s="113"/>
      <c r="P1" s="113"/>
      <c r="Q1" s="113"/>
      <c r="R1" s="113"/>
      <c r="S1" s="113"/>
      <c r="T1" s="81"/>
      <c r="U1" s="81"/>
      <c r="V1" s="81"/>
      <c r="W1" s="81"/>
      <c r="X1" s="81"/>
      <c r="Y1" s="81"/>
      <c r="Z1" s="81"/>
      <c r="AA1" s="81"/>
      <c r="AB1" s="81"/>
      <c r="AC1" s="81"/>
      <c r="AD1" s="81"/>
      <c r="AE1" s="81"/>
      <c r="AF1" s="81"/>
      <c r="AG1" s="81"/>
      <c r="AH1" s="81"/>
      <c r="AI1" s="81"/>
      <c r="AJ1" s="81"/>
      <c r="AK1" s="531"/>
      <c r="AL1" s="531"/>
    </row>
    <row r="2" spans="2:115" ht="26.25" customHeight="1" thickBot="1" x14ac:dyDescent="0.25">
      <c r="C2" s="945" t="s">
        <v>246</v>
      </c>
      <c r="D2" s="946"/>
      <c r="E2" s="946"/>
      <c r="F2" s="946"/>
      <c r="G2" s="946"/>
      <c r="H2" s="946"/>
      <c r="I2" s="946"/>
      <c r="J2" s="946"/>
      <c r="K2" s="946"/>
      <c r="L2" s="946"/>
      <c r="M2" s="946"/>
      <c r="N2" s="946"/>
      <c r="O2" s="946"/>
      <c r="P2" s="946"/>
      <c r="Q2" s="946"/>
      <c r="R2" s="946"/>
      <c r="S2" s="946"/>
      <c r="T2" s="946"/>
      <c r="U2" s="946"/>
      <c r="V2" s="946"/>
      <c r="W2" s="946"/>
      <c r="X2" s="946"/>
      <c r="Y2" s="947"/>
      <c r="Z2" s="947"/>
      <c r="AA2" s="947"/>
      <c r="AB2" s="947"/>
      <c r="AC2" s="948"/>
      <c r="AD2" s="949" t="s">
        <v>487</v>
      </c>
      <c r="AE2" s="950"/>
      <c r="AF2" s="950"/>
      <c r="AG2" s="951" t="s">
        <v>1450</v>
      </c>
      <c r="AH2" s="952"/>
      <c r="AI2" s="953"/>
      <c r="AJ2" s="953"/>
      <c r="AK2" s="954"/>
      <c r="AL2" s="955" t="s">
        <v>655</v>
      </c>
      <c r="AM2" s="956"/>
      <c r="AN2" s="956"/>
      <c r="AO2" s="956"/>
      <c r="AP2" s="957" t="s">
        <v>1362</v>
      </c>
      <c r="AQ2" s="958"/>
      <c r="AR2" s="959"/>
      <c r="AS2" s="959"/>
      <c r="AT2" s="960"/>
      <c r="AV2" s="935" t="s">
        <v>107</v>
      </c>
      <c r="AW2" s="936"/>
      <c r="AX2" s="937"/>
      <c r="AY2" s="937"/>
      <c r="AZ2" s="937"/>
      <c r="BA2" s="937"/>
      <c r="BB2" s="937"/>
      <c r="BC2" s="937"/>
      <c r="BD2" s="937"/>
      <c r="BE2" s="937"/>
      <c r="BF2" s="937"/>
      <c r="BG2" s="937"/>
      <c r="BH2" s="937"/>
      <c r="BI2" s="937"/>
      <c r="BJ2" s="937"/>
      <c r="BK2" s="937"/>
      <c r="BL2" s="937"/>
      <c r="BM2" s="937"/>
      <c r="BN2" s="937"/>
      <c r="BO2" s="937"/>
      <c r="BP2" s="937"/>
      <c r="BQ2" s="937"/>
      <c r="BR2" s="937"/>
      <c r="BS2" s="937"/>
      <c r="BT2" s="937"/>
      <c r="BU2" s="937"/>
      <c r="BV2" s="937"/>
      <c r="BW2" s="937"/>
      <c r="BX2" s="937"/>
      <c r="BY2" s="937"/>
      <c r="BZ2" s="937"/>
      <c r="CA2" s="937"/>
      <c r="CB2" s="937"/>
      <c r="CC2" s="937"/>
      <c r="CD2" s="937"/>
      <c r="CE2" s="937"/>
      <c r="CF2" s="938"/>
      <c r="CH2" s="939" t="s">
        <v>1286</v>
      </c>
      <c r="CI2" s="937"/>
      <c r="CJ2" s="937"/>
      <c r="CK2" s="937"/>
      <c r="CL2" s="937"/>
      <c r="CM2" s="937"/>
      <c r="CN2" s="937"/>
      <c r="CO2" s="937"/>
      <c r="CP2" s="937"/>
      <c r="CQ2" s="937"/>
      <c r="CR2" s="937"/>
      <c r="CS2" s="937"/>
      <c r="CT2" s="937"/>
      <c r="CU2" s="937"/>
      <c r="CV2" s="937"/>
      <c r="CW2" s="937"/>
      <c r="CX2" s="937"/>
      <c r="CY2" s="937"/>
      <c r="CZ2" s="937"/>
      <c r="DA2" s="937"/>
      <c r="DB2" s="937"/>
      <c r="DC2" s="937"/>
      <c r="DD2" s="937"/>
      <c r="DE2" s="937"/>
      <c r="DF2" s="937"/>
      <c r="DG2" s="937"/>
      <c r="DH2" s="937"/>
      <c r="DI2" s="937"/>
      <c r="DJ2" s="937"/>
      <c r="DK2" s="938"/>
    </row>
    <row r="3" spans="2:115" s="23" customFormat="1" ht="132.75" customHeight="1" thickBot="1" x14ac:dyDescent="0.25">
      <c r="C3" s="529" t="s">
        <v>1941</v>
      </c>
      <c r="D3" s="400" t="s">
        <v>1559</v>
      </c>
      <c r="E3" s="529" t="s">
        <v>2129</v>
      </c>
      <c r="F3" s="626" t="s">
        <v>215</v>
      </c>
      <c r="G3" s="245" t="s">
        <v>650</v>
      </c>
      <c r="H3" s="245" t="s">
        <v>1206</v>
      </c>
      <c r="I3" s="245" t="s">
        <v>1053</v>
      </c>
      <c r="J3" s="245" t="s">
        <v>651</v>
      </c>
      <c r="K3" s="245" t="s">
        <v>1209</v>
      </c>
      <c r="L3" s="88" t="s">
        <v>1904</v>
      </c>
      <c r="M3" s="88" t="s">
        <v>1354</v>
      </c>
      <c r="N3" s="88" t="s">
        <v>248</v>
      </c>
      <c r="O3" s="88" t="s">
        <v>792</v>
      </c>
      <c r="P3" s="88" t="s">
        <v>1363</v>
      </c>
      <c r="Q3" s="88" t="s">
        <v>1057</v>
      </c>
      <c r="R3" s="88" t="s">
        <v>1905</v>
      </c>
      <c r="S3" s="88" t="s">
        <v>1907</v>
      </c>
      <c r="T3" s="88" t="s">
        <v>249</v>
      </c>
      <c r="U3" s="88" t="s">
        <v>787</v>
      </c>
      <c r="V3" s="88" t="s">
        <v>247</v>
      </c>
      <c r="W3" s="88" t="s">
        <v>1484</v>
      </c>
      <c r="X3" s="400" t="s">
        <v>2029</v>
      </c>
      <c r="Y3" s="400" t="s">
        <v>2148</v>
      </c>
      <c r="Z3" s="88" t="s">
        <v>1355</v>
      </c>
      <c r="AA3" s="88" t="s">
        <v>383</v>
      </c>
      <c r="AB3" s="88" t="s">
        <v>919</v>
      </c>
      <c r="AC3" s="88" t="s">
        <v>1773</v>
      </c>
      <c r="AD3" s="538" t="s">
        <v>1486</v>
      </c>
      <c r="AE3" s="749" t="s">
        <v>1207</v>
      </c>
      <c r="AF3" s="711" t="s">
        <v>1353</v>
      </c>
      <c r="AG3" s="703" t="s">
        <v>1357</v>
      </c>
      <c r="AH3" s="344" t="s">
        <v>1906</v>
      </c>
      <c r="AI3" s="344" t="s">
        <v>918</v>
      </c>
      <c r="AJ3" s="344" t="s">
        <v>1485</v>
      </c>
      <c r="AK3" s="722" t="s">
        <v>2147</v>
      </c>
      <c r="AL3" s="537" t="s">
        <v>1360</v>
      </c>
      <c r="AM3" s="520" t="s">
        <v>111</v>
      </c>
      <c r="AN3" s="520" t="s">
        <v>1488</v>
      </c>
      <c r="AO3" s="699" t="s">
        <v>926</v>
      </c>
      <c r="AP3" s="573" t="s">
        <v>1777</v>
      </c>
      <c r="AQ3" s="444" t="s">
        <v>2163</v>
      </c>
      <c r="AR3" s="444" t="s">
        <v>1778</v>
      </c>
      <c r="AS3" s="594" t="s">
        <v>2157</v>
      </c>
      <c r="AT3" s="671" t="s">
        <v>254</v>
      </c>
      <c r="AV3" s="745" t="s">
        <v>1626</v>
      </c>
      <c r="AW3" s="52" t="s">
        <v>2146</v>
      </c>
      <c r="AX3" s="52" t="s">
        <v>2152</v>
      </c>
      <c r="AY3" s="52" t="s">
        <v>108</v>
      </c>
      <c r="AZ3" s="52" t="s">
        <v>788</v>
      </c>
      <c r="BA3" s="52" t="s">
        <v>652</v>
      </c>
      <c r="BB3" s="52" t="s">
        <v>252</v>
      </c>
      <c r="BC3" s="52" t="s">
        <v>1630</v>
      </c>
      <c r="BD3" s="52" t="s">
        <v>1060</v>
      </c>
      <c r="BE3" s="52" t="s">
        <v>796</v>
      </c>
      <c r="BF3" s="52" t="s">
        <v>1361</v>
      </c>
      <c r="BG3" s="52" t="s">
        <v>789</v>
      </c>
      <c r="BH3" s="52" t="s">
        <v>2153</v>
      </c>
      <c r="BI3" s="52" t="s">
        <v>109</v>
      </c>
      <c r="BJ3" s="52" t="s">
        <v>250</v>
      </c>
      <c r="BK3" s="52" t="s">
        <v>920</v>
      </c>
      <c r="BL3" s="52" t="s">
        <v>382</v>
      </c>
      <c r="BM3" s="52" t="s">
        <v>1059</v>
      </c>
      <c r="BN3" s="52" t="s">
        <v>1061</v>
      </c>
      <c r="BO3" s="52" t="s">
        <v>797</v>
      </c>
      <c r="BP3" s="52" t="s">
        <v>516</v>
      </c>
      <c r="BQ3" s="52" t="s">
        <v>1054</v>
      </c>
      <c r="BR3" s="52" t="s">
        <v>1352</v>
      </c>
      <c r="BS3" s="52" t="s">
        <v>1356</v>
      </c>
      <c r="BT3" s="52" t="s">
        <v>1055</v>
      </c>
      <c r="BU3" s="52" t="s">
        <v>1628</v>
      </c>
      <c r="BV3" s="52" t="s">
        <v>2150</v>
      </c>
      <c r="BW3" s="52" t="s">
        <v>517</v>
      </c>
      <c r="BX3" s="52" t="s">
        <v>1631</v>
      </c>
      <c r="BY3" s="52" t="s">
        <v>1774</v>
      </c>
      <c r="BZ3" s="52" t="s">
        <v>1629</v>
      </c>
      <c r="CA3" s="52" t="s">
        <v>2151</v>
      </c>
      <c r="CB3" s="52" t="s">
        <v>2154</v>
      </c>
      <c r="CC3" s="52" t="s">
        <v>106</v>
      </c>
      <c r="CD3" s="690" t="s">
        <v>649</v>
      </c>
      <c r="CE3" s="52" t="s">
        <v>656</v>
      </c>
      <c r="CF3" s="764" t="s">
        <v>1210</v>
      </c>
      <c r="CH3" s="734" t="s">
        <v>515</v>
      </c>
      <c r="CI3" s="63" t="s">
        <v>924</v>
      </c>
      <c r="CJ3" s="63" t="s">
        <v>790</v>
      </c>
      <c r="CK3" s="63" t="s">
        <v>1776</v>
      </c>
      <c r="CL3" s="63" t="s">
        <v>1358</v>
      </c>
      <c r="CM3" s="63" t="s">
        <v>1911</v>
      </c>
      <c r="CN3" s="63" t="s">
        <v>384</v>
      </c>
      <c r="CO3" s="63" t="s">
        <v>390</v>
      </c>
      <c r="CP3" s="63" t="s">
        <v>1365</v>
      </c>
      <c r="CQ3" s="63" t="s">
        <v>1208</v>
      </c>
      <c r="CR3" s="63" t="s">
        <v>2155</v>
      </c>
      <c r="CS3" s="63" t="s">
        <v>1908</v>
      </c>
      <c r="CT3" s="63" t="s">
        <v>1633</v>
      </c>
      <c r="CU3" s="63" t="s">
        <v>1487</v>
      </c>
      <c r="CV3" s="63" t="s">
        <v>1909</v>
      </c>
      <c r="CW3" s="63" t="s">
        <v>791</v>
      </c>
      <c r="CX3" s="63" t="s">
        <v>2156</v>
      </c>
      <c r="CY3" s="63" t="s">
        <v>259</v>
      </c>
      <c r="CZ3" s="63" t="s">
        <v>1212</v>
      </c>
      <c r="DA3" s="63" t="s">
        <v>1627</v>
      </c>
      <c r="DB3" s="63" t="s">
        <v>1359</v>
      </c>
      <c r="DC3" s="63" t="s">
        <v>1910</v>
      </c>
      <c r="DD3" s="63" t="s">
        <v>2149</v>
      </c>
      <c r="DE3" s="63" t="s">
        <v>1056</v>
      </c>
      <c r="DF3" s="63" t="s">
        <v>1058</v>
      </c>
      <c r="DG3" s="63" t="s">
        <v>925</v>
      </c>
      <c r="DH3" s="63" t="s">
        <v>518</v>
      </c>
      <c r="DI3" s="63" t="s">
        <v>385</v>
      </c>
      <c r="DJ3" s="63" t="s">
        <v>1205</v>
      </c>
      <c r="DK3" s="566" t="s">
        <v>1912</v>
      </c>
    </row>
    <row r="4" spans="2:115" s="23" customFormat="1" ht="12.75" customHeight="1" x14ac:dyDescent="0.2">
      <c r="B4" s="940" t="s">
        <v>1611</v>
      </c>
      <c r="C4" s="294" t="s">
        <v>2158</v>
      </c>
      <c r="D4" s="417">
        <f t="shared" ref="D4:D22" si="0">LEFT(C4,3)/10</f>
        <v>12.2</v>
      </c>
      <c r="E4" s="321" t="s">
        <v>1668</v>
      </c>
      <c r="F4" s="434" t="str">
        <f t="shared" ref="F4:F22" si="1">IF(FANCLASS=1,AV4,IF(FANCLASS=2,AW4, IF(FANCLASS=3,CH4)))</f>
        <v>254T</v>
      </c>
      <c r="G4" s="330">
        <f t="shared" ref="G4:L22" si="2">IF(OR(FANCLASS=1,FANCLASS=2),AX4, IF(FANCLASS=3,CI4))</f>
        <v>13</v>
      </c>
      <c r="H4" s="215">
        <f t="shared" si="2"/>
        <v>17.5</v>
      </c>
      <c r="I4" s="172">
        <f t="shared" si="2"/>
        <v>1.5</v>
      </c>
      <c r="J4" s="172">
        <f t="shared" si="2"/>
        <v>1.5</v>
      </c>
      <c r="K4" s="215">
        <f t="shared" si="2"/>
        <v>0.188</v>
      </c>
      <c r="L4" s="172">
        <f t="shared" si="2"/>
        <v>0.44</v>
      </c>
      <c r="M4" s="27">
        <v>0.375</v>
      </c>
      <c r="N4" s="27">
        <f t="shared" ref="N4:N22" si="3">IF(AND(OR(FANCLASS=1,FANCLASS=2),OR(FANDISCHARGELOC="F",FANDISCHARGELOC="R")),BD4, IF(AND(FANCLASS=3,OR(FANDISCHARGELOC="F",FANDISCHARGELOC="R")),CO4,IF(OR(FANCLASS=1,FANCLASS=2),BE4, IF(FANCLASS=3,CP4))))</f>
        <v>10.25</v>
      </c>
      <c r="O4" s="27">
        <f t="shared" ref="O4:O22" si="4">IF(OR(FANDISCHARGELOC="F",FANDISCHARGELOC="R",FANDISCHARGELOC="T",FANDISCHARGELOC="TI"),Y4-1.5,IF(OR(FANDISCHARGELOC="B",FANDISCHARGELOC="BI",FANDISCHARGELOC="FI",FANDISCHARGELOC="RI"),Y4-((TAN(60*PI()/180))*(W4-R4/2))-3))</f>
        <v>11.44</v>
      </c>
      <c r="P4" s="27">
        <f t="shared" ref="P4:P22" si="5">IF(OR(FANDISCHARGELOC="F",FANDISCHARGELOC="R"),O4-AL4/2+I4,IF(OR(FANDISCHARGELOC="FI",FANDISCHARGELOC="RI"),O4-(AR4+0.5),IF(OR(FANDISCHARGELOC="T",FANDISCHARGELOC="TI",FANDISCHARGELOC="B",FANDISCHARGELOC="BI"),O4-(AR4+2))))</f>
        <v>5.1899999999999995</v>
      </c>
      <c r="Q4" s="27">
        <f t="shared" ref="Q4:X22" si="6">IF(OR(FANCLASS=1,FANCLASS=2),BF4, IF(FANCLASS=3,CQ4))</f>
        <v>1</v>
      </c>
      <c r="R4" s="27">
        <f t="shared" si="6"/>
        <v>18.5</v>
      </c>
      <c r="S4" s="27">
        <f t="shared" si="6"/>
        <v>7.0000000000000007E-2</v>
      </c>
      <c r="T4" s="27">
        <f t="shared" si="6"/>
        <v>7.0000000000000007E-2</v>
      </c>
      <c r="U4" s="212">
        <f t="shared" si="6"/>
        <v>9.875</v>
      </c>
      <c r="V4" s="212">
        <f t="shared" si="6"/>
        <v>20.5</v>
      </c>
      <c r="W4" s="27">
        <f t="shared" si="6"/>
        <v>10.56</v>
      </c>
      <c r="X4" s="27">
        <f t="shared" si="6"/>
        <v>9.25</v>
      </c>
      <c r="Y4" s="27">
        <f t="shared" ref="Y4:Y22" si="7">IF(AND(OR(FANCLASS=1,FANCLASS=2),OR(FANDISCHARGELOC="F",FANDISCHARGELOC="R")),BN4, IF(AND(FANCLASS=3,OR(FANDISCHARGELOC="F",FANDISCHARGELOC="R")),CY4,IF(OR(FANCLASS=1,FANCLASS=2),BO4, IF(FANCLASS=3,CZ4))))</f>
        <v>12.94</v>
      </c>
      <c r="Z4" s="27">
        <f t="shared" ref="Z4:Z22" si="8">IF(FANCLASS=1,BP4,IF(FANCLASS=2,BQ4, IF(FANCLASS=3,DA4)))</f>
        <v>12.38</v>
      </c>
      <c r="AA4" s="27">
        <f t="shared" ref="AA4:AA22" si="9">IF(FANCLASS=1,BZ4,IF(FANCLASS=2,CA4, IF(FANCLASS=3,DH4)))</f>
        <v>16.25</v>
      </c>
      <c r="AB4" s="27">
        <f t="shared" ref="AB4:AB22" si="10">IF(OR(FANCLASS=1,FANCLASS=2),CB4, IF(FANCLASS=3,DI4))</f>
        <v>6.44</v>
      </c>
      <c r="AC4" s="35">
        <f t="shared" ref="AC4:AC22" si="11">IF(FANCLASS=1,CC4,IF(FANCLASS=2,CD4, IF(FANCLASS=3,DJ4)))</f>
        <v>1.4375</v>
      </c>
      <c r="AD4" s="133">
        <f t="shared" ref="AD4:AD22" si="12">IF(OR(FANCLASS=1,FANCLASS=2),BS4, IF(FANCLASS=3,DC4))</f>
        <v>3</v>
      </c>
      <c r="AE4" s="8">
        <f t="shared" ref="AE4:AE22" si="13">IF(FANCLASS=1,BT4,IF(FANCLASS=2,BU4, IF(FANCLASS=3,DD4)))</f>
        <v>0.38</v>
      </c>
      <c r="AF4" s="145">
        <f t="shared" ref="AF4:AF22" si="14">IF(FANCLASS=1,BV4,IF(FANCLASS=2,BW4, IF(FANCLASS=3,DE4)))</f>
        <v>0.19</v>
      </c>
      <c r="AG4" s="133" t="s">
        <v>519</v>
      </c>
      <c r="AH4" s="27">
        <f t="shared" ref="AH4:AH22" si="15">IF(OR(FANCLASS=1,FANCLASS=2),BR4, IF(FANCLASS=3,DB4))</f>
        <v>9.6300000000000008</v>
      </c>
      <c r="AI4" s="8">
        <f t="shared" ref="AI4:AJ22" si="16">IF(OR(FANCLASS=1,FANCLASS=2),BX4, IF(FANCLASS=3,DF4))</f>
        <v>6.75</v>
      </c>
      <c r="AJ4" s="8">
        <f t="shared" si="16"/>
        <v>0.63</v>
      </c>
      <c r="AK4" s="385">
        <f t="shared" ref="AK4:AK22" si="17">U4-AI4</f>
        <v>3.125</v>
      </c>
      <c r="AL4" s="133">
        <f t="shared" ref="AL4:AL22" si="18">R4-I4*2</f>
        <v>15.5</v>
      </c>
      <c r="AM4" s="8">
        <f t="shared" ref="AM4:AM22" si="19">D4*0.78</f>
        <v>9.516</v>
      </c>
      <c r="AN4" s="22">
        <f t="shared" ref="AN4:AN22" si="20">H4*0.65</f>
        <v>11.375</v>
      </c>
      <c r="AO4" s="157">
        <f>1.25</f>
        <v>1.25</v>
      </c>
      <c r="AP4" s="118">
        <f t="shared" ref="AP4:AP22" si="21">IF(FANCLASS=1,CE4,IF(FANCLASS=2,CF4, IF(FANCLASS=3,DK4)))</f>
        <v>2.5</v>
      </c>
      <c r="AQ4" s="50">
        <v>0.375</v>
      </c>
      <c r="AR4" s="22">
        <f t="shared" ref="AR4:AR22" si="22">AC4*1.5</f>
        <v>2.15625</v>
      </c>
      <c r="AS4" s="157">
        <f t="shared" ref="AS4:AS22" si="23">AP4-0.5</f>
        <v>2</v>
      </c>
      <c r="AT4" s="116">
        <f t="shared" ref="AT4:AT22" si="24">AR4+0.125</f>
        <v>2.28125</v>
      </c>
      <c r="AV4" s="235" t="s">
        <v>423</v>
      </c>
      <c r="AW4" s="297" t="s">
        <v>2059</v>
      </c>
      <c r="AX4" s="246">
        <v>13</v>
      </c>
      <c r="AY4" s="35">
        <f t="shared" ref="AY4:AY22" si="25">BK4-BA4*2</f>
        <v>17.5</v>
      </c>
      <c r="AZ4" s="8">
        <v>1.5</v>
      </c>
      <c r="BA4" s="8">
        <v>1.5</v>
      </c>
      <c r="BB4" s="35">
        <v>0.188</v>
      </c>
      <c r="BC4" s="8">
        <v>0.44</v>
      </c>
      <c r="BD4" s="8">
        <v>10.25</v>
      </c>
      <c r="BE4" s="8">
        <v>15</v>
      </c>
      <c r="BF4" s="8">
        <v>1</v>
      </c>
      <c r="BG4" s="8">
        <v>18.5</v>
      </c>
      <c r="BH4" s="35">
        <v>7.0000000000000007E-2</v>
      </c>
      <c r="BI4" s="35">
        <v>7.0000000000000007E-2</v>
      </c>
      <c r="BJ4" s="221">
        <v>9.875</v>
      </c>
      <c r="BK4" s="35">
        <v>20.5</v>
      </c>
      <c r="BL4" s="8">
        <v>10.56</v>
      </c>
      <c r="BM4" s="8">
        <v>9.25</v>
      </c>
      <c r="BN4" s="8">
        <v>12.94</v>
      </c>
      <c r="BO4" s="8">
        <v>9.31</v>
      </c>
      <c r="BP4" s="8">
        <v>11.44</v>
      </c>
      <c r="BQ4" s="8">
        <v>12.38</v>
      </c>
      <c r="BR4" s="8">
        <v>9.6300000000000008</v>
      </c>
      <c r="BS4" s="8">
        <v>3</v>
      </c>
      <c r="BT4" s="8">
        <v>0.25</v>
      </c>
      <c r="BU4" s="8">
        <v>0.38</v>
      </c>
      <c r="BV4" s="8">
        <v>0.13</v>
      </c>
      <c r="BW4" s="8">
        <v>0.19</v>
      </c>
      <c r="BX4" s="8">
        <v>6.75</v>
      </c>
      <c r="BY4" s="8">
        <v>0.63</v>
      </c>
      <c r="BZ4" s="8">
        <v>15.25</v>
      </c>
      <c r="CA4" s="8">
        <v>16.25</v>
      </c>
      <c r="CB4" s="8">
        <v>6.44</v>
      </c>
      <c r="CC4" s="893">
        <v>1.1875</v>
      </c>
      <c r="CD4" s="894">
        <v>1.4375</v>
      </c>
      <c r="CE4" s="8">
        <f t="shared" ref="CE4:CE6" si="26">BA4+1</f>
        <v>2.5</v>
      </c>
      <c r="CF4" s="145">
        <f t="shared" ref="CF4:CF8" si="27">BA4+1</f>
        <v>2.5</v>
      </c>
      <c r="CH4" s="235" t="s">
        <v>2059</v>
      </c>
      <c r="CI4" s="234">
        <v>13.13</v>
      </c>
      <c r="CJ4" s="35">
        <f t="shared" ref="CJ4:CJ22" si="28">CV4-CL4*2</f>
        <v>17.63</v>
      </c>
      <c r="CK4" s="3">
        <v>1.5</v>
      </c>
      <c r="CL4" s="3">
        <v>2</v>
      </c>
      <c r="CM4" s="22">
        <v>0.188</v>
      </c>
      <c r="CN4" s="3">
        <v>0.44</v>
      </c>
      <c r="CO4" s="3">
        <v>10.25</v>
      </c>
      <c r="CP4" s="3">
        <v>15.5</v>
      </c>
      <c r="CQ4" s="3">
        <v>1.25</v>
      </c>
      <c r="CR4" s="3">
        <v>18.63</v>
      </c>
      <c r="CS4" s="22">
        <v>0.126</v>
      </c>
      <c r="CT4" s="22">
        <v>0.126</v>
      </c>
      <c r="CU4" s="22">
        <v>9.875</v>
      </c>
      <c r="CV4" s="22">
        <v>21.63</v>
      </c>
      <c r="CW4" s="3">
        <v>10.63</v>
      </c>
      <c r="CX4" s="3">
        <v>9.75</v>
      </c>
      <c r="CY4" s="3">
        <f>14.25-CQ4</f>
        <v>13</v>
      </c>
      <c r="CZ4" s="3">
        <v>9.3800000000000008</v>
      </c>
      <c r="DA4" s="3">
        <v>12.56</v>
      </c>
      <c r="DB4" s="3">
        <v>9.94</v>
      </c>
      <c r="DC4" s="3">
        <v>3.5</v>
      </c>
      <c r="DD4" s="3">
        <v>0.5</v>
      </c>
      <c r="DE4" s="3">
        <v>0.25</v>
      </c>
      <c r="DF4" s="3">
        <v>6.5</v>
      </c>
      <c r="DG4" s="3">
        <v>0.88</v>
      </c>
      <c r="DH4" s="3">
        <v>17.059999999999999</v>
      </c>
      <c r="DI4" s="3">
        <v>6.44</v>
      </c>
      <c r="DJ4" s="893">
        <v>1.9375</v>
      </c>
      <c r="DK4" s="145">
        <f t="shared" ref="DK4:DK5" si="29">CL4+1</f>
        <v>3</v>
      </c>
    </row>
    <row r="5" spans="2:115" s="23" customFormat="1" ht="12.75" customHeight="1" x14ac:dyDescent="0.2">
      <c r="B5" s="941"/>
      <c r="C5" s="403" t="s">
        <v>1634</v>
      </c>
      <c r="D5" s="439">
        <f t="shared" si="0"/>
        <v>13.5</v>
      </c>
      <c r="E5" s="364" t="s">
        <v>1668</v>
      </c>
      <c r="F5" s="331" t="str">
        <f t="shared" si="1"/>
        <v>254T</v>
      </c>
      <c r="G5" s="361">
        <f t="shared" si="2"/>
        <v>14.31</v>
      </c>
      <c r="H5" s="339">
        <f t="shared" si="2"/>
        <v>19.5</v>
      </c>
      <c r="I5" s="3">
        <f t="shared" si="2"/>
        <v>1.5</v>
      </c>
      <c r="J5" s="50">
        <f t="shared" si="2"/>
        <v>1.5</v>
      </c>
      <c r="K5" s="418">
        <f t="shared" si="2"/>
        <v>0.188</v>
      </c>
      <c r="L5" s="3">
        <f t="shared" si="2"/>
        <v>0.44</v>
      </c>
      <c r="M5" s="50">
        <v>0.375</v>
      </c>
      <c r="N5" s="50">
        <f t="shared" si="3"/>
        <v>11.25</v>
      </c>
      <c r="O5" s="50">
        <f t="shared" si="4"/>
        <v>12.75</v>
      </c>
      <c r="P5" s="50">
        <f t="shared" si="5"/>
        <v>5.875</v>
      </c>
      <c r="Q5" s="50">
        <f t="shared" si="6"/>
        <v>1</v>
      </c>
      <c r="R5" s="3">
        <f t="shared" si="6"/>
        <v>19.75</v>
      </c>
      <c r="S5" s="3">
        <f t="shared" si="6"/>
        <v>7.0000000000000007E-2</v>
      </c>
      <c r="T5" s="3">
        <f t="shared" si="6"/>
        <v>7.0000000000000007E-2</v>
      </c>
      <c r="U5" s="181">
        <f t="shared" si="6"/>
        <v>10.5</v>
      </c>
      <c r="V5" s="22">
        <f t="shared" si="6"/>
        <v>22.5</v>
      </c>
      <c r="W5" s="3">
        <f t="shared" si="6"/>
        <v>11.63</v>
      </c>
      <c r="X5" s="3">
        <f t="shared" si="6"/>
        <v>10.25</v>
      </c>
      <c r="Y5" s="50">
        <f t="shared" si="7"/>
        <v>14.25</v>
      </c>
      <c r="Z5" s="50">
        <f t="shared" si="8"/>
        <v>13.38</v>
      </c>
      <c r="AA5" s="50">
        <f t="shared" si="9"/>
        <v>17.25</v>
      </c>
      <c r="AB5" s="50">
        <f t="shared" si="10"/>
        <v>7.13</v>
      </c>
      <c r="AC5" s="22">
        <f t="shared" si="11"/>
        <v>1.6875</v>
      </c>
      <c r="AD5" s="118">
        <f t="shared" si="12"/>
        <v>3</v>
      </c>
      <c r="AE5" s="3">
        <f t="shared" si="13"/>
        <v>3.8</v>
      </c>
      <c r="AF5" s="116">
        <f t="shared" si="14"/>
        <v>0.19</v>
      </c>
      <c r="AG5" s="118" t="s">
        <v>519</v>
      </c>
      <c r="AH5" s="50">
        <f t="shared" si="15"/>
        <v>10.63</v>
      </c>
      <c r="AI5" s="3">
        <f t="shared" si="16"/>
        <v>7.38</v>
      </c>
      <c r="AJ5" s="157">
        <f t="shared" si="16"/>
        <v>0.63</v>
      </c>
      <c r="AK5" s="286">
        <f t="shared" si="17"/>
        <v>3.12</v>
      </c>
      <c r="AL5" s="118">
        <f t="shared" si="18"/>
        <v>16.75</v>
      </c>
      <c r="AM5" s="3">
        <f t="shared" si="19"/>
        <v>10.530000000000001</v>
      </c>
      <c r="AN5" s="22">
        <f t="shared" si="20"/>
        <v>12.675000000000001</v>
      </c>
      <c r="AO5" s="157">
        <v>1.25</v>
      </c>
      <c r="AP5" s="118">
        <f t="shared" si="21"/>
        <v>2.5</v>
      </c>
      <c r="AQ5" s="50">
        <v>0.375</v>
      </c>
      <c r="AR5" s="22">
        <f t="shared" si="22"/>
        <v>2.53125</v>
      </c>
      <c r="AS5" s="157">
        <f t="shared" si="23"/>
        <v>2</v>
      </c>
      <c r="AT5" s="116">
        <f t="shared" si="24"/>
        <v>2.65625</v>
      </c>
      <c r="AV5" s="210" t="s">
        <v>423</v>
      </c>
      <c r="AW5" s="326" t="s">
        <v>2059</v>
      </c>
      <c r="AX5" s="234">
        <v>14.31</v>
      </c>
      <c r="AY5" s="22">
        <f t="shared" si="25"/>
        <v>19.5</v>
      </c>
      <c r="AZ5" s="3">
        <v>1.5</v>
      </c>
      <c r="BA5" s="3">
        <v>1.5</v>
      </c>
      <c r="BB5" s="22">
        <v>0.188</v>
      </c>
      <c r="BC5" s="3">
        <v>0.44</v>
      </c>
      <c r="BD5" s="3">
        <v>11.25</v>
      </c>
      <c r="BE5" s="3">
        <v>16.25</v>
      </c>
      <c r="BF5" s="3">
        <v>1</v>
      </c>
      <c r="BG5" s="3">
        <v>19.75</v>
      </c>
      <c r="BH5" s="22">
        <v>7.0000000000000007E-2</v>
      </c>
      <c r="BI5" s="22">
        <v>7.0000000000000007E-2</v>
      </c>
      <c r="BJ5" s="181">
        <v>10.5</v>
      </c>
      <c r="BK5" s="22">
        <v>22.5</v>
      </c>
      <c r="BL5" s="3">
        <v>11.63</v>
      </c>
      <c r="BM5" s="3">
        <v>10.25</v>
      </c>
      <c r="BN5" s="3">
        <v>14.25</v>
      </c>
      <c r="BO5" s="3">
        <v>10.25</v>
      </c>
      <c r="BP5" s="3">
        <v>12.44</v>
      </c>
      <c r="BQ5" s="3">
        <v>13.38</v>
      </c>
      <c r="BR5" s="3">
        <v>10.63</v>
      </c>
      <c r="BS5" s="3">
        <v>3</v>
      </c>
      <c r="BT5" s="3">
        <v>0.25</v>
      </c>
      <c r="BU5" s="3">
        <v>3.8</v>
      </c>
      <c r="BV5" s="3">
        <v>0.13</v>
      </c>
      <c r="BW5" s="3">
        <v>0.19</v>
      </c>
      <c r="BX5" s="3">
        <v>7.38</v>
      </c>
      <c r="BY5" s="3">
        <v>0.63</v>
      </c>
      <c r="BZ5" s="3">
        <v>16.25</v>
      </c>
      <c r="CA5" s="3">
        <v>17.25</v>
      </c>
      <c r="CB5" s="3">
        <v>7.13</v>
      </c>
      <c r="CC5" s="895">
        <v>1.1875</v>
      </c>
      <c r="CD5" s="896">
        <v>1.6875</v>
      </c>
      <c r="CE5" s="3">
        <f t="shared" si="26"/>
        <v>2.5</v>
      </c>
      <c r="CF5" s="116">
        <f t="shared" si="27"/>
        <v>2.5</v>
      </c>
      <c r="CH5" s="210" t="s">
        <v>2059</v>
      </c>
      <c r="CI5" s="234">
        <v>14.44</v>
      </c>
      <c r="CJ5" s="22">
        <f t="shared" si="28"/>
        <v>19.63</v>
      </c>
      <c r="CK5" s="3">
        <v>1.5</v>
      </c>
      <c r="CL5" s="3">
        <v>2</v>
      </c>
      <c r="CM5" s="22">
        <v>0.188</v>
      </c>
      <c r="CN5" s="3">
        <v>0.44</v>
      </c>
      <c r="CO5" s="3">
        <v>11.25</v>
      </c>
      <c r="CP5" s="3">
        <v>16.75</v>
      </c>
      <c r="CQ5" s="3">
        <v>1.25</v>
      </c>
      <c r="CR5" s="3">
        <v>19.88</v>
      </c>
      <c r="CS5" s="22">
        <v>0.126</v>
      </c>
      <c r="CT5" s="22">
        <v>0.126</v>
      </c>
      <c r="CU5" s="22">
        <v>10.5</v>
      </c>
      <c r="CV5" s="22">
        <v>23.63</v>
      </c>
      <c r="CW5" s="3">
        <v>11.69</v>
      </c>
      <c r="CX5" s="3">
        <v>10.75</v>
      </c>
      <c r="CY5" s="3">
        <f>15.56-CQ5</f>
        <v>14.31</v>
      </c>
      <c r="CZ5" s="3">
        <v>10.31</v>
      </c>
      <c r="DA5" s="3">
        <v>13.56</v>
      </c>
      <c r="DB5" s="3">
        <v>10.94</v>
      </c>
      <c r="DC5" s="3">
        <v>4</v>
      </c>
      <c r="DD5" s="3">
        <v>0.5</v>
      </c>
      <c r="DE5" s="3">
        <v>0.25</v>
      </c>
      <c r="DF5" s="3">
        <v>7.13</v>
      </c>
      <c r="DG5" s="3">
        <v>0.88</v>
      </c>
      <c r="DH5" s="3">
        <v>18.559999999999999</v>
      </c>
      <c r="DI5" s="3">
        <v>7.13</v>
      </c>
      <c r="DJ5" s="895">
        <v>1.9375</v>
      </c>
      <c r="DK5" s="116">
        <f t="shared" si="29"/>
        <v>3</v>
      </c>
    </row>
    <row r="6" spans="2:115" s="23" customFormat="1" x14ac:dyDescent="0.2">
      <c r="B6" s="942"/>
      <c r="C6" s="298" t="s">
        <v>2031</v>
      </c>
      <c r="D6" s="438">
        <f t="shared" si="0"/>
        <v>15</v>
      </c>
      <c r="E6" s="315" t="s">
        <v>1668</v>
      </c>
      <c r="F6" s="366" t="str">
        <f t="shared" si="1"/>
        <v>256T</v>
      </c>
      <c r="G6" s="320">
        <f t="shared" si="2"/>
        <v>15.88</v>
      </c>
      <c r="H6" s="300">
        <f t="shared" si="2"/>
        <v>21.5</v>
      </c>
      <c r="I6" s="7">
        <f t="shared" si="2"/>
        <v>1.5</v>
      </c>
      <c r="J6" s="44">
        <f t="shared" si="2"/>
        <v>1.5</v>
      </c>
      <c r="K6" s="345">
        <f t="shared" si="2"/>
        <v>0.188</v>
      </c>
      <c r="L6" s="7">
        <f t="shared" si="2"/>
        <v>0.44</v>
      </c>
      <c r="M6" s="44">
        <v>0.375</v>
      </c>
      <c r="N6" s="44">
        <f t="shared" si="3"/>
        <v>12.25</v>
      </c>
      <c r="O6" s="44">
        <f t="shared" si="4"/>
        <v>14.31</v>
      </c>
      <c r="P6" s="44">
        <f t="shared" si="5"/>
        <v>6.5600000000000005</v>
      </c>
      <c r="Q6" s="44">
        <f t="shared" si="6"/>
        <v>1</v>
      </c>
      <c r="R6" s="7">
        <f t="shared" si="6"/>
        <v>21.5</v>
      </c>
      <c r="S6" s="7">
        <f t="shared" si="6"/>
        <v>7.0000000000000007E-2</v>
      </c>
      <c r="T6" s="7">
        <f t="shared" si="6"/>
        <v>7.0000000000000007E-2</v>
      </c>
      <c r="U6" s="180">
        <f t="shared" si="6"/>
        <v>11.375</v>
      </c>
      <c r="V6" s="25">
        <f t="shared" si="6"/>
        <v>24.5</v>
      </c>
      <c r="W6" s="7">
        <f t="shared" si="6"/>
        <v>12.88</v>
      </c>
      <c r="X6" s="7">
        <f t="shared" si="6"/>
        <v>11.44</v>
      </c>
      <c r="Y6" s="44">
        <f t="shared" si="7"/>
        <v>15.81</v>
      </c>
      <c r="Z6" s="44">
        <f t="shared" si="8"/>
        <v>14.38</v>
      </c>
      <c r="AA6" s="44">
        <f t="shared" si="9"/>
        <v>18.75</v>
      </c>
      <c r="AB6" s="44">
        <f t="shared" si="10"/>
        <v>7.88</v>
      </c>
      <c r="AC6" s="25">
        <f t="shared" si="11"/>
        <v>1.6875</v>
      </c>
      <c r="AD6" s="130">
        <f t="shared" si="12"/>
        <v>3.5</v>
      </c>
      <c r="AE6" s="7">
        <f t="shared" si="13"/>
        <v>0.38</v>
      </c>
      <c r="AF6" s="117">
        <f t="shared" si="14"/>
        <v>0.19</v>
      </c>
      <c r="AG6" s="130" t="s">
        <v>519</v>
      </c>
      <c r="AH6" s="44">
        <f t="shared" si="15"/>
        <v>11.63</v>
      </c>
      <c r="AI6" s="7">
        <f t="shared" si="16"/>
        <v>8.25</v>
      </c>
      <c r="AJ6" s="158">
        <f t="shared" si="16"/>
        <v>0.63</v>
      </c>
      <c r="AK6" s="382">
        <f t="shared" si="17"/>
        <v>3.125</v>
      </c>
      <c r="AL6" s="130">
        <f t="shared" si="18"/>
        <v>18.5</v>
      </c>
      <c r="AM6" s="7">
        <f t="shared" si="19"/>
        <v>11.700000000000001</v>
      </c>
      <c r="AN6" s="25">
        <f t="shared" si="20"/>
        <v>13.975</v>
      </c>
      <c r="AO6" s="158">
        <v>1.25</v>
      </c>
      <c r="AP6" s="130">
        <f t="shared" si="21"/>
        <v>2.5</v>
      </c>
      <c r="AQ6" s="44">
        <v>0.375</v>
      </c>
      <c r="AR6" s="25">
        <f t="shared" si="22"/>
        <v>2.53125</v>
      </c>
      <c r="AS6" s="158">
        <f t="shared" si="23"/>
        <v>2</v>
      </c>
      <c r="AT6" s="117">
        <f t="shared" si="24"/>
        <v>2.65625</v>
      </c>
      <c r="AV6" s="210" t="s">
        <v>1521</v>
      </c>
      <c r="AW6" s="326" t="s">
        <v>1100</v>
      </c>
      <c r="AX6" s="217">
        <v>15.88</v>
      </c>
      <c r="AY6" s="22">
        <f t="shared" si="25"/>
        <v>21.5</v>
      </c>
      <c r="AZ6" s="7">
        <v>1.5</v>
      </c>
      <c r="BA6" s="7">
        <v>1.5</v>
      </c>
      <c r="BB6" s="25">
        <v>0.188</v>
      </c>
      <c r="BC6" s="7">
        <v>0.44</v>
      </c>
      <c r="BD6" s="3">
        <v>12.25</v>
      </c>
      <c r="BE6" s="3">
        <v>18</v>
      </c>
      <c r="BF6" s="3">
        <v>1</v>
      </c>
      <c r="BG6" s="7">
        <v>21.5</v>
      </c>
      <c r="BH6" s="25">
        <v>7.0000000000000007E-2</v>
      </c>
      <c r="BI6" s="25">
        <v>7.0000000000000007E-2</v>
      </c>
      <c r="BJ6" s="180">
        <v>11.375</v>
      </c>
      <c r="BK6" s="25">
        <v>24.5</v>
      </c>
      <c r="BL6" s="7">
        <v>12.88</v>
      </c>
      <c r="BM6" s="7">
        <v>11.44</v>
      </c>
      <c r="BN6" s="7">
        <v>15.81</v>
      </c>
      <c r="BO6" s="7">
        <v>11.38</v>
      </c>
      <c r="BP6" s="7">
        <v>14.38</v>
      </c>
      <c r="BQ6" s="7">
        <v>14.38</v>
      </c>
      <c r="BR6" s="7">
        <v>11.63</v>
      </c>
      <c r="BS6" s="7">
        <v>3.5</v>
      </c>
      <c r="BT6" s="7">
        <v>0.38</v>
      </c>
      <c r="BU6" s="7">
        <v>0.38</v>
      </c>
      <c r="BV6" s="7">
        <v>0.19</v>
      </c>
      <c r="BW6" s="7">
        <v>0.19</v>
      </c>
      <c r="BX6" s="7">
        <v>8.25</v>
      </c>
      <c r="BY6" s="7">
        <v>0.63</v>
      </c>
      <c r="BZ6" s="7">
        <v>18.75</v>
      </c>
      <c r="CA6" s="7">
        <v>18.75</v>
      </c>
      <c r="CB6" s="7">
        <v>7.88</v>
      </c>
      <c r="CC6" s="897">
        <v>1.4375</v>
      </c>
      <c r="CD6" s="898">
        <v>1.6875</v>
      </c>
      <c r="CE6" s="7">
        <f t="shared" si="26"/>
        <v>2.5</v>
      </c>
      <c r="CF6" s="117">
        <f t="shared" si="27"/>
        <v>2.5</v>
      </c>
      <c r="CH6" s="210" t="s">
        <v>1100</v>
      </c>
      <c r="CI6" s="217">
        <v>16</v>
      </c>
      <c r="CJ6" s="25">
        <f t="shared" si="28"/>
        <v>21.63</v>
      </c>
      <c r="CK6" s="7">
        <v>1.5</v>
      </c>
      <c r="CL6" s="7">
        <v>2</v>
      </c>
      <c r="CM6" s="25">
        <v>0.188</v>
      </c>
      <c r="CN6" s="7">
        <v>0.44</v>
      </c>
      <c r="CO6" s="7">
        <v>12.25</v>
      </c>
      <c r="CP6" s="7">
        <v>18.5</v>
      </c>
      <c r="CQ6" s="7">
        <v>1.25</v>
      </c>
      <c r="CR6" s="7">
        <v>21.63</v>
      </c>
      <c r="CS6" s="25">
        <v>0.126</v>
      </c>
      <c r="CT6" s="25">
        <v>0.126</v>
      </c>
      <c r="CU6" s="25">
        <v>11.375</v>
      </c>
      <c r="CV6" s="25">
        <v>25.63</v>
      </c>
      <c r="CW6" s="7">
        <v>12.94</v>
      </c>
      <c r="CX6" s="7">
        <v>11.94</v>
      </c>
      <c r="CY6" s="7">
        <f>17.13-CQ6</f>
        <v>15.879999999999999</v>
      </c>
      <c r="CZ6" s="7">
        <v>11.44</v>
      </c>
      <c r="DA6" s="7">
        <v>15.13</v>
      </c>
      <c r="DB6" s="7">
        <v>11.94</v>
      </c>
      <c r="DC6" s="7">
        <v>4</v>
      </c>
      <c r="DD6" s="7">
        <v>0.5</v>
      </c>
      <c r="DE6" s="7">
        <v>0.25</v>
      </c>
      <c r="DF6" s="7">
        <v>8</v>
      </c>
      <c r="DG6" s="7">
        <v>0.88</v>
      </c>
      <c r="DH6" s="7">
        <v>20.13</v>
      </c>
      <c r="DI6" s="7">
        <v>7.88</v>
      </c>
      <c r="DJ6" s="897">
        <v>2.1875</v>
      </c>
      <c r="DK6" s="117">
        <f t="shared" ref="DK6:DK9" si="30">CL6+1.5</f>
        <v>3.5</v>
      </c>
    </row>
    <row r="7" spans="2:115" s="23" customFormat="1" x14ac:dyDescent="0.2">
      <c r="B7" s="942"/>
      <c r="C7" s="298" t="s">
        <v>520</v>
      </c>
      <c r="D7" s="438">
        <f t="shared" si="0"/>
        <v>16.5</v>
      </c>
      <c r="E7" s="315" t="s">
        <v>1668</v>
      </c>
      <c r="F7" s="366" t="str">
        <f t="shared" si="1"/>
        <v>256T</v>
      </c>
      <c r="G7" s="320">
        <f t="shared" si="2"/>
        <v>17.440000000000001</v>
      </c>
      <c r="H7" s="300">
        <f t="shared" si="2"/>
        <v>23.625</v>
      </c>
      <c r="I7" s="7">
        <f t="shared" si="2"/>
        <v>1.5</v>
      </c>
      <c r="J7" s="44">
        <f t="shared" si="2"/>
        <v>2</v>
      </c>
      <c r="K7" s="345">
        <f t="shared" si="2"/>
        <v>0.188</v>
      </c>
      <c r="L7" s="7">
        <f t="shared" si="2"/>
        <v>0.44</v>
      </c>
      <c r="M7" s="44">
        <v>0.375</v>
      </c>
      <c r="N7" s="44">
        <f t="shared" si="3"/>
        <v>13.5</v>
      </c>
      <c r="O7" s="44">
        <f t="shared" si="4"/>
        <v>15.879999999999999</v>
      </c>
      <c r="P7" s="44">
        <f t="shared" si="5"/>
        <v>6.754999999999999</v>
      </c>
      <c r="Q7" s="44">
        <f t="shared" si="6"/>
        <v>1</v>
      </c>
      <c r="R7" s="7">
        <f t="shared" si="6"/>
        <v>24.25</v>
      </c>
      <c r="S7" s="7">
        <f t="shared" si="6"/>
        <v>7.0000000000000007E-2</v>
      </c>
      <c r="T7" s="7">
        <f t="shared" si="6"/>
        <v>7.0000000000000007E-2</v>
      </c>
      <c r="U7" s="180">
        <f t="shared" si="6"/>
        <v>12.125</v>
      </c>
      <c r="V7" s="25">
        <f t="shared" si="6"/>
        <v>27.625</v>
      </c>
      <c r="W7" s="7">
        <f t="shared" si="6"/>
        <v>14.13</v>
      </c>
      <c r="X7" s="7">
        <f t="shared" si="6"/>
        <v>12.63</v>
      </c>
      <c r="Y7" s="44">
        <f t="shared" si="7"/>
        <v>17.38</v>
      </c>
      <c r="Z7" s="44">
        <f t="shared" si="8"/>
        <v>15.56</v>
      </c>
      <c r="AA7" s="44">
        <f t="shared" si="9"/>
        <v>20.059999999999999</v>
      </c>
      <c r="AB7" s="44">
        <f t="shared" si="10"/>
        <v>8.69</v>
      </c>
      <c r="AC7" s="25">
        <f t="shared" si="11"/>
        <v>1.9375</v>
      </c>
      <c r="AD7" s="130">
        <f t="shared" si="12"/>
        <v>3.5</v>
      </c>
      <c r="AE7" s="7">
        <f t="shared" si="13"/>
        <v>0.5</v>
      </c>
      <c r="AF7" s="117">
        <f t="shared" si="14"/>
        <v>0.25</v>
      </c>
      <c r="AG7" s="130" t="s">
        <v>519</v>
      </c>
      <c r="AH7" s="44">
        <f t="shared" si="15"/>
        <v>12.94</v>
      </c>
      <c r="AI7" s="7">
        <f t="shared" si="16"/>
        <v>8.75</v>
      </c>
      <c r="AJ7" s="158">
        <f t="shared" si="16"/>
        <v>0.88</v>
      </c>
      <c r="AK7" s="382">
        <f t="shared" si="17"/>
        <v>3.375</v>
      </c>
      <c r="AL7" s="130">
        <f t="shared" si="18"/>
        <v>21.25</v>
      </c>
      <c r="AM7" s="7">
        <f t="shared" si="19"/>
        <v>12.870000000000001</v>
      </c>
      <c r="AN7" s="25">
        <f t="shared" si="20"/>
        <v>15.356250000000001</v>
      </c>
      <c r="AO7" s="158">
        <v>1.25</v>
      </c>
      <c r="AP7" s="130">
        <f t="shared" si="21"/>
        <v>3</v>
      </c>
      <c r="AQ7" s="44">
        <v>0.375</v>
      </c>
      <c r="AR7" s="25">
        <f t="shared" si="22"/>
        <v>2.90625</v>
      </c>
      <c r="AS7" s="158">
        <f t="shared" si="23"/>
        <v>2.5</v>
      </c>
      <c r="AT7" s="117">
        <f t="shared" si="24"/>
        <v>3.03125</v>
      </c>
      <c r="AV7" s="210" t="s">
        <v>1521</v>
      </c>
      <c r="AW7" s="326" t="s">
        <v>1100</v>
      </c>
      <c r="AX7" s="217">
        <v>17.440000000000001</v>
      </c>
      <c r="AY7" s="22">
        <f t="shared" si="25"/>
        <v>23.625</v>
      </c>
      <c r="AZ7" s="7">
        <v>1.5</v>
      </c>
      <c r="BA7" s="7">
        <v>2</v>
      </c>
      <c r="BB7" s="25">
        <v>0.188</v>
      </c>
      <c r="BC7" s="7">
        <v>0.44</v>
      </c>
      <c r="BD7" s="3">
        <v>13.5</v>
      </c>
      <c r="BE7" s="3">
        <v>19.5</v>
      </c>
      <c r="BF7" s="3">
        <v>1</v>
      </c>
      <c r="BG7" s="7">
        <v>24.25</v>
      </c>
      <c r="BH7" s="25">
        <v>7.0000000000000007E-2</v>
      </c>
      <c r="BI7" s="25">
        <v>7.0000000000000007E-2</v>
      </c>
      <c r="BJ7" s="180">
        <f t="shared" ref="BJ7:BJ22" si="31">BG7/2</f>
        <v>12.125</v>
      </c>
      <c r="BK7" s="25">
        <v>27.625</v>
      </c>
      <c r="BL7" s="7">
        <v>14.13</v>
      </c>
      <c r="BM7" s="7">
        <v>12.63</v>
      </c>
      <c r="BN7" s="7">
        <v>17.38</v>
      </c>
      <c r="BO7" s="7">
        <v>12.5</v>
      </c>
      <c r="BP7" s="7">
        <v>15.44</v>
      </c>
      <c r="BQ7" s="7">
        <v>15.56</v>
      </c>
      <c r="BR7" s="7">
        <v>12.94</v>
      </c>
      <c r="BS7" s="7">
        <v>3.5</v>
      </c>
      <c r="BT7" s="7">
        <v>0.38</v>
      </c>
      <c r="BU7" s="7">
        <v>0.5</v>
      </c>
      <c r="BV7" s="7">
        <v>0.19</v>
      </c>
      <c r="BW7" s="7">
        <v>0.25</v>
      </c>
      <c r="BX7" s="7">
        <v>8.75</v>
      </c>
      <c r="BY7" s="7">
        <v>0.88</v>
      </c>
      <c r="BZ7" s="7">
        <v>19.809999999999999</v>
      </c>
      <c r="CA7" s="7">
        <v>20.059999999999999</v>
      </c>
      <c r="CB7" s="7">
        <v>8.69</v>
      </c>
      <c r="CC7" s="897">
        <v>1.4375</v>
      </c>
      <c r="CD7" s="898">
        <v>1.9375</v>
      </c>
      <c r="CE7" s="7">
        <f t="shared" ref="CE7:CE9" si="32">BA7+0.5</f>
        <v>2.5</v>
      </c>
      <c r="CF7" s="117">
        <f t="shared" si="27"/>
        <v>3</v>
      </c>
      <c r="CH7" s="210" t="s">
        <v>1100</v>
      </c>
      <c r="CI7" s="217">
        <v>17.559999999999999</v>
      </c>
      <c r="CJ7" s="25">
        <f t="shared" si="28"/>
        <v>23.75</v>
      </c>
      <c r="CK7" s="7">
        <v>1.5</v>
      </c>
      <c r="CL7" s="7">
        <v>2</v>
      </c>
      <c r="CM7" s="25">
        <v>0.188</v>
      </c>
      <c r="CN7" s="7">
        <v>0.44</v>
      </c>
      <c r="CO7" s="7">
        <v>13.5</v>
      </c>
      <c r="CP7" s="7">
        <v>19.5</v>
      </c>
      <c r="CQ7" s="7">
        <v>1.25</v>
      </c>
      <c r="CR7" s="7">
        <v>23.13</v>
      </c>
      <c r="CS7" s="25">
        <v>0.126</v>
      </c>
      <c r="CT7" s="25">
        <v>0.126</v>
      </c>
      <c r="CU7" s="25">
        <v>12.125</v>
      </c>
      <c r="CV7" s="25">
        <v>27.75</v>
      </c>
      <c r="CW7" s="7">
        <v>14.19</v>
      </c>
      <c r="CX7" s="7">
        <v>13.13</v>
      </c>
      <c r="CY7" s="7">
        <f>18.69-CQ7</f>
        <v>17.440000000000001</v>
      </c>
      <c r="CZ7" s="7">
        <v>12.56</v>
      </c>
      <c r="DA7" s="7">
        <v>16.190000000000001</v>
      </c>
      <c r="DB7" s="7">
        <v>13</v>
      </c>
      <c r="DC7" s="7">
        <v>4.5</v>
      </c>
      <c r="DD7" s="7">
        <v>0.5</v>
      </c>
      <c r="DE7" s="7">
        <v>0.25</v>
      </c>
      <c r="DF7" s="7">
        <v>8.75</v>
      </c>
      <c r="DG7" s="7">
        <v>0.88</v>
      </c>
      <c r="DH7" s="7">
        <v>21.69</v>
      </c>
      <c r="DI7" s="7">
        <v>8.69</v>
      </c>
      <c r="DJ7" s="897">
        <v>2.1875</v>
      </c>
      <c r="DK7" s="117">
        <f t="shared" si="30"/>
        <v>3.5</v>
      </c>
    </row>
    <row r="8" spans="2:115" s="23" customFormat="1" x14ac:dyDescent="0.2">
      <c r="B8" s="942"/>
      <c r="C8" s="298" t="s">
        <v>2159</v>
      </c>
      <c r="D8" s="438">
        <f t="shared" si="0"/>
        <v>18.2</v>
      </c>
      <c r="E8" s="315" t="s">
        <v>556</v>
      </c>
      <c r="F8" s="366" t="str">
        <f t="shared" si="1"/>
        <v>286T</v>
      </c>
      <c r="G8" s="320">
        <f t="shared" si="2"/>
        <v>19.38</v>
      </c>
      <c r="H8" s="300">
        <f t="shared" si="2"/>
        <v>26</v>
      </c>
      <c r="I8" s="7">
        <f t="shared" si="2"/>
        <v>1.5</v>
      </c>
      <c r="J8" s="44">
        <f t="shared" si="2"/>
        <v>2</v>
      </c>
      <c r="K8" s="345">
        <f t="shared" si="2"/>
        <v>0.188</v>
      </c>
      <c r="L8" s="7">
        <f t="shared" si="2"/>
        <v>0.44</v>
      </c>
      <c r="M8" s="44">
        <v>0.375</v>
      </c>
      <c r="N8" s="44">
        <f t="shared" si="3"/>
        <v>14.75</v>
      </c>
      <c r="O8" s="44">
        <f t="shared" si="4"/>
        <v>17.809999999999999</v>
      </c>
      <c r="P8" s="44">
        <f t="shared" si="5"/>
        <v>7.8099999999999987</v>
      </c>
      <c r="Q8" s="44">
        <f t="shared" si="6"/>
        <v>1.25</v>
      </c>
      <c r="R8" s="7">
        <f t="shared" si="6"/>
        <v>26</v>
      </c>
      <c r="S8" s="7">
        <f t="shared" si="6"/>
        <v>9.7000000000000003E-2</v>
      </c>
      <c r="T8" s="7">
        <f t="shared" si="6"/>
        <v>7.0000000000000007E-2</v>
      </c>
      <c r="U8" s="180">
        <f t="shared" si="6"/>
        <v>13</v>
      </c>
      <c r="V8" s="25">
        <f t="shared" si="6"/>
        <v>30</v>
      </c>
      <c r="W8" s="7">
        <f t="shared" si="6"/>
        <v>15.69</v>
      </c>
      <c r="X8" s="7">
        <f t="shared" si="6"/>
        <v>14</v>
      </c>
      <c r="Y8" s="44">
        <f t="shared" si="7"/>
        <v>19.309999999999999</v>
      </c>
      <c r="Z8" s="44">
        <f t="shared" si="8"/>
        <v>16.75</v>
      </c>
      <c r="AA8" s="44">
        <f t="shared" si="9"/>
        <v>21.75</v>
      </c>
      <c r="AB8" s="44">
        <f t="shared" si="10"/>
        <v>9.6300000000000008</v>
      </c>
      <c r="AC8" s="25">
        <f t="shared" si="11"/>
        <v>1.9375</v>
      </c>
      <c r="AD8" s="130">
        <f t="shared" si="12"/>
        <v>4</v>
      </c>
      <c r="AE8" s="7">
        <f t="shared" si="13"/>
        <v>0.5</v>
      </c>
      <c r="AF8" s="117">
        <f t="shared" si="14"/>
        <v>0.25</v>
      </c>
      <c r="AG8" s="130" t="s">
        <v>519</v>
      </c>
      <c r="AH8" s="44">
        <f t="shared" si="15"/>
        <v>14.13</v>
      </c>
      <c r="AI8" s="7">
        <f t="shared" si="16"/>
        <v>9.6300000000000008</v>
      </c>
      <c r="AJ8" s="158">
        <f t="shared" si="16"/>
        <v>0.88</v>
      </c>
      <c r="AK8" s="382">
        <f t="shared" si="17"/>
        <v>3.3699999999999992</v>
      </c>
      <c r="AL8" s="130">
        <f t="shared" si="18"/>
        <v>23</v>
      </c>
      <c r="AM8" s="7">
        <f t="shared" si="19"/>
        <v>14.196</v>
      </c>
      <c r="AN8" s="25">
        <f t="shared" si="20"/>
        <v>16.900000000000002</v>
      </c>
      <c r="AO8" s="158">
        <v>1.25</v>
      </c>
      <c r="AP8" s="130">
        <f t="shared" si="21"/>
        <v>3</v>
      </c>
      <c r="AQ8" s="44">
        <v>0.375</v>
      </c>
      <c r="AR8" s="25">
        <f t="shared" si="22"/>
        <v>2.90625</v>
      </c>
      <c r="AS8" s="158">
        <f t="shared" si="23"/>
        <v>2.5</v>
      </c>
      <c r="AT8" s="117">
        <f t="shared" si="24"/>
        <v>3.03125</v>
      </c>
      <c r="AV8" s="210" t="s">
        <v>2059</v>
      </c>
      <c r="AW8" s="326" t="s">
        <v>1</v>
      </c>
      <c r="AX8" s="217">
        <v>19.38</v>
      </c>
      <c r="AY8" s="22">
        <f t="shared" si="25"/>
        <v>26</v>
      </c>
      <c r="AZ8" s="7">
        <v>1.5</v>
      </c>
      <c r="BA8" s="7">
        <v>2</v>
      </c>
      <c r="BB8" s="25">
        <v>0.188</v>
      </c>
      <c r="BC8" s="7">
        <v>0.44</v>
      </c>
      <c r="BD8" s="3">
        <v>14.75</v>
      </c>
      <c r="BE8" s="3">
        <v>21.5</v>
      </c>
      <c r="BF8" s="3">
        <v>1.25</v>
      </c>
      <c r="BG8" s="7">
        <v>26</v>
      </c>
      <c r="BH8" s="25">
        <v>9.7000000000000003E-2</v>
      </c>
      <c r="BI8" s="25">
        <v>7.0000000000000007E-2</v>
      </c>
      <c r="BJ8" s="180">
        <f t="shared" si="31"/>
        <v>13</v>
      </c>
      <c r="BK8" s="25">
        <v>30</v>
      </c>
      <c r="BL8" s="7">
        <v>15.69</v>
      </c>
      <c r="BM8" s="7">
        <v>14</v>
      </c>
      <c r="BN8" s="7">
        <v>19.309999999999999</v>
      </c>
      <c r="BO8" s="7">
        <v>13.81</v>
      </c>
      <c r="BP8" s="7">
        <v>16.63</v>
      </c>
      <c r="BQ8" s="7">
        <v>16.75</v>
      </c>
      <c r="BR8" s="7">
        <v>14.13</v>
      </c>
      <c r="BS8" s="7">
        <v>4</v>
      </c>
      <c r="BT8" s="7">
        <v>0.38</v>
      </c>
      <c r="BU8" s="7">
        <v>0.5</v>
      </c>
      <c r="BV8" s="7">
        <v>0.19</v>
      </c>
      <c r="BW8" s="7">
        <v>0.25</v>
      </c>
      <c r="BX8" s="7">
        <v>9.6300000000000008</v>
      </c>
      <c r="BY8" s="7">
        <v>0.88</v>
      </c>
      <c r="BZ8" s="7">
        <v>21.5</v>
      </c>
      <c r="CA8" s="7">
        <v>21.75</v>
      </c>
      <c r="CB8" s="7">
        <v>9.6300000000000008</v>
      </c>
      <c r="CC8" s="897">
        <v>1.6875</v>
      </c>
      <c r="CD8" s="898">
        <v>1.9375</v>
      </c>
      <c r="CE8" s="7">
        <f t="shared" si="32"/>
        <v>2.5</v>
      </c>
      <c r="CF8" s="117">
        <f t="shared" si="27"/>
        <v>3</v>
      </c>
      <c r="CH8" s="210" t="s">
        <v>958</v>
      </c>
      <c r="CI8" s="44">
        <v>19.5</v>
      </c>
      <c r="CJ8" s="22">
        <f t="shared" si="28"/>
        <v>26.13</v>
      </c>
      <c r="CK8" s="7">
        <v>2</v>
      </c>
      <c r="CL8" s="7">
        <v>2</v>
      </c>
      <c r="CM8" s="25">
        <v>0.25</v>
      </c>
      <c r="CN8" s="7">
        <v>0.56000000000000005</v>
      </c>
      <c r="CO8" s="7">
        <v>14.75</v>
      </c>
      <c r="CP8" s="7">
        <v>22</v>
      </c>
      <c r="CQ8" s="7">
        <v>1.25</v>
      </c>
      <c r="CR8" s="7">
        <v>27</v>
      </c>
      <c r="CS8" s="25">
        <v>0.126</v>
      </c>
      <c r="CT8" s="25">
        <v>0.126</v>
      </c>
      <c r="CU8" s="25">
        <f t="shared" ref="CU8:CU22" si="33">CR8/2</f>
        <v>13.5</v>
      </c>
      <c r="CV8" s="25">
        <v>30.13</v>
      </c>
      <c r="CW8" s="7">
        <v>15.75</v>
      </c>
      <c r="CX8" s="7">
        <v>14.5</v>
      </c>
      <c r="CY8" s="7">
        <f>20.63-CQ8</f>
        <v>19.38</v>
      </c>
      <c r="CZ8" s="7">
        <v>13.88</v>
      </c>
      <c r="DA8" s="7">
        <v>17.38</v>
      </c>
      <c r="DB8" s="7">
        <v>14.19</v>
      </c>
      <c r="DC8" s="7">
        <v>4.5</v>
      </c>
      <c r="DD8" s="7">
        <v>0.5</v>
      </c>
      <c r="DE8" s="7">
        <v>0.25</v>
      </c>
      <c r="DF8" s="7">
        <v>9.6300000000000008</v>
      </c>
      <c r="DG8" s="7">
        <v>0.88</v>
      </c>
      <c r="DH8" s="7">
        <v>22.88</v>
      </c>
      <c r="DI8" s="7">
        <v>9.6300000000000008</v>
      </c>
      <c r="DJ8" s="897">
        <v>2.1875</v>
      </c>
      <c r="DK8" s="117">
        <f t="shared" si="30"/>
        <v>3.5</v>
      </c>
    </row>
    <row r="9" spans="2:115" s="23" customFormat="1" x14ac:dyDescent="0.2">
      <c r="B9" s="942"/>
      <c r="C9" s="298" t="s">
        <v>793</v>
      </c>
      <c r="D9" s="438">
        <f t="shared" si="0"/>
        <v>20</v>
      </c>
      <c r="E9" s="315" t="s">
        <v>556</v>
      </c>
      <c r="F9" s="366" t="str">
        <f t="shared" si="1"/>
        <v>286T</v>
      </c>
      <c r="G9" s="320">
        <f t="shared" si="2"/>
        <v>21.19</v>
      </c>
      <c r="H9" s="300">
        <f t="shared" si="2"/>
        <v>28.5</v>
      </c>
      <c r="I9" s="7">
        <f t="shared" si="2"/>
        <v>1.5</v>
      </c>
      <c r="J9" s="44">
        <f t="shared" si="2"/>
        <v>2</v>
      </c>
      <c r="K9" s="345">
        <f t="shared" si="2"/>
        <v>0.188</v>
      </c>
      <c r="L9" s="7">
        <f t="shared" si="2"/>
        <v>0.56000000000000005</v>
      </c>
      <c r="M9" s="44">
        <v>0.5</v>
      </c>
      <c r="N9" s="44">
        <f t="shared" si="3"/>
        <v>16.25</v>
      </c>
      <c r="O9" s="44">
        <f t="shared" si="4"/>
        <v>19.63</v>
      </c>
      <c r="P9" s="44">
        <f t="shared" si="5"/>
        <v>8.629999999999999</v>
      </c>
      <c r="Q9" s="44">
        <f t="shared" si="6"/>
        <v>1.25</v>
      </c>
      <c r="R9" s="7">
        <f t="shared" si="6"/>
        <v>28</v>
      </c>
      <c r="S9" s="7">
        <f t="shared" si="6"/>
        <v>9.7000000000000003E-2</v>
      </c>
      <c r="T9" s="7">
        <f t="shared" si="6"/>
        <v>7.0000000000000007E-2</v>
      </c>
      <c r="U9" s="180">
        <f t="shared" si="6"/>
        <v>14</v>
      </c>
      <c r="V9" s="25">
        <f t="shared" si="6"/>
        <v>32.5</v>
      </c>
      <c r="W9" s="7">
        <f t="shared" si="6"/>
        <v>17.309999999999999</v>
      </c>
      <c r="X9" s="7">
        <f t="shared" si="6"/>
        <v>15.31</v>
      </c>
      <c r="Y9" s="44">
        <f t="shared" si="7"/>
        <v>21.13</v>
      </c>
      <c r="Z9" s="44">
        <f t="shared" si="8"/>
        <v>18.559999999999999</v>
      </c>
      <c r="AA9" s="44">
        <f t="shared" si="9"/>
        <v>23.56</v>
      </c>
      <c r="AB9" s="44">
        <f t="shared" si="10"/>
        <v>10.56</v>
      </c>
      <c r="AC9" s="25">
        <f t="shared" si="11"/>
        <v>2.1875</v>
      </c>
      <c r="AD9" s="130">
        <f t="shared" si="12"/>
        <v>4</v>
      </c>
      <c r="AE9" s="7">
        <f t="shared" si="13"/>
        <v>0.5</v>
      </c>
      <c r="AF9" s="117">
        <f t="shared" si="14"/>
        <v>0.25</v>
      </c>
      <c r="AG9" s="130" t="s">
        <v>519</v>
      </c>
      <c r="AH9" s="44">
        <f t="shared" si="15"/>
        <v>15.38</v>
      </c>
      <c r="AI9" s="7">
        <f t="shared" si="16"/>
        <v>10.63</v>
      </c>
      <c r="AJ9" s="158">
        <f t="shared" si="16"/>
        <v>0.88</v>
      </c>
      <c r="AK9" s="382">
        <f t="shared" si="17"/>
        <v>3.3699999999999992</v>
      </c>
      <c r="AL9" s="130">
        <f t="shared" si="18"/>
        <v>25</v>
      </c>
      <c r="AM9" s="7">
        <f t="shared" si="19"/>
        <v>15.600000000000001</v>
      </c>
      <c r="AN9" s="25">
        <f t="shared" si="20"/>
        <v>18.525000000000002</v>
      </c>
      <c r="AO9" s="158">
        <v>1.25</v>
      </c>
      <c r="AP9" s="130">
        <f t="shared" si="21"/>
        <v>3.5</v>
      </c>
      <c r="AQ9" s="44">
        <v>0.375</v>
      </c>
      <c r="AR9" s="25">
        <f t="shared" si="22"/>
        <v>3.28125</v>
      </c>
      <c r="AS9" s="158">
        <f t="shared" si="23"/>
        <v>3</v>
      </c>
      <c r="AT9" s="117">
        <f t="shared" si="24"/>
        <v>3.40625</v>
      </c>
      <c r="AV9" s="210" t="s">
        <v>2059</v>
      </c>
      <c r="AW9" s="326" t="s">
        <v>1</v>
      </c>
      <c r="AX9" s="217">
        <v>21.19</v>
      </c>
      <c r="AY9" s="22">
        <f t="shared" si="25"/>
        <v>28.5</v>
      </c>
      <c r="AZ9" s="7">
        <v>1.5</v>
      </c>
      <c r="BA9" s="7">
        <v>2</v>
      </c>
      <c r="BB9" s="25">
        <v>0.188</v>
      </c>
      <c r="BC9" s="7">
        <v>0.56000000000000005</v>
      </c>
      <c r="BD9" s="3">
        <v>16.25</v>
      </c>
      <c r="BE9" s="3">
        <v>23.5</v>
      </c>
      <c r="BF9" s="3">
        <v>1.25</v>
      </c>
      <c r="BG9" s="7">
        <v>28</v>
      </c>
      <c r="BH9" s="25">
        <v>9.7000000000000003E-2</v>
      </c>
      <c r="BI9" s="25">
        <v>7.0000000000000007E-2</v>
      </c>
      <c r="BJ9" s="180">
        <f t="shared" si="31"/>
        <v>14</v>
      </c>
      <c r="BK9" s="25">
        <v>32.5</v>
      </c>
      <c r="BL9" s="7">
        <v>17.309999999999999</v>
      </c>
      <c r="BM9" s="7">
        <v>15.31</v>
      </c>
      <c r="BN9" s="7">
        <v>21.13</v>
      </c>
      <c r="BO9" s="7">
        <v>15.19</v>
      </c>
      <c r="BP9" s="7">
        <v>17.88</v>
      </c>
      <c r="BQ9" s="7">
        <v>18.559999999999999</v>
      </c>
      <c r="BR9" s="7">
        <v>15.38</v>
      </c>
      <c r="BS9" s="7">
        <v>4</v>
      </c>
      <c r="BT9" s="7">
        <v>0.38</v>
      </c>
      <c r="BU9" s="7">
        <v>0.5</v>
      </c>
      <c r="BV9" s="7">
        <v>0.19</v>
      </c>
      <c r="BW9" s="7">
        <v>0.25</v>
      </c>
      <c r="BX9" s="7">
        <v>10.63</v>
      </c>
      <c r="BY9" s="7">
        <v>0.88</v>
      </c>
      <c r="BZ9" s="7">
        <v>22.75</v>
      </c>
      <c r="CA9" s="7">
        <v>23.56</v>
      </c>
      <c r="CB9" s="7">
        <v>10.56</v>
      </c>
      <c r="CC9" s="897">
        <v>1.6875</v>
      </c>
      <c r="CD9" s="898">
        <v>2.1875</v>
      </c>
      <c r="CE9" s="7">
        <f t="shared" si="32"/>
        <v>2.5</v>
      </c>
      <c r="CF9" s="117">
        <f t="shared" ref="CF9:CF11" si="34">BA9+1.5</f>
        <v>3.5</v>
      </c>
      <c r="CH9" s="210" t="s">
        <v>1</v>
      </c>
      <c r="CI9" s="44">
        <v>21.31</v>
      </c>
      <c r="CJ9" s="22">
        <f t="shared" si="28"/>
        <v>28.630000000000003</v>
      </c>
      <c r="CK9" s="7">
        <v>2</v>
      </c>
      <c r="CL9" s="7">
        <v>2</v>
      </c>
      <c r="CM9" s="25">
        <v>0.25</v>
      </c>
      <c r="CN9" s="7">
        <v>0.56000000000000005</v>
      </c>
      <c r="CO9" s="7">
        <v>16.25</v>
      </c>
      <c r="CP9" s="7">
        <v>24</v>
      </c>
      <c r="CQ9" s="7">
        <v>1.25</v>
      </c>
      <c r="CR9" s="7">
        <v>29</v>
      </c>
      <c r="CS9" s="25">
        <v>0.126</v>
      </c>
      <c r="CT9" s="25">
        <v>0.126</v>
      </c>
      <c r="CU9" s="25">
        <f t="shared" si="33"/>
        <v>14.5</v>
      </c>
      <c r="CV9" s="25">
        <v>32.630000000000003</v>
      </c>
      <c r="CW9" s="7">
        <v>17.38</v>
      </c>
      <c r="CX9" s="7">
        <v>15.81</v>
      </c>
      <c r="CY9" s="7">
        <f>22.44-CQ9</f>
        <v>21.19</v>
      </c>
      <c r="CZ9" s="7">
        <v>15.25</v>
      </c>
      <c r="DA9" s="7">
        <v>19.13</v>
      </c>
      <c r="DB9" s="7">
        <v>15.44</v>
      </c>
      <c r="DC9" s="7">
        <v>5</v>
      </c>
      <c r="DD9" s="7">
        <v>0.63</v>
      </c>
      <c r="DE9" s="7">
        <v>0.31</v>
      </c>
      <c r="DF9" s="7">
        <v>10.63</v>
      </c>
      <c r="DG9" s="7">
        <v>0.88</v>
      </c>
      <c r="DH9" s="7">
        <v>25.25</v>
      </c>
      <c r="DI9" s="7">
        <v>10.56</v>
      </c>
      <c r="DJ9" s="897">
        <v>2.4375</v>
      </c>
      <c r="DK9" s="117">
        <f t="shared" si="30"/>
        <v>3.5</v>
      </c>
    </row>
    <row r="10" spans="2:115" s="23" customFormat="1" ht="12.75" customHeight="1" thickBot="1" x14ac:dyDescent="0.25">
      <c r="B10" s="943"/>
      <c r="C10" s="299" t="s">
        <v>1913</v>
      </c>
      <c r="D10" s="302">
        <f t="shared" si="0"/>
        <v>22.2</v>
      </c>
      <c r="E10" s="402" t="s">
        <v>556</v>
      </c>
      <c r="F10" s="366" t="str">
        <f t="shared" si="1"/>
        <v>324T</v>
      </c>
      <c r="G10" s="408">
        <f t="shared" si="2"/>
        <v>23.56</v>
      </c>
      <c r="H10" s="304">
        <f t="shared" si="2"/>
        <v>31.625</v>
      </c>
      <c r="I10" s="10">
        <f t="shared" si="2"/>
        <v>2</v>
      </c>
      <c r="J10" s="42">
        <f t="shared" si="2"/>
        <v>2</v>
      </c>
      <c r="K10" s="386">
        <f t="shared" si="2"/>
        <v>0.25</v>
      </c>
      <c r="L10" s="10">
        <f t="shared" si="2"/>
        <v>0.56000000000000005</v>
      </c>
      <c r="M10" s="42">
        <v>0.5</v>
      </c>
      <c r="N10" s="42">
        <f t="shared" si="3"/>
        <v>18</v>
      </c>
      <c r="O10" s="42">
        <f t="shared" si="4"/>
        <v>22</v>
      </c>
      <c r="P10" s="42">
        <f t="shared" si="5"/>
        <v>10.375</v>
      </c>
      <c r="Q10" s="42">
        <f t="shared" si="6"/>
        <v>1.25</v>
      </c>
      <c r="R10" s="10">
        <f t="shared" si="6"/>
        <v>31.25</v>
      </c>
      <c r="S10" s="10">
        <f t="shared" si="6"/>
        <v>9.7000000000000003E-2</v>
      </c>
      <c r="T10" s="10">
        <f t="shared" si="6"/>
        <v>7.0000000000000007E-2</v>
      </c>
      <c r="U10" s="166">
        <f t="shared" si="6"/>
        <v>15.625</v>
      </c>
      <c r="V10" s="57">
        <f t="shared" si="6"/>
        <v>35.625</v>
      </c>
      <c r="W10" s="10">
        <f t="shared" si="6"/>
        <v>19.059999999999999</v>
      </c>
      <c r="X10" s="10">
        <f t="shared" si="6"/>
        <v>17.190000000000001</v>
      </c>
      <c r="Y10" s="42">
        <f t="shared" si="7"/>
        <v>23.5</v>
      </c>
      <c r="Z10" s="42">
        <f t="shared" si="8"/>
        <v>20.63</v>
      </c>
      <c r="AA10" s="42">
        <f t="shared" si="9"/>
        <v>26.25</v>
      </c>
      <c r="AB10" s="42">
        <f t="shared" si="10"/>
        <v>11.75</v>
      </c>
      <c r="AC10" s="57">
        <f t="shared" si="11"/>
        <v>2.4375</v>
      </c>
      <c r="AD10" s="111">
        <f t="shared" si="12"/>
        <v>4.5</v>
      </c>
      <c r="AE10" s="10">
        <f t="shared" si="13"/>
        <v>0.63</v>
      </c>
      <c r="AF10" s="109">
        <f t="shared" si="14"/>
        <v>0.31</v>
      </c>
      <c r="AG10" s="111" t="s">
        <v>519</v>
      </c>
      <c r="AH10" s="42">
        <f t="shared" si="15"/>
        <v>16.940000000000001</v>
      </c>
      <c r="AI10" s="10">
        <f t="shared" si="16"/>
        <v>11.75</v>
      </c>
      <c r="AJ10" s="213">
        <f t="shared" si="16"/>
        <v>0.88</v>
      </c>
      <c r="AK10" s="404">
        <f t="shared" si="17"/>
        <v>3.875</v>
      </c>
      <c r="AL10" s="111">
        <f t="shared" si="18"/>
        <v>27.25</v>
      </c>
      <c r="AM10" s="10">
        <f t="shared" si="19"/>
        <v>17.315999999999999</v>
      </c>
      <c r="AN10" s="57">
        <f t="shared" si="20"/>
        <v>20.556250000000002</v>
      </c>
      <c r="AO10" s="158">
        <v>1.25</v>
      </c>
      <c r="AP10" s="111">
        <f t="shared" si="21"/>
        <v>3.5</v>
      </c>
      <c r="AQ10" s="42">
        <v>0.375</v>
      </c>
      <c r="AR10" s="57">
        <f t="shared" si="22"/>
        <v>3.65625</v>
      </c>
      <c r="AS10" s="213">
        <f t="shared" si="23"/>
        <v>3</v>
      </c>
      <c r="AT10" s="109">
        <f t="shared" si="24"/>
        <v>3.78125</v>
      </c>
      <c r="AV10" s="209" t="s">
        <v>1100</v>
      </c>
      <c r="AW10" s="323" t="s">
        <v>828</v>
      </c>
      <c r="AX10" s="307">
        <v>23.56</v>
      </c>
      <c r="AY10" s="358">
        <f t="shared" si="25"/>
        <v>31.625</v>
      </c>
      <c r="AZ10" s="16">
        <v>2</v>
      </c>
      <c r="BA10" s="16">
        <v>2</v>
      </c>
      <c r="BB10" s="92">
        <v>0.25</v>
      </c>
      <c r="BC10" s="16">
        <v>0.56000000000000005</v>
      </c>
      <c r="BD10" s="16">
        <v>18</v>
      </c>
      <c r="BE10" s="16">
        <v>26</v>
      </c>
      <c r="BF10" s="16">
        <v>1.25</v>
      </c>
      <c r="BG10" s="10">
        <v>31.25</v>
      </c>
      <c r="BH10" s="92">
        <v>9.7000000000000003E-2</v>
      </c>
      <c r="BI10" s="92">
        <v>7.0000000000000007E-2</v>
      </c>
      <c r="BJ10" s="166">
        <f t="shared" si="31"/>
        <v>15.625</v>
      </c>
      <c r="BK10" s="92">
        <v>35.625</v>
      </c>
      <c r="BL10" s="16">
        <v>19.059999999999999</v>
      </c>
      <c r="BM10" s="10">
        <v>17.190000000000001</v>
      </c>
      <c r="BN10" s="16">
        <v>23.5</v>
      </c>
      <c r="BO10" s="16">
        <v>16.809999999999999</v>
      </c>
      <c r="BP10" s="16">
        <v>19.559999999999999</v>
      </c>
      <c r="BQ10" s="16">
        <v>20.63</v>
      </c>
      <c r="BR10" s="16">
        <v>16.940000000000001</v>
      </c>
      <c r="BS10" s="16">
        <v>4.5</v>
      </c>
      <c r="BT10" s="16">
        <v>0.5</v>
      </c>
      <c r="BU10" s="16">
        <v>0.63</v>
      </c>
      <c r="BV10" s="16">
        <v>0.25</v>
      </c>
      <c r="BW10" s="16">
        <v>0.31</v>
      </c>
      <c r="BX10" s="16">
        <v>11.75</v>
      </c>
      <c r="BY10" s="16">
        <v>0.88</v>
      </c>
      <c r="BZ10" s="16">
        <v>25.06</v>
      </c>
      <c r="CA10" s="16">
        <v>26.25</v>
      </c>
      <c r="CB10" s="16">
        <v>11.75</v>
      </c>
      <c r="CC10" s="899">
        <v>1.9375</v>
      </c>
      <c r="CD10" s="900">
        <v>2.4375</v>
      </c>
      <c r="CE10" s="10">
        <f>BA10+1</f>
        <v>3</v>
      </c>
      <c r="CF10" s="109">
        <f t="shared" si="34"/>
        <v>3.5</v>
      </c>
      <c r="CH10" s="209" t="s">
        <v>828</v>
      </c>
      <c r="CI10" s="42">
        <v>23.69</v>
      </c>
      <c r="CJ10" s="306">
        <f t="shared" si="28"/>
        <v>31.75</v>
      </c>
      <c r="CK10" s="10">
        <v>2.5</v>
      </c>
      <c r="CL10" s="10">
        <v>2.5</v>
      </c>
      <c r="CM10" s="57">
        <v>0.25</v>
      </c>
      <c r="CN10" s="10">
        <v>0.56000000000000005</v>
      </c>
      <c r="CO10" s="10">
        <v>18</v>
      </c>
      <c r="CP10" s="10">
        <v>26.5</v>
      </c>
      <c r="CQ10" s="10">
        <v>1.25</v>
      </c>
      <c r="CR10" s="10">
        <v>32.25</v>
      </c>
      <c r="CS10" s="57">
        <v>0.126</v>
      </c>
      <c r="CT10" s="57">
        <v>0.126</v>
      </c>
      <c r="CU10" s="57">
        <f t="shared" si="33"/>
        <v>16.125</v>
      </c>
      <c r="CV10" s="57">
        <v>36.75</v>
      </c>
      <c r="CW10" s="10">
        <v>19.13</v>
      </c>
      <c r="CX10" s="10">
        <v>17.690000000000001</v>
      </c>
      <c r="CY10" s="10">
        <f>24.81-CQ10</f>
        <v>23.56</v>
      </c>
      <c r="CZ10" s="10">
        <v>16.88</v>
      </c>
      <c r="DA10" s="10">
        <v>20.69</v>
      </c>
      <c r="DB10" s="10">
        <v>17.25</v>
      </c>
      <c r="DC10" s="10">
        <v>5</v>
      </c>
      <c r="DD10" s="10">
        <v>0.63</v>
      </c>
      <c r="DE10" s="10">
        <v>0.31</v>
      </c>
      <c r="DF10" s="10">
        <v>11.5</v>
      </c>
      <c r="DG10" s="10">
        <v>1.1299999999999999</v>
      </c>
      <c r="DH10" s="10">
        <v>26.81</v>
      </c>
      <c r="DI10" s="10">
        <v>11.75</v>
      </c>
      <c r="DJ10" s="914">
        <v>2.4375</v>
      </c>
      <c r="DK10" s="109">
        <f t="shared" ref="DK10:DK11" si="35">CL10+1</f>
        <v>3.5</v>
      </c>
    </row>
    <row r="11" spans="2:115" s="23" customFormat="1" x14ac:dyDescent="0.2">
      <c r="B11" s="940" t="s">
        <v>2138</v>
      </c>
      <c r="C11" s="432" t="s">
        <v>387</v>
      </c>
      <c r="D11" s="350">
        <f t="shared" si="0"/>
        <v>24.5</v>
      </c>
      <c r="E11" s="336" t="s">
        <v>1668</v>
      </c>
      <c r="F11" s="324" t="str">
        <f t="shared" si="1"/>
        <v>326T</v>
      </c>
      <c r="G11" s="379">
        <f t="shared" si="2"/>
        <v>25.94</v>
      </c>
      <c r="H11" s="308">
        <f t="shared" si="2"/>
        <v>34.875</v>
      </c>
      <c r="I11" s="11">
        <f t="shared" si="2"/>
        <v>2</v>
      </c>
      <c r="J11" s="38">
        <f t="shared" si="2"/>
        <v>2</v>
      </c>
      <c r="K11" s="372">
        <f t="shared" si="2"/>
        <v>0.25</v>
      </c>
      <c r="L11" s="11">
        <f t="shared" si="2"/>
        <v>0.56000000000000005</v>
      </c>
      <c r="M11" s="38">
        <v>0.5</v>
      </c>
      <c r="N11" s="38">
        <f t="shared" si="3"/>
        <v>20</v>
      </c>
      <c r="O11" s="38">
        <f t="shared" si="4"/>
        <v>24.38</v>
      </c>
      <c r="P11" s="38">
        <f t="shared" si="5"/>
        <v>11.629999999999999</v>
      </c>
      <c r="Q11" s="38">
        <f t="shared" si="6"/>
        <v>1.25</v>
      </c>
      <c r="R11" s="11">
        <f t="shared" si="6"/>
        <v>33.5</v>
      </c>
      <c r="S11" s="11">
        <f t="shared" si="6"/>
        <v>9.7000000000000003E-2</v>
      </c>
      <c r="T11" s="11">
        <f t="shared" si="6"/>
        <v>7.0000000000000007E-2</v>
      </c>
      <c r="U11" s="178">
        <f t="shared" si="6"/>
        <v>16.75</v>
      </c>
      <c r="V11" s="53">
        <f t="shared" si="6"/>
        <v>38.875</v>
      </c>
      <c r="W11" s="11">
        <f t="shared" si="6"/>
        <v>21</v>
      </c>
      <c r="X11" s="11">
        <f t="shared" si="6"/>
        <v>19</v>
      </c>
      <c r="Y11" s="38">
        <f t="shared" si="7"/>
        <v>25.88</v>
      </c>
      <c r="Z11" s="38">
        <f t="shared" si="8"/>
        <v>22.31</v>
      </c>
      <c r="AA11" s="38">
        <f t="shared" si="9"/>
        <v>28.44</v>
      </c>
      <c r="AB11" s="38">
        <f t="shared" si="10"/>
        <v>12.94</v>
      </c>
      <c r="AC11" s="53">
        <f t="shared" si="11"/>
        <v>2.4375</v>
      </c>
      <c r="AD11" s="115">
        <f t="shared" si="12"/>
        <v>5</v>
      </c>
      <c r="AE11" s="11">
        <f t="shared" si="13"/>
        <v>0.63</v>
      </c>
      <c r="AF11" s="129">
        <f t="shared" si="14"/>
        <v>0.31</v>
      </c>
      <c r="AG11" s="115" t="s">
        <v>519</v>
      </c>
      <c r="AH11" s="38">
        <f t="shared" si="15"/>
        <v>18.559999999999999</v>
      </c>
      <c r="AI11" s="11">
        <f t="shared" si="16"/>
        <v>12.88</v>
      </c>
      <c r="AJ11" s="163">
        <f t="shared" si="16"/>
        <v>0.88</v>
      </c>
      <c r="AK11" s="440">
        <f t="shared" si="17"/>
        <v>3.8699999999999992</v>
      </c>
      <c r="AL11" s="115">
        <f t="shared" si="18"/>
        <v>29.5</v>
      </c>
      <c r="AM11" s="11">
        <f t="shared" si="19"/>
        <v>19.11</v>
      </c>
      <c r="AN11" s="53">
        <f t="shared" si="20"/>
        <v>22.668749999999999</v>
      </c>
      <c r="AO11" s="163">
        <v>1.5</v>
      </c>
      <c r="AP11" s="115">
        <f t="shared" si="21"/>
        <v>3.5</v>
      </c>
      <c r="AQ11" s="38">
        <v>0.375</v>
      </c>
      <c r="AR11" s="53">
        <f t="shared" si="22"/>
        <v>3.65625</v>
      </c>
      <c r="AS11" s="163">
        <f t="shared" si="23"/>
        <v>3</v>
      </c>
      <c r="AT11" s="129">
        <f t="shared" si="24"/>
        <v>3.78125</v>
      </c>
      <c r="AV11" s="233" t="s">
        <v>958</v>
      </c>
      <c r="AW11" s="319" t="s">
        <v>1942</v>
      </c>
      <c r="AX11" s="317">
        <v>25.94</v>
      </c>
      <c r="AY11" s="55">
        <f t="shared" si="25"/>
        <v>34.875</v>
      </c>
      <c r="AZ11" s="9">
        <v>2</v>
      </c>
      <c r="BA11" s="9">
        <v>2</v>
      </c>
      <c r="BB11" s="55">
        <v>0.25</v>
      </c>
      <c r="BC11" s="9">
        <v>0.56000000000000005</v>
      </c>
      <c r="BD11" s="9">
        <v>20</v>
      </c>
      <c r="BE11" s="9">
        <v>28.25</v>
      </c>
      <c r="BF11" s="9">
        <v>1.25</v>
      </c>
      <c r="BG11" s="11">
        <v>33.5</v>
      </c>
      <c r="BH11" s="55">
        <v>9.7000000000000003E-2</v>
      </c>
      <c r="BI11" s="55">
        <v>7.0000000000000007E-2</v>
      </c>
      <c r="BJ11" s="178">
        <f t="shared" si="31"/>
        <v>16.75</v>
      </c>
      <c r="BK11" s="55">
        <v>38.875</v>
      </c>
      <c r="BL11" s="9">
        <v>21</v>
      </c>
      <c r="BM11" s="11">
        <v>19</v>
      </c>
      <c r="BN11" s="9">
        <v>25.88</v>
      </c>
      <c r="BO11" s="9">
        <v>18.5</v>
      </c>
      <c r="BP11" s="9">
        <v>21.81</v>
      </c>
      <c r="BQ11" s="9">
        <v>22.31</v>
      </c>
      <c r="BR11" s="9">
        <v>18.559999999999999</v>
      </c>
      <c r="BS11" s="9">
        <v>5</v>
      </c>
      <c r="BT11" s="9">
        <v>0.5</v>
      </c>
      <c r="BU11" s="9">
        <v>0.63</v>
      </c>
      <c r="BV11" s="9">
        <v>0.25</v>
      </c>
      <c r="BW11" s="9">
        <v>0.31</v>
      </c>
      <c r="BX11" s="9">
        <v>12.88</v>
      </c>
      <c r="BY11" s="9">
        <v>0.88</v>
      </c>
      <c r="BZ11" s="9">
        <v>27.81</v>
      </c>
      <c r="CA11" s="9">
        <v>28.44</v>
      </c>
      <c r="CB11" s="9">
        <v>12.94</v>
      </c>
      <c r="CC11" s="901">
        <v>2.1875</v>
      </c>
      <c r="CD11" s="902">
        <v>2.4375</v>
      </c>
      <c r="CE11" s="11">
        <f t="shared" ref="CE11:CE12" si="36">BA11+1.5</f>
        <v>3.5</v>
      </c>
      <c r="CF11" s="129">
        <f t="shared" si="34"/>
        <v>3.5</v>
      </c>
      <c r="CH11" s="233" t="s">
        <v>1942</v>
      </c>
      <c r="CI11" s="38">
        <v>26.19</v>
      </c>
      <c r="CJ11" s="53">
        <f t="shared" si="28"/>
        <v>35</v>
      </c>
      <c r="CK11" s="11">
        <v>2.5</v>
      </c>
      <c r="CL11" s="11">
        <v>2.5</v>
      </c>
      <c r="CM11" s="53">
        <v>0.25</v>
      </c>
      <c r="CN11" s="11">
        <v>0.56000000000000005</v>
      </c>
      <c r="CO11" s="11">
        <v>20</v>
      </c>
      <c r="CP11" s="11">
        <v>28.75</v>
      </c>
      <c r="CQ11" s="11">
        <v>1.5</v>
      </c>
      <c r="CR11" s="11">
        <v>34.5</v>
      </c>
      <c r="CS11" s="53">
        <v>0.17499999999999999</v>
      </c>
      <c r="CT11" s="53">
        <v>0.17499999999999999</v>
      </c>
      <c r="CU11" s="53">
        <f t="shared" si="33"/>
        <v>17.25</v>
      </c>
      <c r="CV11" s="53">
        <v>40</v>
      </c>
      <c r="CW11" s="11">
        <v>21.13</v>
      </c>
      <c r="CX11" s="11">
        <v>19.5</v>
      </c>
      <c r="CY11" s="11">
        <f>27.5-CQ11</f>
        <v>26</v>
      </c>
      <c r="CZ11" s="11">
        <v>18.63</v>
      </c>
      <c r="DA11" s="11">
        <v>22.38</v>
      </c>
      <c r="DB11" s="11">
        <v>18.88</v>
      </c>
      <c r="DC11" s="11">
        <v>6</v>
      </c>
      <c r="DD11" s="11">
        <v>0.63</v>
      </c>
      <c r="DE11" s="11">
        <v>0.31</v>
      </c>
      <c r="DF11" s="11">
        <v>12.63</v>
      </c>
      <c r="DG11" s="11">
        <v>1.1299999999999999</v>
      </c>
      <c r="DH11" s="11">
        <v>29.5</v>
      </c>
      <c r="DI11" s="11">
        <v>12.94</v>
      </c>
      <c r="DJ11" s="915">
        <v>2.4375</v>
      </c>
      <c r="DK11" s="129">
        <f t="shared" si="35"/>
        <v>3.5</v>
      </c>
    </row>
    <row r="12" spans="2:115" s="15" customFormat="1" ht="12.75" customHeight="1" x14ac:dyDescent="0.2">
      <c r="B12" s="942"/>
      <c r="C12" s="301" t="s">
        <v>1914</v>
      </c>
      <c r="D12" s="393">
        <f t="shared" si="0"/>
        <v>27</v>
      </c>
      <c r="E12" s="342" t="s">
        <v>556</v>
      </c>
      <c r="F12" s="419" t="str">
        <f t="shared" si="1"/>
        <v>326T</v>
      </c>
      <c r="G12" s="412">
        <f t="shared" si="2"/>
        <v>28.63</v>
      </c>
      <c r="H12" s="426">
        <f t="shared" si="2"/>
        <v>38.25</v>
      </c>
      <c r="I12" s="9">
        <f t="shared" si="2"/>
        <v>2</v>
      </c>
      <c r="J12" s="54">
        <f t="shared" si="2"/>
        <v>2</v>
      </c>
      <c r="K12" s="398">
        <f t="shared" si="2"/>
        <v>0.25</v>
      </c>
      <c r="L12" s="9">
        <f t="shared" si="2"/>
        <v>0.56000000000000005</v>
      </c>
      <c r="M12" s="43">
        <v>0.5</v>
      </c>
      <c r="N12" s="54">
        <f t="shared" si="3"/>
        <v>22</v>
      </c>
      <c r="O12" s="54">
        <f t="shared" si="4"/>
        <v>27.06</v>
      </c>
      <c r="P12" s="54">
        <f t="shared" si="5"/>
        <v>13.059999999999999</v>
      </c>
      <c r="Q12" s="54">
        <f t="shared" si="6"/>
        <v>1.5</v>
      </c>
      <c r="R12" s="9">
        <f t="shared" si="6"/>
        <v>36</v>
      </c>
      <c r="S12" s="9">
        <f t="shared" si="6"/>
        <v>9.7000000000000003E-2</v>
      </c>
      <c r="T12" s="9">
        <f t="shared" si="6"/>
        <v>7.0000000000000007E-2</v>
      </c>
      <c r="U12" s="236">
        <f t="shared" si="6"/>
        <v>18</v>
      </c>
      <c r="V12" s="55">
        <f t="shared" si="6"/>
        <v>42.25</v>
      </c>
      <c r="W12" s="9">
        <f t="shared" si="6"/>
        <v>23.19</v>
      </c>
      <c r="X12" s="5">
        <f t="shared" si="6"/>
        <v>20.94</v>
      </c>
      <c r="Y12" s="54">
        <f t="shared" si="7"/>
        <v>28.56</v>
      </c>
      <c r="Z12" s="54">
        <f t="shared" si="8"/>
        <v>24.31</v>
      </c>
      <c r="AA12" s="54">
        <f t="shared" si="9"/>
        <v>30.44</v>
      </c>
      <c r="AB12" s="54">
        <f t="shared" si="10"/>
        <v>14.25</v>
      </c>
      <c r="AC12" s="55">
        <f t="shared" si="11"/>
        <v>2.6875</v>
      </c>
      <c r="AD12" s="175">
        <f t="shared" si="12"/>
        <v>5</v>
      </c>
      <c r="AE12" s="9">
        <f t="shared" si="13"/>
        <v>0.63</v>
      </c>
      <c r="AF12" s="230">
        <f t="shared" si="14"/>
        <v>0.31</v>
      </c>
      <c r="AG12" s="121" t="s">
        <v>519</v>
      </c>
      <c r="AH12" s="54">
        <f t="shared" si="15"/>
        <v>20.25</v>
      </c>
      <c r="AI12" s="9">
        <f t="shared" si="16"/>
        <v>14.13</v>
      </c>
      <c r="AJ12" s="160">
        <f t="shared" si="16"/>
        <v>0.88</v>
      </c>
      <c r="AK12" s="352">
        <f t="shared" si="17"/>
        <v>3.8699999999999992</v>
      </c>
      <c r="AL12" s="175">
        <f t="shared" si="18"/>
        <v>32</v>
      </c>
      <c r="AM12" s="9">
        <f t="shared" si="19"/>
        <v>21.060000000000002</v>
      </c>
      <c r="AN12" s="55">
        <f t="shared" si="20"/>
        <v>24.862500000000001</v>
      </c>
      <c r="AO12" s="160">
        <v>1.5</v>
      </c>
      <c r="AP12" s="175">
        <f t="shared" si="21"/>
        <v>4</v>
      </c>
      <c r="AQ12" s="54">
        <v>0.5</v>
      </c>
      <c r="AR12" s="55">
        <f t="shared" si="22"/>
        <v>4.03125</v>
      </c>
      <c r="AS12" s="160">
        <f t="shared" si="23"/>
        <v>3.5</v>
      </c>
      <c r="AT12" s="230">
        <f t="shared" si="24"/>
        <v>4.15625</v>
      </c>
      <c r="AV12" s="219" t="s">
        <v>958</v>
      </c>
      <c r="AW12" s="357" t="s">
        <v>1942</v>
      </c>
      <c r="AX12" s="409">
        <v>28.63</v>
      </c>
      <c r="AY12" s="55">
        <f t="shared" si="25"/>
        <v>38.25</v>
      </c>
      <c r="AZ12" s="5">
        <v>2</v>
      </c>
      <c r="BA12" s="5">
        <v>2</v>
      </c>
      <c r="BB12" s="32">
        <v>0.25</v>
      </c>
      <c r="BC12" s="5">
        <v>0.56000000000000005</v>
      </c>
      <c r="BD12" s="5">
        <v>22</v>
      </c>
      <c r="BE12" s="9">
        <v>31</v>
      </c>
      <c r="BF12" s="9">
        <v>1.5</v>
      </c>
      <c r="BG12" s="9">
        <v>36</v>
      </c>
      <c r="BH12" s="32">
        <v>9.7000000000000003E-2</v>
      </c>
      <c r="BI12" s="32">
        <v>7.0000000000000007E-2</v>
      </c>
      <c r="BJ12" s="236">
        <f t="shared" si="31"/>
        <v>18</v>
      </c>
      <c r="BK12" s="32">
        <v>42.25</v>
      </c>
      <c r="BL12" s="5">
        <v>23.19</v>
      </c>
      <c r="BM12" s="5">
        <v>20.94</v>
      </c>
      <c r="BN12" s="5">
        <v>28.56</v>
      </c>
      <c r="BO12" s="5">
        <v>20.440000000000001</v>
      </c>
      <c r="BP12" s="5">
        <v>23.5</v>
      </c>
      <c r="BQ12" s="5">
        <v>24.31</v>
      </c>
      <c r="BR12" s="5">
        <v>20.25</v>
      </c>
      <c r="BS12" s="5">
        <v>5</v>
      </c>
      <c r="BT12" s="5">
        <v>0.5</v>
      </c>
      <c r="BU12" s="5">
        <v>0.63</v>
      </c>
      <c r="BV12" s="5">
        <v>0.25</v>
      </c>
      <c r="BW12" s="5">
        <v>0.31</v>
      </c>
      <c r="BX12" s="5">
        <v>14.13</v>
      </c>
      <c r="BY12" s="5">
        <v>0.88</v>
      </c>
      <c r="BZ12" s="5">
        <v>29.5</v>
      </c>
      <c r="CA12" s="5">
        <v>30.44</v>
      </c>
      <c r="CB12" s="5">
        <v>14.25</v>
      </c>
      <c r="CC12" s="903">
        <v>2.1875</v>
      </c>
      <c r="CD12" s="904">
        <v>2.6875</v>
      </c>
      <c r="CE12" s="5">
        <f t="shared" si="36"/>
        <v>3.5</v>
      </c>
      <c r="CF12" s="132">
        <f>BA12+2</f>
        <v>4</v>
      </c>
      <c r="CG12" s="23"/>
      <c r="CH12" s="219" t="s">
        <v>1942</v>
      </c>
      <c r="CI12" s="43">
        <v>28.88</v>
      </c>
      <c r="CJ12" s="55">
        <f t="shared" si="28"/>
        <v>38.5</v>
      </c>
      <c r="CK12" s="5">
        <v>2.5</v>
      </c>
      <c r="CL12" s="5">
        <v>2.5</v>
      </c>
      <c r="CM12" s="32">
        <v>0.25</v>
      </c>
      <c r="CN12" s="5">
        <v>0.56000000000000005</v>
      </c>
      <c r="CO12" s="5">
        <v>22</v>
      </c>
      <c r="CP12" s="5">
        <v>31.5</v>
      </c>
      <c r="CQ12" s="5">
        <v>1.5</v>
      </c>
      <c r="CR12" s="5">
        <v>37</v>
      </c>
      <c r="CS12" s="32">
        <v>0.17499999999999999</v>
      </c>
      <c r="CT12" s="32">
        <v>0.17499999999999999</v>
      </c>
      <c r="CU12" s="32">
        <f t="shared" si="33"/>
        <v>18.5</v>
      </c>
      <c r="CV12" s="32">
        <v>43.5</v>
      </c>
      <c r="CW12" s="5">
        <v>23.31</v>
      </c>
      <c r="CX12" s="5">
        <v>21.44</v>
      </c>
      <c r="CY12" s="5">
        <f>30.19-CQ12</f>
        <v>28.69</v>
      </c>
      <c r="CZ12" s="5">
        <v>20.56</v>
      </c>
      <c r="DA12" s="5">
        <v>24.44</v>
      </c>
      <c r="DB12" s="5">
        <v>20.63</v>
      </c>
      <c r="DC12" s="5">
        <v>6</v>
      </c>
      <c r="DD12" s="5">
        <v>0.63</v>
      </c>
      <c r="DE12" s="5">
        <v>0.31</v>
      </c>
      <c r="DF12" s="5">
        <v>13.88</v>
      </c>
      <c r="DG12" s="5">
        <v>1.1299999999999999</v>
      </c>
      <c r="DH12" s="5">
        <v>31.56</v>
      </c>
      <c r="DI12" s="5">
        <v>14.25</v>
      </c>
      <c r="DJ12" s="903">
        <v>2.6875</v>
      </c>
      <c r="DK12" s="132">
        <f>CL12+1.5</f>
        <v>4</v>
      </c>
    </row>
    <row r="13" spans="2:115" s="15" customFormat="1" x14ac:dyDescent="0.2">
      <c r="B13" s="942"/>
      <c r="C13" s="431" t="s">
        <v>657</v>
      </c>
      <c r="D13" s="390">
        <f t="shared" si="0"/>
        <v>30</v>
      </c>
      <c r="E13" s="342" t="s">
        <v>1668</v>
      </c>
      <c r="F13" s="419" t="str">
        <f t="shared" si="1"/>
        <v>364T</v>
      </c>
      <c r="G13" s="337">
        <f t="shared" si="2"/>
        <v>31.81</v>
      </c>
      <c r="H13" s="363">
        <f t="shared" si="2"/>
        <v>42.75</v>
      </c>
      <c r="I13" s="5">
        <f t="shared" si="2"/>
        <v>2.5</v>
      </c>
      <c r="J13" s="43">
        <f t="shared" si="2"/>
        <v>2.5</v>
      </c>
      <c r="K13" s="311">
        <f t="shared" si="2"/>
        <v>0.25</v>
      </c>
      <c r="L13" s="5">
        <f t="shared" si="2"/>
        <v>0.56000000000000005</v>
      </c>
      <c r="M13" s="43">
        <v>0.5</v>
      </c>
      <c r="N13" s="43">
        <f t="shared" si="3"/>
        <v>24.5</v>
      </c>
      <c r="O13" s="43">
        <f t="shared" si="4"/>
        <v>30.25</v>
      </c>
      <c r="P13" s="43">
        <f t="shared" si="5"/>
        <v>14.75</v>
      </c>
      <c r="Q13" s="43">
        <f t="shared" si="6"/>
        <v>1.5</v>
      </c>
      <c r="R13" s="5">
        <f t="shared" si="6"/>
        <v>41</v>
      </c>
      <c r="S13" s="5">
        <f t="shared" si="6"/>
        <v>0.126</v>
      </c>
      <c r="T13" s="5">
        <f t="shared" si="6"/>
        <v>9.7000000000000003E-2</v>
      </c>
      <c r="U13" s="155">
        <f t="shared" si="6"/>
        <v>20.5</v>
      </c>
      <c r="V13" s="32">
        <f t="shared" si="6"/>
        <v>47.75</v>
      </c>
      <c r="W13" s="5">
        <f t="shared" si="6"/>
        <v>25.75</v>
      </c>
      <c r="X13" s="5">
        <f t="shared" si="6"/>
        <v>23.31</v>
      </c>
      <c r="Y13" s="43">
        <f t="shared" si="7"/>
        <v>31.75</v>
      </c>
      <c r="Z13" s="43">
        <f t="shared" si="8"/>
        <v>26.25</v>
      </c>
      <c r="AA13" s="43">
        <f t="shared" si="9"/>
        <v>32.880000000000003</v>
      </c>
      <c r="AB13" s="43">
        <f t="shared" si="10"/>
        <v>15.81</v>
      </c>
      <c r="AC13" s="32">
        <f t="shared" si="11"/>
        <v>2.4375</v>
      </c>
      <c r="AD13" s="121">
        <f t="shared" si="12"/>
        <v>5.5</v>
      </c>
      <c r="AE13" s="5">
        <f t="shared" si="13"/>
        <v>0.63</v>
      </c>
      <c r="AF13" s="132">
        <f t="shared" si="14"/>
        <v>0.31</v>
      </c>
      <c r="AG13" s="121" t="s">
        <v>519</v>
      </c>
      <c r="AH13" s="43">
        <f t="shared" si="15"/>
        <v>22.75</v>
      </c>
      <c r="AI13" s="5">
        <f t="shared" si="16"/>
        <v>15.88</v>
      </c>
      <c r="AJ13" s="170">
        <f t="shared" si="16"/>
        <v>1.1299999999999999</v>
      </c>
      <c r="AK13" s="333">
        <f t="shared" si="17"/>
        <v>4.6199999999999992</v>
      </c>
      <c r="AL13" s="121">
        <f t="shared" si="18"/>
        <v>36</v>
      </c>
      <c r="AM13" s="5">
        <f t="shared" si="19"/>
        <v>23.400000000000002</v>
      </c>
      <c r="AN13" s="32">
        <f t="shared" si="20"/>
        <v>27.787500000000001</v>
      </c>
      <c r="AO13" s="170">
        <v>1.5</v>
      </c>
      <c r="AP13" s="121">
        <f t="shared" si="21"/>
        <v>3.5</v>
      </c>
      <c r="AQ13" s="43">
        <v>0.375</v>
      </c>
      <c r="AR13" s="32">
        <f t="shared" si="22"/>
        <v>3.65625</v>
      </c>
      <c r="AS13" s="170">
        <f t="shared" si="23"/>
        <v>3</v>
      </c>
      <c r="AT13" s="132">
        <f t="shared" si="24"/>
        <v>3.78125</v>
      </c>
      <c r="AV13" s="219" t="s">
        <v>1</v>
      </c>
      <c r="AW13" s="357" t="s">
        <v>827</v>
      </c>
      <c r="AX13" s="409">
        <v>31.81</v>
      </c>
      <c r="AY13" s="55">
        <f t="shared" si="25"/>
        <v>42.75</v>
      </c>
      <c r="AZ13" s="5">
        <v>2.5</v>
      </c>
      <c r="BA13" s="5">
        <v>2.5</v>
      </c>
      <c r="BB13" s="32">
        <v>0.25</v>
      </c>
      <c r="BC13" s="5">
        <v>0.56000000000000005</v>
      </c>
      <c r="BD13" s="5">
        <v>24.5</v>
      </c>
      <c r="BE13" s="5">
        <v>34.25</v>
      </c>
      <c r="BF13" s="5">
        <v>1.5</v>
      </c>
      <c r="BG13" s="5">
        <v>41</v>
      </c>
      <c r="BH13" s="32">
        <v>0.126</v>
      </c>
      <c r="BI13" s="32">
        <v>9.7000000000000003E-2</v>
      </c>
      <c r="BJ13" s="155">
        <f t="shared" si="31"/>
        <v>20.5</v>
      </c>
      <c r="BK13" s="32">
        <v>47.75</v>
      </c>
      <c r="BL13" s="5">
        <v>25.75</v>
      </c>
      <c r="BM13" s="5">
        <v>23.31</v>
      </c>
      <c r="BN13" s="5">
        <v>31.75</v>
      </c>
      <c r="BO13" s="5">
        <v>22.75</v>
      </c>
      <c r="BP13" s="5">
        <v>26.25</v>
      </c>
      <c r="BQ13" s="5">
        <v>26.25</v>
      </c>
      <c r="BR13" s="5">
        <v>22.75</v>
      </c>
      <c r="BS13" s="5">
        <v>5.5</v>
      </c>
      <c r="BT13" s="5">
        <v>0.63</v>
      </c>
      <c r="BU13" s="5">
        <v>0.63</v>
      </c>
      <c r="BV13" s="5">
        <v>0.31</v>
      </c>
      <c r="BW13" s="5">
        <v>0.31</v>
      </c>
      <c r="BX13" s="5">
        <v>15.88</v>
      </c>
      <c r="BY13" s="5">
        <v>1.1299999999999999</v>
      </c>
      <c r="BZ13" s="5">
        <v>32.880000000000003</v>
      </c>
      <c r="CA13" s="5">
        <v>32.880000000000003</v>
      </c>
      <c r="CB13" s="5">
        <v>15.81</v>
      </c>
      <c r="CC13" s="903">
        <v>2.4375</v>
      </c>
      <c r="CD13" s="904">
        <v>2.4375</v>
      </c>
      <c r="CE13" s="5">
        <f t="shared" ref="CE13:CE14" si="37">BA13+1</f>
        <v>3.5</v>
      </c>
      <c r="CF13" s="132">
        <f>BA13+1</f>
        <v>3.5</v>
      </c>
      <c r="CG13" s="23"/>
      <c r="CH13" s="219" t="s">
        <v>827</v>
      </c>
      <c r="CI13" s="43">
        <v>32</v>
      </c>
      <c r="CJ13" s="55">
        <f t="shared" si="28"/>
        <v>42.88</v>
      </c>
      <c r="CK13" s="5">
        <v>3</v>
      </c>
      <c r="CL13" s="5">
        <v>3</v>
      </c>
      <c r="CM13" s="32">
        <v>0.313</v>
      </c>
      <c r="CN13" s="5">
        <v>0.81</v>
      </c>
      <c r="CO13" s="5">
        <v>24.5</v>
      </c>
      <c r="CP13" s="5">
        <v>34.75</v>
      </c>
      <c r="CQ13" s="5">
        <v>1.5</v>
      </c>
      <c r="CR13" s="5">
        <v>42</v>
      </c>
      <c r="CS13" s="32">
        <v>0.17499999999999999</v>
      </c>
      <c r="CT13" s="32">
        <v>0.17499999999999999</v>
      </c>
      <c r="CU13" s="32">
        <f t="shared" si="33"/>
        <v>21</v>
      </c>
      <c r="CV13" s="32">
        <v>48.88</v>
      </c>
      <c r="CW13" s="5">
        <v>25.81</v>
      </c>
      <c r="CX13" s="5">
        <v>23.81</v>
      </c>
      <c r="CY13" s="5">
        <f>33.31-CQ13</f>
        <v>31.810000000000002</v>
      </c>
      <c r="CZ13" s="5">
        <v>22.81</v>
      </c>
      <c r="DA13" s="5">
        <v>26.63</v>
      </c>
      <c r="DB13" s="5">
        <v>23.06</v>
      </c>
      <c r="DC13" s="5">
        <v>7</v>
      </c>
      <c r="DD13" s="5">
        <v>0.63</v>
      </c>
      <c r="DE13" s="5">
        <v>0.31</v>
      </c>
      <c r="DF13" s="5">
        <v>15.63</v>
      </c>
      <c r="DG13" s="5">
        <v>1.38</v>
      </c>
      <c r="DH13" s="5">
        <v>34.75</v>
      </c>
      <c r="DI13" s="5">
        <v>15.81</v>
      </c>
      <c r="DJ13" s="903">
        <v>2.6875</v>
      </c>
      <c r="DK13" s="132">
        <f t="shared" ref="DK13:DK14" si="38">CL13+1</f>
        <v>4</v>
      </c>
    </row>
    <row r="14" spans="2:115" s="15" customFormat="1" x14ac:dyDescent="0.2">
      <c r="B14" s="942"/>
      <c r="C14" s="431" t="s">
        <v>1779</v>
      </c>
      <c r="D14" s="390">
        <f t="shared" si="0"/>
        <v>33</v>
      </c>
      <c r="E14" s="342" t="s">
        <v>1668</v>
      </c>
      <c r="F14" s="419" t="str">
        <f t="shared" si="1"/>
        <v>365T</v>
      </c>
      <c r="G14" s="337">
        <f t="shared" si="2"/>
        <v>35.130000000000003</v>
      </c>
      <c r="H14" s="363">
        <f t="shared" si="2"/>
        <v>46.75</v>
      </c>
      <c r="I14" s="5">
        <f t="shared" si="2"/>
        <v>2.5</v>
      </c>
      <c r="J14" s="43">
        <f t="shared" si="2"/>
        <v>2.5</v>
      </c>
      <c r="K14" s="311">
        <f t="shared" si="2"/>
        <v>0.25</v>
      </c>
      <c r="L14" s="5">
        <f t="shared" si="2"/>
        <v>0.56000000000000005</v>
      </c>
      <c r="M14" s="43">
        <v>0.5</v>
      </c>
      <c r="N14" s="43">
        <f t="shared" si="3"/>
        <v>27</v>
      </c>
      <c r="O14" s="43">
        <f t="shared" si="4"/>
        <v>33.56</v>
      </c>
      <c r="P14" s="43">
        <f t="shared" si="5"/>
        <v>16.560000000000002</v>
      </c>
      <c r="Q14" s="43">
        <f t="shared" si="6"/>
        <v>1.5</v>
      </c>
      <c r="R14" s="5">
        <f t="shared" si="6"/>
        <v>44</v>
      </c>
      <c r="S14" s="5">
        <f t="shared" si="6"/>
        <v>0.126</v>
      </c>
      <c r="T14" s="5">
        <f t="shared" si="6"/>
        <v>9.7000000000000003E-2</v>
      </c>
      <c r="U14" s="155">
        <f t="shared" si="6"/>
        <v>22</v>
      </c>
      <c r="V14" s="32">
        <f t="shared" si="6"/>
        <v>51.75</v>
      </c>
      <c r="W14" s="5">
        <f t="shared" si="6"/>
        <v>28.38</v>
      </c>
      <c r="X14" s="5">
        <f t="shared" si="6"/>
        <v>25.75</v>
      </c>
      <c r="Y14" s="43">
        <f t="shared" si="7"/>
        <v>35.06</v>
      </c>
      <c r="Z14" s="43">
        <f t="shared" si="8"/>
        <v>28.25</v>
      </c>
      <c r="AA14" s="43">
        <f t="shared" si="9"/>
        <v>34.880000000000003</v>
      </c>
      <c r="AB14" s="43">
        <f t="shared" si="10"/>
        <v>17.5</v>
      </c>
      <c r="AC14" s="32">
        <f t="shared" si="11"/>
        <v>2.4375</v>
      </c>
      <c r="AD14" s="121">
        <f t="shared" si="12"/>
        <v>5.5</v>
      </c>
      <c r="AE14" s="5">
        <f t="shared" si="13"/>
        <v>0.63</v>
      </c>
      <c r="AF14" s="132">
        <f t="shared" si="14"/>
        <v>0.31</v>
      </c>
      <c r="AG14" s="121" t="s">
        <v>519</v>
      </c>
      <c r="AH14" s="43">
        <f t="shared" si="15"/>
        <v>24.75</v>
      </c>
      <c r="AI14" s="5">
        <f t="shared" si="16"/>
        <v>17.38</v>
      </c>
      <c r="AJ14" s="170">
        <f t="shared" si="16"/>
        <v>1.1299999999999999</v>
      </c>
      <c r="AK14" s="333">
        <f t="shared" si="17"/>
        <v>4.620000000000001</v>
      </c>
      <c r="AL14" s="121">
        <f t="shared" si="18"/>
        <v>39</v>
      </c>
      <c r="AM14" s="5">
        <f t="shared" si="19"/>
        <v>25.740000000000002</v>
      </c>
      <c r="AN14" s="32">
        <f t="shared" si="20"/>
        <v>30.387499999999999</v>
      </c>
      <c r="AO14" s="170">
        <v>1.5</v>
      </c>
      <c r="AP14" s="121">
        <f t="shared" si="21"/>
        <v>4</v>
      </c>
      <c r="AQ14" s="43">
        <v>0.5</v>
      </c>
      <c r="AR14" s="32">
        <f t="shared" si="22"/>
        <v>3.65625</v>
      </c>
      <c r="AS14" s="170">
        <f t="shared" si="23"/>
        <v>3.5</v>
      </c>
      <c r="AT14" s="132">
        <f t="shared" si="24"/>
        <v>3.78125</v>
      </c>
      <c r="AV14" s="219" t="s">
        <v>828</v>
      </c>
      <c r="AW14" s="357" t="s">
        <v>296</v>
      </c>
      <c r="AX14" s="409">
        <v>35.130000000000003</v>
      </c>
      <c r="AY14" s="55">
        <f t="shared" si="25"/>
        <v>46.75</v>
      </c>
      <c r="AZ14" s="5">
        <v>2.5</v>
      </c>
      <c r="BA14" s="5">
        <v>2.5</v>
      </c>
      <c r="BB14" s="32">
        <v>0.25</v>
      </c>
      <c r="BC14" s="5">
        <v>0.56000000000000005</v>
      </c>
      <c r="BD14" s="5">
        <v>27</v>
      </c>
      <c r="BE14" s="5">
        <v>37.25</v>
      </c>
      <c r="BF14" s="5">
        <v>1.5</v>
      </c>
      <c r="BG14" s="5">
        <v>44</v>
      </c>
      <c r="BH14" s="32">
        <v>0.126</v>
      </c>
      <c r="BI14" s="32">
        <v>9.7000000000000003E-2</v>
      </c>
      <c r="BJ14" s="155">
        <f t="shared" si="31"/>
        <v>22</v>
      </c>
      <c r="BK14" s="32">
        <v>51.75</v>
      </c>
      <c r="BL14" s="5">
        <v>28.38</v>
      </c>
      <c r="BM14" s="5">
        <v>25.75</v>
      </c>
      <c r="BN14" s="5">
        <v>35.06</v>
      </c>
      <c r="BO14" s="5">
        <v>25</v>
      </c>
      <c r="BP14" s="5">
        <v>28.25</v>
      </c>
      <c r="BQ14" s="5">
        <v>28.25</v>
      </c>
      <c r="BR14" s="5">
        <v>24.75</v>
      </c>
      <c r="BS14" s="5">
        <v>5.5</v>
      </c>
      <c r="BT14" s="5">
        <v>0.63</v>
      </c>
      <c r="BU14" s="5">
        <v>0.63</v>
      </c>
      <c r="BV14" s="5">
        <v>0.31</v>
      </c>
      <c r="BW14" s="5">
        <v>0.31</v>
      </c>
      <c r="BX14" s="5">
        <v>17.38</v>
      </c>
      <c r="BY14" s="5">
        <v>1.1299999999999999</v>
      </c>
      <c r="BZ14" s="5">
        <v>34.880000000000003</v>
      </c>
      <c r="CA14" s="5">
        <v>34.880000000000003</v>
      </c>
      <c r="CB14" s="5">
        <v>17.5</v>
      </c>
      <c r="CC14" s="903">
        <v>2.4375</v>
      </c>
      <c r="CD14" s="904">
        <v>2.4375</v>
      </c>
      <c r="CE14" s="5">
        <f t="shared" si="37"/>
        <v>3.5</v>
      </c>
      <c r="CF14" s="132">
        <f t="shared" ref="CF14:CF15" si="39">BA14+1.5</f>
        <v>4</v>
      </c>
      <c r="CG14" s="23"/>
      <c r="CH14" s="219" t="s">
        <v>296</v>
      </c>
      <c r="CI14" s="43">
        <v>35.31</v>
      </c>
      <c r="CJ14" s="55">
        <f t="shared" si="28"/>
        <v>46.88</v>
      </c>
      <c r="CK14" s="5">
        <v>3</v>
      </c>
      <c r="CL14" s="5">
        <v>3</v>
      </c>
      <c r="CM14" s="32">
        <v>0.313</v>
      </c>
      <c r="CN14" s="5">
        <v>0.81</v>
      </c>
      <c r="CO14" s="5">
        <v>27</v>
      </c>
      <c r="CP14" s="5">
        <v>37.75</v>
      </c>
      <c r="CQ14" s="5">
        <v>1.5</v>
      </c>
      <c r="CR14" s="5">
        <v>45</v>
      </c>
      <c r="CS14" s="32">
        <v>0.17499999999999999</v>
      </c>
      <c r="CT14" s="32">
        <v>0.17499999999999999</v>
      </c>
      <c r="CU14" s="32">
        <f t="shared" si="33"/>
        <v>22.5</v>
      </c>
      <c r="CV14" s="32">
        <v>52.88</v>
      </c>
      <c r="CW14" s="5">
        <v>28.44</v>
      </c>
      <c r="CX14" s="5">
        <v>26.25</v>
      </c>
      <c r="CY14" s="5">
        <f>36.63-CQ14</f>
        <v>35.130000000000003</v>
      </c>
      <c r="CZ14" s="5">
        <v>25.06</v>
      </c>
      <c r="DA14" s="5">
        <v>28.44</v>
      </c>
      <c r="DB14" s="5">
        <v>25.06</v>
      </c>
      <c r="DC14" s="5">
        <v>7</v>
      </c>
      <c r="DD14" s="5">
        <v>0.75</v>
      </c>
      <c r="DE14" s="5">
        <v>0.38</v>
      </c>
      <c r="DF14" s="5">
        <v>17.13</v>
      </c>
      <c r="DG14" s="5">
        <v>1.38</v>
      </c>
      <c r="DH14" s="5">
        <v>36.69</v>
      </c>
      <c r="DI14" s="5">
        <v>17.5</v>
      </c>
      <c r="DJ14" s="903">
        <v>2.9375</v>
      </c>
      <c r="DK14" s="132">
        <f t="shared" si="38"/>
        <v>4</v>
      </c>
    </row>
    <row r="15" spans="2:115" s="15" customFormat="1" ht="13.5" thickBot="1" x14ac:dyDescent="0.25">
      <c r="B15" s="944"/>
      <c r="C15" s="340" t="s">
        <v>255</v>
      </c>
      <c r="D15" s="370">
        <f t="shared" si="0"/>
        <v>36.5</v>
      </c>
      <c r="E15" s="389" t="s">
        <v>1668</v>
      </c>
      <c r="F15" s="378" t="str">
        <f t="shared" si="1"/>
        <v>404T</v>
      </c>
      <c r="G15" s="327">
        <f t="shared" si="2"/>
        <v>38.69</v>
      </c>
      <c r="H15" s="329">
        <f t="shared" si="2"/>
        <v>51.875</v>
      </c>
      <c r="I15" s="2">
        <f t="shared" si="2"/>
        <v>2.5</v>
      </c>
      <c r="J15" s="39">
        <f t="shared" si="2"/>
        <v>2.5</v>
      </c>
      <c r="K15" s="292">
        <f t="shared" si="2"/>
        <v>0.25</v>
      </c>
      <c r="L15" s="2">
        <f t="shared" si="2"/>
        <v>0.56000000000000005</v>
      </c>
      <c r="M15" s="39">
        <v>0.5</v>
      </c>
      <c r="N15" s="39">
        <f t="shared" si="3"/>
        <v>29.5</v>
      </c>
      <c r="O15" s="39">
        <f t="shared" si="4"/>
        <v>37.130000000000003</v>
      </c>
      <c r="P15" s="39">
        <f t="shared" si="5"/>
        <v>18.130000000000003</v>
      </c>
      <c r="Q15" s="39">
        <f t="shared" si="6"/>
        <v>1.5</v>
      </c>
      <c r="R15" s="2">
        <f t="shared" si="6"/>
        <v>48</v>
      </c>
      <c r="S15" s="2">
        <f t="shared" si="6"/>
        <v>0.126</v>
      </c>
      <c r="T15" s="2">
        <f t="shared" si="6"/>
        <v>9.7000000000000003E-2</v>
      </c>
      <c r="U15" s="162">
        <f t="shared" si="6"/>
        <v>24</v>
      </c>
      <c r="V15" s="30">
        <f t="shared" si="6"/>
        <v>56.875</v>
      </c>
      <c r="W15" s="2">
        <f t="shared" si="6"/>
        <v>31.5</v>
      </c>
      <c r="X15" s="2">
        <f t="shared" si="6"/>
        <v>28.5</v>
      </c>
      <c r="Y15" s="39">
        <f t="shared" si="7"/>
        <v>38.630000000000003</v>
      </c>
      <c r="Z15" s="39">
        <f t="shared" si="8"/>
        <v>31.13</v>
      </c>
      <c r="AA15" s="39">
        <f t="shared" si="9"/>
        <v>37.75</v>
      </c>
      <c r="AB15" s="39">
        <f t="shared" si="10"/>
        <v>19.25</v>
      </c>
      <c r="AC15" s="30">
        <f t="shared" si="11"/>
        <v>2.6875</v>
      </c>
      <c r="AD15" s="131">
        <f t="shared" si="12"/>
        <v>5.5</v>
      </c>
      <c r="AE15" s="2">
        <f t="shared" si="13"/>
        <v>0.63</v>
      </c>
      <c r="AF15" s="126">
        <f t="shared" si="14"/>
        <v>0.31</v>
      </c>
      <c r="AG15" s="131" t="s">
        <v>519</v>
      </c>
      <c r="AH15" s="39">
        <f t="shared" si="15"/>
        <v>27.31</v>
      </c>
      <c r="AI15" s="2">
        <f t="shared" si="16"/>
        <v>18.88</v>
      </c>
      <c r="AJ15" s="174">
        <f t="shared" si="16"/>
        <v>1.1299999999999999</v>
      </c>
      <c r="AK15" s="349">
        <f t="shared" si="17"/>
        <v>5.120000000000001</v>
      </c>
      <c r="AL15" s="131">
        <f t="shared" si="18"/>
        <v>43</v>
      </c>
      <c r="AM15" s="2">
        <f t="shared" si="19"/>
        <v>28.470000000000002</v>
      </c>
      <c r="AN15" s="30">
        <f t="shared" si="20"/>
        <v>33.71875</v>
      </c>
      <c r="AO15" s="174">
        <v>1.5</v>
      </c>
      <c r="AP15" s="131">
        <f t="shared" si="21"/>
        <v>4</v>
      </c>
      <c r="AQ15" s="39">
        <v>0.5</v>
      </c>
      <c r="AR15" s="30">
        <f t="shared" si="22"/>
        <v>4.03125</v>
      </c>
      <c r="AS15" s="174">
        <f t="shared" si="23"/>
        <v>3.5</v>
      </c>
      <c r="AT15" s="126">
        <f t="shared" si="24"/>
        <v>4.15625</v>
      </c>
      <c r="AV15" s="232" t="s">
        <v>828</v>
      </c>
      <c r="AW15" s="360" t="s">
        <v>692</v>
      </c>
      <c r="AX15" s="295">
        <v>38.69</v>
      </c>
      <c r="AY15" s="227">
        <f t="shared" si="25"/>
        <v>51.875</v>
      </c>
      <c r="AZ15" s="2">
        <v>2.5</v>
      </c>
      <c r="BA15" s="2">
        <v>2.5</v>
      </c>
      <c r="BB15" s="30">
        <v>0.25</v>
      </c>
      <c r="BC15" s="2">
        <v>0.56000000000000005</v>
      </c>
      <c r="BD15" s="2">
        <v>29.5</v>
      </c>
      <c r="BE15" s="2">
        <v>41</v>
      </c>
      <c r="BF15" s="2">
        <v>1.5</v>
      </c>
      <c r="BG15" s="2">
        <v>48</v>
      </c>
      <c r="BH15" s="30">
        <v>0.126</v>
      </c>
      <c r="BI15" s="30">
        <v>9.7000000000000003E-2</v>
      </c>
      <c r="BJ15" s="162">
        <f t="shared" si="31"/>
        <v>24</v>
      </c>
      <c r="BK15" s="30">
        <v>56.875</v>
      </c>
      <c r="BL15" s="2">
        <v>31.5</v>
      </c>
      <c r="BM15" s="2">
        <v>28.5</v>
      </c>
      <c r="BN15" s="2">
        <v>38.630000000000003</v>
      </c>
      <c r="BO15" s="2">
        <v>27.75</v>
      </c>
      <c r="BP15" s="2">
        <v>31.13</v>
      </c>
      <c r="BQ15" s="2">
        <v>31.13</v>
      </c>
      <c r="BR15" s="2">
        <v>27.31</v>
      </c>
      <c r="BS15" s="2">
        <v>5.5</v>
      </c>
      <c r="BT15" s="2">
        <v>0.63</v>
      </c>
      <c r="BU15" s="2">
        <v>0.63</v>
      </c>
      <c r="BV15" s="2">
        <v>0.31</v>
      </c>
      <c r="BW15" s="2">
        <v>0.31</v>
      </c>
      <c r="BX15" s="2">
        <v>18.88</v>
      </c>
      <c r="BY15" s="2">
        <v>1.1299999999999999</v>
      </c>
      <c r="BZ15" s="2">
        <v>37.75</v>
      </c>
      <c r="CA15" s="2">
        <v>37.75</v>
      </c>
      <c r="CB15" s="2">
        <v>19.25</v>
      </c>
      <c r="CC15" s="905">
        <v>2.6875</v>
      </c>
      <c r="CD15" s="906">
        <v>2.6875</v>
      </c>
      <c r="CE15" s="2">
        <f>BA15+1.5</f>
        <v>4</v>
      </c>
      <c r="CF15" s="126">
        <f t="shared" si="39"/>
        <v>4</v>
      </c>
      <c r="CG15" s="23"/>
      <c r="CH15" s="232" t="s">
        <v>692</v>
      </c>
      <c r="CI15" s="39">
        <v>38.880000000000003</v>
      </c>
      <c r="CJ15" s="227">
        <f t="shared" si="28"/>
        <v>52</v>
      </c>
      <c r="CK15" s="2">
        <v>3</v>
      </c>
      <c r="CL15" s="2">
        <v>3</v>
      </c>
      <c r="CM15" s="30">
        <v>0.313</v>
      </c>
      <c r="CN15" s="2">
        <v>0.81</v>
      </c>
      <c r="CO15" s="2">
        <v>29.5</v>
      </c>
      <c r="CP15" s="2">
        <v>41.5</v>
      </c>
      <c r="CQ15" s="2">
        <v>1.5</v>
      </c>
      <c r="CR15" s="2">
        <v>49</v>
      </c>
      <c r="CS15" s="30">
        <v>0.17499999999999999</v>
      </c>
      <c r="CT15" s="30">
        <v>0.17499999999999999</v>
      </c>
      <c r="CU15" s="30">
        <f t="shared" si="33"/>
        <v>24.5</v>
      </c>
      <c r="CV15" s="30">
        <v>58</v>
      </c>
      <c r="CW15" s="2">
        <v>31.56</v>
      </c>
      <c r="CX15" s="2">
        <v>29</v>
      </c>
      <c r="CY15" s="2">
        <f>40.19-CQ15</f>
        <v>38.69</v>
      </c>
      <c r="CZ15" s="2">
        <v>27.81</v>
      </c>
      <c r="DA15" s="2">
        <v>31</v>
      </c>
      <c r="DB15" s="2">
        <v>27.63</v>
      </c>
      <c r="DC15" s="2">
        <v>7</v>
      </c>
      <c r="DD15" s="2">
        <v>0.75</v>
      </c>
      <c r="DE15" s="2">
        <v>0.38</v>
      </c>
      <c r="DF15" s="2">
        <v>18.63</v>
      </c>
      <c r="DG15" s="2">
        <v>1.38</v>
      </c>
      <c r="DH15" s="2">
        <v>39.25</v>
      </c>
      <c r="DI15" s="2">
        <v>19.25</v>
      </c>
      <c r="DJ15" s="905">
        <v>2.9375</v>
      </c>
      <c r="DK15" s="126">
        <f>CL15+2</f>
        <v>5</v>
      </c>
    </row>
    <row r="16" spans="2:115" s="15" customFormat="1" x14ac:dyDescent="0.2">
      <c r="B16" s="941" t="s">
        <v>502</v>
      </c>
      <c r="C16" s="376" t="s">
        <v>1635</v>
      </c>
      <c r="D16" s="316">
        <f t="shared" si="0"/>
        <v>40.200000000000003</v>
      </c>
      <c r="E16" s="416" t="s">
        <v>556</v>
      </c>
      <c r="F16" s="425" t="str">
        <f t="shared" si="1"/>
        <v>404T</v>
      </c>
      <c r="G16" s="291">
        <f t="shared" si="2"/>
        <v>42.63</v>
      </c>
      <c r="H16" s="310">
        <f t="shared" si="2"/>
        <v>57.25</v>
      </c>
      <c r="I16" s="4">
        <f t="shared" si="2"/>
        <v>3</v>
      </c>
      <c r="J16" s="41">
        <f t="shared" si="2"/>
        <v>3</v>
      </c>
      <c r="K16" s="325">
        <f t="shared" si="2"/>
        <v>0.313</v>
      </c>
      <c r="L16" s="4">
        <f t="shared" si="2"/>
        <v>0.81</v>
      </c>
      <c r="M16" s="41">
        <v>0.75</v>
      </c>
      <c r="N16" s="41">
        <f t="shared" si="3"/>
        <v>33</v>
      </c>
      <c r="O16" s="41">
        <f t="shared" si="4"/>
        <v>41.06</v>
      </c>
      <c r="P16" s="41">
        <f t="shared" si="5"/>
        <v>20.810000000000002</v>
      </c>
      <c r="Q16" s="41">
        <f t="shared" si="6"/>
        <v>1.5</v>
      </c>
      <c r="R16" s="4">
        <f t="shared" si="6"/>
        <v>52.5</v>
      </c>
      <c r="S16" s="4">
        <f t="shared" si="6"/>
        <v>0.126</v>
      </c>
      <c r="T16" s="4">
        <f t="shared" si="6"/>
        <v>9.7000000000000003E-2</v>
      </c>
      <c r="U16" s="156">
        <f t="shared" si="6"/>
        <v>26.25</v>
      </c>
      <c r="V16" s="24">
        <f t="shared" si="6"/>
        <v>63.25</v>
      </c>
      <c r="W16" s="4">
        <f t="shared" si="6"/>
        <v>34.69</v>
      </c>
      <c r="X16" s="4">
        <f t="shared" si="6"/>
        <v>31.5</v>
      </c>
      <c r="Y16" s="41">
        <f t="shared" si="7"/>
        <v>42.56</v>
      </c>
      <c r="Z16" s="41">
        <f t="shared" si="8"/>
        <v>33.81</v>
      </c>
      <c r="AA16" s="41">
        <f t="shared" si="9"/>
        <v>40.94</v>
      </c>
      <c r="AB16" s="41">
        <f t="shared" si="10"/>
        <v>21.25</v>
      </c>
      <c r="AC16" s="24">
        <f t="shared" si="11"/>
        <v>2.6875</v>
      </c>
      <c r="AD16" s="120">
        <f t="shared" si="12"/>
        <v>6</v>
      </c>
      <c r="AE16" s="4">
        <f t="shared" si="13"/>
        <v>0.63</v>
      </c>
      <c r="AF16" s="127">
        <f t="shared" si="14"/>
        <v>0.31</v>
      </c>
      <c r="AG16" s="120" t="s">
        <v>519</v>
      </c>
      <c r="AH16" s="41">
        <f t="shared" si="15"/>
        <v>30.25</v>
      </c>
      <c r="AI16" s="4">
        <f t="shared" si="16"/>
        <v>20.88</v>
      </c>
      <c r="AJ16" s="176">
        <f t="shared" si="16"/>
        <v>1.38</v>
      </c>
      <c r="AK16" s="383">
        <f t="shared" si="17"/>
        <v>5.370000000000001</v>
      </c>
      <c r="AL16" s="120">
        <f t="shared" si="18"/>
        <v>46.5</v>
      </c>
      <c r="AM16" s="4">
        <f t="shared" si="19"/>
        <v>31.356000000000002</v>
      </c>
      <c r="AN16" s="24">
        <f t="shared" si="20"/>
        <v>37.212499999999999</v>
      </c>
      <c r="AO16" s="176">
        <v>1.75</v>
      </c>
      <c r="AP16" s="120">
        <f t="shared" si="21"/>
        <v>4</v>
      </c>
      <c r="AQ16" s="41">
        <v>0.5</v>
      </c>
      <c r="AR16" s="24">
        <f t="shared" si="22"/>
        <v>4.03125</v>
      </c>
      <c r="AS16" s="176">
        <f t="shared" si="23"/>
        <v>3.5</v>
      </c>
      <c r="AT16" s="127">
        <f t="shared" si="24"/>
        <v>4.15625</v>
      </c>
      <c r="AV16" s="214" t="s">
        <v>1942</v>
      </c>
      <c r="AW16" s="305" t="s">
        <v>692</v>
      </c>
      <c r="AX16" s="429">
        <v>42.63</v>
      </c>
      <c r="AY16" s="24">
        <f t="shared" si="25"/>
        <v>57.25</v>
      </c>
      <c r="AZ16" s="4">
        <v>3</v>
      </c>
      <c r="BA16" s="4">
        <v>3</v>
      </c>
      <c r="BB16" s="24">
        <v>0.313</v>
      </c>
      <c r="BC16" s="4">
        <v>0.81</v>
      </c>
      <c r="BD16" s="4">
        <v>33</v>
      </c>
      <c r="BE16" s="4">
        <v>45.5</v>
      </c>
      <c r="BF16" s="4">
        <v>1.5</v>
      </c>
      <c r="BG16" s="4">
        <v>52.5</v>
      </c>
      <c r="BH16" s="24">
        <v>0.126</v>
      </c>
      <c r="BI16" s="24">
        <v>9.7000000000000003E-2</v>
      </c>
      <c r="BJ16" s="156">
        <f t="shared" si="31"/>
        <v>26.25</v>
      </c>
      <c r="BK16" s="24">
        <v>63.25</v>
      </c>
      <c r="BL16" s="4">
        <v>34.69</v>
      </c>
      <c r="BM16" s="4">
        <v>31.5</v>
      </c>
      <c r="BN16" s="4">
        <v>42.56</v>
      </c>
      <c r="BO16" s="4">
        <v>30.56</v>
      </c>
      <c r="BP16" s="4">
        <v>33.5</v>
      </c>
      <c r="BQ16" s="4">
        <v>33.81</v>
      </c>
      <c r="BR16" s="4">
        <v>30.25</v>
      </c>
      <c r="BS16" s="4">
        <v>6</v>
      </c>
      <c r="BT16" s="4">
        <v>0.63</v>
      </c>
      <c r="BU16" s="4">
        <v>0.63</v>
      </c>
      <c r="BV16" s="4">
        <v>0.31</v>
      </c>
      <c r="BW16" s="4">
        <v>0.31</v>
      </c>
      <c r="BX16" s="4">
        <v>20.88</v>
      </c>
      <c r="BY16" s="4">
        <v>1.38</v>
      </c>
      <c r="BZ16" s="4">
        <v>40.630000000000003</v>
      </c>
      <c r="CA16" s="4">
        <v>40.94</v>
      </c>
      <c r="CB16" s="4">
        <v>21.25</v>
      </c>
      <c r="CC16" s="907">
        <v>2.4375</v>
      </c>
      <c r="CD16" s="908">
        <v>2.6875</v>
      </c>
      <c r="CE16" s="4">
        <f t="shared" ref="CE16:CE18" si="40">BA16+1</f>
        <v>4</v>
      </c>
      <c r="CF16" s="127">
        <f>BA16+1</f>
        <v>4</v>
      </c>
      <c r="CG16" s="23"/>
      <c r="CH16" s="214" t="s">
        <v>692</v>
      </c>
      <c r="CI16" s="41">
        <v>42.81</v>
      </c>
      <c r="CJ16" s="24">
        <f t="shared" si="28"/>
        <v>57.379999999999995</v>
      </c>
      <c r="CK16" s="4">
        <v>3</v>
      </c>
      <c r="CL16" s="4">
        <v>4</v>
      </c>
      <c r="CM16" s="24">
        <v>0.313</v>
      </c>
      <c r="CN16" s="4">
        <v>0.81</v>
      </c>
      <c r="CO16" s="4">
        <v>33</v>
      </c>
      <c r="CP16" s="4">
        <v>45.5</v>
      </c>
      <c r="CQ16" s="4">
        <v>2</v>
      </c>
      <c r="CR16" s="4">
        <v>52.5</v>
      </c>
      <c r="CS16" s="24">
        <v>0.17499999999999999</v>
      </c>
      <c r="CT16" s="24">
        <v>0.17499999999999999</v>
      </c>
      <c r="CU16" s="24">
        <f t="shared" si="33"/>
        <v>26.25</v>
      </c>
      <c r="CV16" s="24">
        <v>65.38</v>
      </c>
      <c r="CW16" s="4">
        <v>34.75</v>
      </c>
      <c r="CX16" s="4">
        <v>32</v>
      </c>
      <c r="CY16" s="4">
        <f>44.63-CQ16</f>
        <v>42.63</v>
      </c>
      <c r="CZ16" s="4">
        <v>30.63</v>
      </c>
      <c r="DA16" s="4">
        <v>35.06</v>
      </c>
      <c r="DB16" s="4">
        <v>30.81</v>
      </c>
      <c r="DC16" s="4">
        <v>8</v>
      </c>
      <c r="DD16" s="4">
        <v>0.88</v>
      </c>
      <c r="DE16" s="4">
        <v>0.44</v>
      </c>
      <c r="DF16" s="4">
        <v>20.38</v>
      </c>
      <c r="DG16" s="4">
        <v>1.88</v>
      </c>
      <c r="DH16" s="4">
        <v>44.38</v>
      </c>
      <c r="DI16" s="4">
        <v>21.25</v>
      </c>
      <c r="DJ16" s="907">
        <v>3.4375</v>
      </c>
      <c r="DK16" s="127">
        <f t="shared" ref="DK16:DK17" si="41">CL16+1</f>
        <v>5</v>
      </c>
    </row>
    <row r="17" spans="2:115" s="15" customFormat="1" x14ac:dyDescent="0.2">
      <c r="B17" s="942"/>
      <c r="C17" s="371" t="s">
        <v>112</v>
      </c>
      <c r="D17" s="365">
        <f t="shared" si="0"/>
        <v>44.5</v>
      </c>
      <c r="E17" s="289" t="s">
        <v>2</v>
      </c>
      <c r="F17" s="405" t="str">
        <f t="shared" si="1"/>
        <v>405T</v>
      </c>
      <c r="G17" s="293">
        <f t="shared" si="2"/>
        <v>47.13</v>
      </c>
      <c r="H17" s="399">
        <f t="shared" si="2"/>
        <v>63.125</v>
      </c>
      <c r="I17" s="6">
        <f t="shared" si="2"/>
        <v>3</v>
      </c>
      <c r="J17" s="37">
        <f t="shared" si="2"/>
        <v>3</v>
      </c>
      <c r="K17" s="396">
        <f t="shared" si="2"/>
        <v>0.313</v>
      </c>
      <c r="L17" s="6">
        <f t="shared" si="2"/>
        <v>0.81</v>
      </c>
      <c r="M17" s="37">
        <v>0.75</v>
      </c>
      <c r="N17" s="37">
        <f t="shared" si="3"/>
        <v>35.5</v>
      </c>
      <c r="O17" s="37">
        <f t="shared" si="4"/>
        <v>45.56</v>
      </c>
      <c r="P17" s="37">
        <f t="shared" si="5"/>
        <v>23.310000000000002</v>
      </c>
      <c r="Q17" s="37">
        <f t="shared" si="6"/>
        <v>1.5</v>
      </c>
      <c r="R17" s="6">
        <f t="shared" si="6"/>
        <v>56.5</v>
      </c>
      <c r="S17" s="6">
        <f t="shared" si="6"/>
        <v>0.126</v>
      </c>
      <c r="T17" s="6">
        <f t="shared" si="6"/>
        <v>9.7000000000000003E-2</v>
      </c>
      <c r="U17" s="171">
        <f t="shared" si="6"/>
        <v>28.25</v>
      </c>
      <c r="V17" s="31">
        <f t="shared" si="6"/>
        <v>69.125</v>
      </c>
      <c r="W17" s="6">
        <f t="shared" si="6"/>
        <v>38.25</v>
      </c>
      <c r="X17" s="6">
        <f t="shared" si="6"/>
        <v>34.880000000000003</v>
      </c>
      <c r="Y17" s="37">
        <f t="shared" si="7"/>
        <v>47.06</v>
      </c>
      <c r="Z17" s="37">
        <f t="shared" si="8"/>
        <v>36.56</v>
      </c>
      <c r="AA17" s="37">
        <f t="shared" si="9"/>
        <v>43.81</v>
      </c>
      <c r="AB17" s="37">
        <f t="shared" si="10"/>
        <v>23.5</v>
      </c>
      <c r="AC17" s="31">
        <f t="shared" si="11"/>
        <v>2.9375</v>
      </c>
      <c r="AD17" s="122">
        <f t="shared" si="12"/>
        <v>6</v>
      </c>
      <c r="AE17" s="6">
        <f t="shared" si="13"/>
        <v>0.75</v>
      </c>
      <c r="AF17" s="108">
        <f t="shared" si="14"/>
        <v>0.38</v>
      </c>
      <c r="AG17" s="122" t="s">
        <v>519</v>
      </c>
      <c r="AH17" s="37">
        <f t="shared" si="15"/>
        <v>33.19</v>
      </c>
      <c r="AI17" s="6">
        <f t="shared" si="16"/>
        <v>22.88</v>
      </c>
      <c r="AJ17" s="173">
        <f t="shared" si="16"/>
        <v>1.38</v>
      </c>
      <c r="AK17" s="423">
        <f t="shared" si="17"/>
        <v>5.370000000000001</v>
      </c>
      <c r="AL17" s="122">
        <f t="shared" si="18"/>
        <v>50.5</v>
      </c>
      <c r="AM17" s="6">
        <f t="shared" si="19"/>
        <v>34.71</v>
      </c>
      <c r="AN17" s="31">
        <f t="shared" si="20"/>
        <v>41.03125</v>
      </c>
      <c r="AO17" s="176">
        <v>1.75</v>
      </c>
      <c r="AP17" s="122">
        <f t="shared" si="21"/>
        <v>5</v>
      </c>
      <c r="AQ17" s="37">
        <v>0.5</v>
      </c>
      <c r="AR17" s="31">
        <f t="shared" si="22"/>
        <v>4.40625</v>
      </c>
      <c r="AS17" s="173">
        <f t="shared" si="23"/>
        <v>4.5</v>
      </c>
      <c r="AT17" s="108">
        <f t="shared" si="24"/>
        <v>4.53125</v>
      </c>
      <c r="AV17" s="220" t="s">
        <v>827</v>
      </c>
      <c r="AW17" s="318" t="s">
        <v>144</v>
      </c>
      <c r="AX17" s="373">
        <v>47.13</v>
      </c>
      <c r="AY17" s="24">
        <f t="shared" si="25"/>
        <v>63.125</v>
      </c>
      <c r="AZ17" s="6">
        <v>3</v>
      </c>
      <c r="BA17" s="6">
        <v>3</v>
      </c>
      <c r="BB17" s="31">
        <v>0.313</v>
      </c>
      <c r="BC17" s="6">
        <v>0.81</v>
      </c>
      <c r="BD17" s="6">
        <v>35.5</v>
      </c>
      <c r="BE17" s="6">
        <v>50</v>
      </c>
      <c r="BF17" s="6">
        <v>1.5</v>
      </c>
      <c r="BG17" s="6">
        <v>56.5</v>
      </c>
      <c r="BH17" s="31">
        <v>0.126</v>
      </c>
      <c r="BI17" s="31">
        <v>9.7000000000000003E-2</v>
      </c>
      <c r="BJ17" s="171">
        <f t="shared" si="31"/>
        <v>28.25</v>
      </c>
      <c r="BK17" s="31">
        <v>69.125</v>
      </c>
      <c r="BL17" s="6">
        <v>38.25</v>
      </c>
      <c r="BM17" s="6">
        <v>34.880000000000003</v>
      </c>
      <c r="BN17" s="6">
        <v>47.06</v>
      </c>
      <c r="BO17" s="6">
        <v>33.75</v>
      </c>
      <c r="BP17" s="6">
        <v>36.44</v>
      </c>
      <c r="BQ17" s="6">
        <v>36.56</v>
      </c>
      <c r="BR17" s="6">
        <v>33.19</v>
      </c>
      <c r="BS17" s="6">
        <v>6</v>
      </c>
      <c r="BT17" s="6">
        <v>0.63</v>
      </c>
      <c r="BU17" s="6">
        <v>0.75</v>
      </c>
      <c r="BV17" s="6">
        <v>0.31</v>
      </c>
      <c r="BW17" s="6">
        <v>0.38</v>
      </c>
      <c r="BX17" s="6">
        <v>22.88</v>
      </c>
      <c r="BY17" s="6">
        <v>1.38</v>
      </c>
      <c r="BZ17" s="6">
        <v>43.56</v>
      </c>
      <c r="CA17" s="6">
        <v>43.81</v>
      </c>
      <c r="CB17" s="6">
        <v>23.5</v>
      </c>
      <c r="CC17" s="909">
        <v>2.4375</v>
      </c>
      <c r="CD17" s="910">
        <v>2.9375</v>
      </c>
      <c r="CE17" s="6">
        <f t="shared" si="40"/>
        <v>4</v>
      </c>
      <c r="CF17" s="108">
        <f t="shared" ref="CF17:CF18" si="42">BA17+2</f>
        <v>5</v>
      </c>
      <c r="CG17" s="23"/>
      <c r="CH17" s="220" t="s">
        <v>144</v>
      </c>
      <c r="CI17" s="37">
        <v>47.31</v>
      </c>
      <c r="CJ17" s="24">
        <f t="shared" si="28"/>
        <v>63.25</v>
      </c>
      <c r="CK17" s="6">
        <v>3</v>
      </c>
      <c r="CL17" s="6">
        <v>4</v>
      </c>
      <c r="CM17" s="31">
        <v>0.313</v>
      </c>
      <c r="CN17" s="6">
        <v>0.81</v>
      </c>
      <c r="CO17" s="6">
        <v>35.5</v>
      </c>
      <c r="CP17" s="6">
        <v>50</v>
      </c>
      <c r="CQ17" s="6">
        <v>2</v>
      </c>
      <c r="CR17" s="6">
        <v>56.5</v>
      </c>
      <c r="CS17" s="31">
        <v>0.17499999999999999</v>
      </c>
      <c r="CT17" s="31">
        <v>0.17499999999999999</v>
      </c>
      <c r="CU17" s="31">
        <f t="shared" si="33"/>
        <v>28.25</v>
      </c>
      <c r="CV17" s="31">
        <v>71.25</v>
      </c>
      <c r="CW17" s="6">
        <v>38.31</v>
      </c>
      <c r="CX17" s="6">
        <v>35.380000000000003</v>
      </c>
      <c r="CY17" s="6">
        <f>49.13-CQ17</f>
        <v>47.13</v>
      </c>
      <c r="CZ17" s="6">
        <v>33.81</v>
      </c>
      <c r="DA17" s="6">
        <v>38</v>
      </c>
      <c r="DB17" s="6">
        <v>33.75</v>
      </c>
      <c r="DC17" s="6">
        <v>8</v>
      </c>
      <c r="DD17" s="6">
        <v>0.88</v>
      </c>
      <c r="DE17" s="6">
        <v>0.44</v>
      </c>
      <c r="DF17" s="6">
        <v>22.38</v>
      </c>
      <c r="DG17" s="6">
        <v>1.88</v>
      </c>
      <c r="DH17" s="6">
        <v>47.31</v>
      </c>
      <c r="DI17" s="6">
        <v>23.5</v>
      </c>
      <c r="DJ17" s="909">
        <v>3.4375</v>
      </c>
      <c r="DK17" s="108">
        <f t="shared" si="41"/>
        <v>5</v>
      </c>
    </row>
    <row r="18" spans="2:115" s="15" customFormat="1" x14ac:dyDescent="0.2">
      <c r="B18" s="942"/>
      <c r="C18" s="371" t="s">
        <v>1636</v>
      </c>
      <c r="D18" s="365">
        <f t="shared" si="0"/>
        <v>49</v>
      </c>
      <c r="E18" s="289" t="s">
        <v>2</v>
      </c>
      <c r="F18" s="405" t="str">
        <f t="shared" si="1"/>
        <v>445T</v>
      </c>
      <c r="G18" s="293">
        <f t="shared" si="2"/>
        <v>51.94</v>
      </c>
      <c r="H18" s="399">
        <f t="shared" si="2"/>
        <v>69.5</v>
      </c>
      <c r="I18" s="6">
        <f t="shared" si="2"/>
        <v>3</v>
      </c>
      <c r="J18" s="37">
        <f t="shared" si="2"/>
        <v>3</v>
      </c>
      <c r="K18" s="396">
        <f t="shared" si="2"/>
        <v>0.313</v>
      </c>
      <c r="L18" s="6">
        <f t="shared" si="2"/>
        <v>0.81</v>
      </c>
      <c r="M18" s="37">
        <v>0.75</v>
      </c>
      <c r="N18" s="37">
        <f t="shared" si="3"/>
        <v>39</v>
      </c>
      <c r="O18" s="37">
        <f t="shared" si="4"/>
        <v>50.38</v>
      </c>
      <c r="P18" s="37">
        <f t="shared" si="5"/>
        <v>25.630000000000003</v>
      </c>
      <c r="Q18" s="37">
        <f t="shared" si="6"/>
        <v>2</v>
      </c>
      <c r="R18" s="6">
        <f t="shared" si="6"/>
        <v>61.5</v>
      </c>
      <c r="S18" s="6">
        <f t="shared" si="6"/>
        <v>0.126</v>
      </c>
      <c r="T18" s="6">
        <f t="shared" si="6"/>
        <v>9.7000000000000003E-2</v>
      </c>
      <c r="U18" s="171">
        <f t="shared" si="6"/>
        <v>30.75</v>
      </c>
      <c r="V18" s="31">
        <f t="shared" si="6"/>
        <v>75.5</v>
      </c>
      <c r="W18" s="6">
        <f t="shared" si="6"/>
        <v>42.19</v>
      </c>
      <c r="X18" s="6">
        <f t="shared" si="6"/>
        <v>38.5</v>
      </c>
      <c r="Y18" s="37">
        <f t="shared" si="7"/>
        <v>51.88</v>
      </c>
      <c r="Z18" s="37">
        <f t="shared" si="8"/>
        <v>41.13</v>
      </c>
      <c r="AA18" s="37">
        <f t="shared" si="9"/>
        <v>49.44</v>
      </c>
      <c r="AB18" s="37">
        <f t="shared" si="10"/>
        <v>25.88</v>
      </c>
      <c r="AC18" s="31">
        <f t="shared" si="11"/>
        <v>3.4375</v>
      </c>
      <c r="AD18" s="122">
        <f t="shared" si="12"/>
        <v>7</v>
      </c>
      <c r="AE18" s="6">
        <f t="shared" si="13"/>
        <v>0.88</v>
      </c>
      <c r="AF18" s="108">
        <f t="shared" si="14"/>
        <v>0.44</v>
      </c>
      <c r="AG18" s="122" t="s">
        <v>519</v>
      </c>
      <c r="AH18" s="37">
        <f t="shared" si="15"/>
        <v>36.380000000000003</v>
      </c>
      <c r="AI18" s="6">
        <f t="shared" si="16"/>
        <v>25.38</v>
      </c>
      <c r="AJ18" s="173">
        <f t="shared" si="16"/>
        <v>1.38</v>
      </c>
      <c r="AK18" s="423">
        <f t="shared" si="17"/>
        <v>5.370000000000001</v>
      </c>
      <c r="AL18" s="122">
        <f t="shared" si="18"/>
        <v>55.5</v>
      </c>
      <c r="AM18" s="6">
        <f t="shared" si="19"/>
        <v>38.22</v>
      </c>
      <c r="AN18" s="31">
        <f t="shared" si="20"/>
        <v>45.175000000000004</v>
      </c>
      <c r="AO18" s="176">
        <v>1.75</v>
      </c>
      <c r="AP18" s="122">
        <f t="shared" si="21"/>
        <v>5</v>
      </c>
      <c r="AQ18" s="37">
        <v>0.5</v>
      </c>
      <c r="AR18" s="31">
        <f t="shared" si="22"/>
        <v>5.15625</v>
      </c>
      <c r="AS18" s="173">
        <f t="shared" si="23"/>
        <v>4.5</v>
      </c>
      <c r="AT18" s="108">
        <f t="shared" si="24"/>
        <v>5.28125</v>
      </c>
      <c r="AV18" s="220" t="s">
        <v>296</v>
      </c>
      <c r="AW18" s="318" t="s">
        <v>188</v>
      </c>
      <c r="AX18" s="373">
        <v>51.94</v>
      </c>
      <c r="AY18" s="24">
        <f t="shared" si="25"/>
        <v>69.5</v>
      </c>
      <c r="AZ18" s="6">
        <v>3</v>
      </c>
      <c r="BA18" s="6">
        <v>3</v>
      </c>
      <c r="BB18" s="31">
        <v>0.313</v>
      </c>
      <c r="BC18" s="6">
        <v>0.81</v>
      </c>
      <c r="BD18" s="6">
        <v>39</v>
      </c>
      <c r="BE18" s="6">
        <v>54.75</v>
      </c>
      <c r="BF18" s="6">
        <v>2</v>
      </c>
      <c r="BG18" s="6">
        <v>61.5</v>
      </c>
      <c r="BH18" s="31">
        <v>0.126</v>
      </c>
      <c r="BI18" s="31">
        <v>9.7000000000000003E-2</v>
      </c>
      <c r="BJ18" s="171">
        <f t="shared" si="31"/>
        <v>30.75</v>
      </c>
      <c r="BK18" s="31">
        <v>75.5</v>
      </c>
      <c r="BL18" s="6">
        <v>42.19</v>
      </c>
      <c r="BM18" s="6">
        <v>38.5</v>
      </c>
      <c r="BN18" s="6">
        <v>51.88</v>
      </c>
      <c r="BO18" s="6">
        <v>37.19</v>
      </c>
      <c r="BP18" s="6">
        <v>39.94</v>
      </c>
      <c r="BQ18" s="6">
        <v>41.13</v>
      </c>
      <c r="BR18" s="6">
        <v>36.380000000000003</v>
      </c>
      <c r="BS18" s="6">
        <v>7</v>
      </c>
      <c r="BT18" s="6">
        <v>0.63</v>
      </c>
      <c r="BU18" s="6">
        <v>0.88</v>
      </c>
      <c r="BV18" s="6">
        <v>0.31</v>
      </c>
      <c r="BW18" s="6">
        <v>0.44</v>
      </c>
      <c r="BX18" s="6">
        <v>25.38</v>
      </c>
      <c r="BY18" s="6">
        <v>1.38</v>
      </c>
      <c r="BZ18" s="6">
        <v>48.06</v>
      </c>
      <c r="CA18" s="6">
        <v>49.44</v>
      </c>
      <c r="CB18" s="6">
        <v>25.88</v>
      </c>
      <c r="CC18" s="909">
        <v>2.6875</v>
      </c>
      <c r="CD18" s="910">
        <v>3.4375</v>
      </c>
      <c r="CE18" s="6">
        <f t="shared" si="40"/>
        <v>4</v>
      </c>
      <c r="CF18" s="108">
        <f t="shared" si="42"/>
        <v>5</v>
      </c>
      <c r="CG18" s="23"/>
      <c r="CH18" s="220" t="s">
        <v>188</v>
      </c>
      <c r="CI18" s="37">
        <v>52.13</v>
      </c>
      <c r="CJ18" s="24">
        <f t="shared" si="28"/>
        <v>69.63</v>
      </c>
      <c r="CK18" s="6">
        <v>3</v>
      </c>
      <c r="CL18" s="6">
        <v>4</v>
      </c>
      <c r="CM18" s="31">
        <v>0.313</v>
      </c>
      <c r="CN18" s="6">
        <v>0.81</v>
      </c>
      <c r="CO18" s="6">
        <v>39</v>
      </c>
      <c r="CP18" s="6">
        <v>54.75</v>
      </c>
      <c r="CQ18" s="6">
        <v>2</v>
      </c>
      <c r="CR18" s="6">
        <v>61.5</v>
      </c>
      <c r="CS18" s="31">
        <v>0.17499999999999999</v>
      </c>
      <c r="CT18" s="31">
        <v>0.17499999999999999</v>
      </c>
      <c r="CU18" s="31">
        <f t="shared" si="33"/>
        <v>30.75</v>
      </c>
      <c r="CV18" s="31">
        <v>77.63</v>
      </c>
      <c r="CW18" s="6">
        <v>42.25</v>
      </c>
      <c r="CX18" s="6">
        <v>39</v>
      </c>
      <c r="CY18" s="6">
        <f>53.94-CQ18</f>
        <v>51.94</v>
      </c>
      <c r="CZ18" s="6">
        <v>37.25</v>
      </c>
      <c r="DA18" s="6">
        <v>41.94</v>
      </c>
      <c r="DB18" s="6">
        <v>36.94</v>
      </c>
      <c r="DC18" s="6">
        <v>9</v>
      </c>
      <c r="DD18" s="6">
        <v>1</v>
      </c>
      <c r="DE18" s="6">
        <v>0.5</v>
      </c>
      <c r="DF18" s="6">
        <v>24.88</v>
      </c>
      <c r="DG18" s="6">
        <v>1.88</v>
      </c>
      <c r="DH18" s="6">
        <v>52.31</v>
      </c>
      <c r="DI18" s="6">
        <v>25.88</v>
      </c>
      <c r="DJ18" s="909">
        <v>3.9375</v>
      </c>
      <c r="DK18" s="108">
        <f>CL18+2</f>
        <v>6</v>
      </c>
    </row>
    <row r="19" spans="2:115" s="15" customFormat="1" x14ac:dyDescent="0.2">
      <c r="B19" s="942"/>
      <c r="C19" s="371" t="s">
        <v>1489</v>
      </c>
      <c r="D19" s="365">
        <f t="shared" si="0"/>
        <v>54.2</v>
      </c>
      <c r="E19" s="289" t="s">
        <v>2059</v>
      </c>
      <c r="F19" s="405" t="str">
        <f t="shared" si="1"/>
        <v>445T</v>
      </c>
      <c r="G19" s="293">
        <f t="shared" si="2"/>
        <v>57.38</v>
      </c>
      <c r="H19" s="399">
        <f t="shared" si="2"/>
        <v>77</v>
      </c>
      <c r="I19" s="6">
        <f t="shared" si="2"/>
        <v>3</v>
      </c>
      <c r="J19" s="37">
        <f t="shared" si="2"/>
        <v>4</v>
      </c>
      <c r="K19" s="396">
        <f t="shared" si="2"/>
        <v>0.313</v>
      </c>
      <c r="L19" s="6">
        <f t="shared" si="2"/>
        <v>0.81</v>
      </c>
      <c r="M19" s="37">
        <v>0.75</v>
      </c>
      <c r="N19" s="37">
        <f t="shared" si="3"/>
        <v>43.5</v>
      </c>
      <c r="O19" s="37">
        <f t="shared" si="4"/>
        <v>55.81</v>
      </c>
      <c r="P19" s="37">
        <f t="shared" si="5"/>
        <v>28.310000000000002</v>
      </c>
      <c r="Q19" s="37">
        <f t="shared" si="6"/>
        <v>2</v>
      </c>
      <c r="R19" s="6">
        <f t="shared" si="6"/>
        <v>67</v>
      </c>
      <c r="S19" s="6">
        <f t="shared" si="6"/>
        <v>0.126</v>
      </c>
      <c r="T19" s="6">
        <f t="shared" si="6"/>
        <v>9.7000000000000003E-2</v>
      </c>
      <c r="U19" s="171">
        <f t="shared" si="6"/>
        <v>33.5</v>
      </c>
      <c r="V19" s="31">
        <f t="shared" si="6"/>
        <v>85</v>
      </c>
      <c r="W19" s="6">
        <f t="shared" si="6"/>
        <v>46.69</v>
      </c>
      <c r="X19" s="6">
        <f t="shared" si="6"/>
        <v>42.56</v>
      </c>
      <c r="Y19" s="37">
        <f t="shared" si="7"/>
        <v>57.31</v>
      </c>
      <c r="Z19" s="37">
        <f t="shared" si="8"/>
        <v>44.19</v>
      </c>
      <c r="AA19" s="37">
        <f t="shared" si="9"/>
        <v>51.5</v>
      </c>
      <c r="AB19" s="37">
        <f t="shared" si="10"/>
        <v>28.63</v>
      </c>
      <c r="AC19" s="31">
        <f t="shared" si="11"/>
        <v>3.4375</v>
      </c>
      <c r="AD19" s="122">
        <f t="shared" si="12"/>
        <v>6</v>
      </c>
      <c r="AE19" s="6">
        <f t="shared" si="13"/>
        <v>0.88</v>
      </c>
      <c r="AF19" s="108">
        <f t="shared" si="14"/>
        <v>0.44</v>
      </c>
      <c r="AG19" s="122" t="s">
        <v>519</v>
      </c>
      <c r="AH19" s="37">
        <f t="shared" si="15"/>
        <v>40.630000000000003</v>
      </c>
      <c r="AI19" s="6">
        <f t="shared" si="16"/>
        <v>27.63</v>
      </c>
      <c r="AJ19" s="173">
        <f t="shared" si="16"/>
        <v>1.88</v>
      </c>
      <c r="AK19" s="423">
        <f t="shared" si="17"/>
        <v>5.870000000000001</v>
      </c>
      <c r="AL19" s="122">
        <f t="shared" si="18"/>
        <v>61</v>
      </c>
      <c r="AM19" s="6">
        <f t="shared" si="19"/>
        <v>42.276000000000003</v>
      </c>
      <c r="AN19" s="31">
        <f t="shared" si="20"/>
        <v>50.050000000000004</v>
      </c>
      <c r="AO19" s="176">
        <v>1.75</v>
      </c>
      <c r="AP19" s="122">
        <f t="shared" si="21"/>
        <v>5</v>
      </c>
      <c r="AQ19" s="37">
        <v>0.5</v>
      </c>
      <c r="AR19" s="31">
        <f t="shared" si="22"/>
        <v>5.15625</v>
      </c>
      <c r="AS19" s="173">
        <f t="shared" si="23"/>
        <v>4.5</v>
      </c>
      <c r="AT19" s="108">
        <f t="shared" si="24"/>
        <v>5.28125</v>
      </c>
      <c r="AV19" s="220" t="s">
        <v>692</v>
      </c>
      <c r="AW19" s="318" t="s">
        <v>188</v>
      </c>
      <c r="AX19" s="373">
        <v>57.38</v>
      </c>
      <c r="AY19" s="24">
        <f t="shared" si="25"/>
        <v>77</v>
      </c>
      <c r="AZ19" s="6">
        <v>3</v>
      </c>
      <c r="BA19" s="6">
        <v>4</v>
      </c>
      <c r="BB19" s="31">
        <v>0.313</v>
      </c>
      <c r="BC19" s="6">
        <v>0.81</v>
      </c>
      <c r="BD19" s="6">
        <v>43.5</v>
      </c>
      <c r="BE19" s="6">
        <v>60.25</v>
      </c>
      <c r="BF19" s="6">
        <v>2</v>
      </c>
      <c r="BG19" s="6">
        <v>67</v>
      </c>
      <c r="BH19" s="31">
        <v>0.126</v>
      </c>
      <c r="BI19" s="31">
        <v>9.7000000000000003E-2</v>
      </c>
      <c r="BJ19" s="171">
        <f t="shared" si="31"/>
        <v>33.5</v>
      </c>
      <c r="BK19" s="31">
        <v>85</v>
      </c>
      <c r="BL19" s="6">
        <v>46.69</v>
      </c>
      <c r="BM19" s="6">
        <v>42.56</v>
      </c>
      <c r="BN19" s="6">
        <v>57.31</v>
      </c>
      <c r="BO19" s="6">
        <v>41.19</v>
      </c>
      <c r="BP19" s="6">
        <v>43.75</v>
      </c>
      <c r="BQ19" s="6">
        <v>44.19</v>
      </c>
      <c r="BR19" s="6">
        <v>40.630000000000003</v>
      </c>
      <c r="BS19" s="6">
        <v>6</v>
      </c>
      <c r="BT19" s="6">
        <v>0.75</v>
      </c>
      <c r="BU19" s="6">
        <v>0.88</v>
      </c>
      <c r="BV19" s="6">
        <v>0.38</v>
      </c>
      <c r="BW19" s="6">
        <v>0.44</v>
      </c>
      <c r="BX19" s="6">
        <v>27.63</v>
      </c>
      <c r="BY19" s="6">
        <v>1.88</v>
      </c>
      <c r="BZ19" s="6">
        <v>51</v>
      </c>
      <c r="CA19" s="6">
        <v>51.5</v>
      </c>
      <c r="CB19" s="6">
        <v>28.63</v>
      </c>
      <c r="CC19" s="909">
        <v>2.9375</v>
      </c>
      <c r="CD19" s="910">
        <v>3.4375</v>
      </c>
      <c r="CE19" s="6">
        <f>BA19+0</f>
        <v>4</v>
      </c>
      <c r="CF19" s="108">
        <f>BA19+1</f>
        <v>5</v>
      </c>
      <c r="CG19" s="23"/>
      <c r="CH19" s="220" t="s">
        <v>188</v>
      </c>
      <c r="CI19" s="37">
        <v>57.56</v>
      </c>
      <c r="CJ19" s="24">
        <f t="shared" si="28"/>
        <v>77.13</v>
      </c>
      <c r="CK19" s="6">
        <v>3.5</v>
      </c>
      <c r="CL19" s="6">
        <v>5</v>
      </c>
      <c r="CM19" s="31">
        <v>0.5</v>
      </c>
      <c r="CN19" s="6">
        <v>0.81</v>
      </c>
      <c r="CO19" s="6">
        <v>43.5</v>
      </c>
      <c r="CP19" s="6">
        <v>60.75</v>
      </c>
      <c r="CQ19" s="6">
        <v>2.5</v>
      </c>
      <c r="CR19" s="6">
        <v>67</v>
      </c>
      <c r="CS19" s="31">
        <v>0.17499999999999999</v>
      </c>
      <c r="CT19" s="31">
        <v>0.17499999999999999</v>
      </c>
      <c r="CU19" s="31">
        <f t="shared" si="33"/>
        <v>33.5</v>
      </c>
      <c r="CV19" s="31">
        <v>87.13</v>
      </c>
      <c r="CW19" s="6">
        <v>46.75</v>
      </c>
      <c r="CX19" s="6">
        <v>43.06</v>
      </c>
      <c r="CY19" s="6">
        <f>59.88-CQ19</f>
        <v>57.38</v>
      </c>
      <c r="CZ19" s="6">
        <v>41.25</v>
      </c>
      <c r="DA19" s="6">
        <v>45.69</v>
      </c>
      <c r="DB19" s="6">
        <v>41.19</v>
      </c>
      <c r="DC19" s="6">
        <v>9</v>
      </c>
      <c r="DD19" s="6">
        <v>1</v>
      </c>
      <c r="DE19" s="6">
        <v>0.5</v>
      </c>
      <c r="DF19" s="6">
        <v>27.13</v>
      </c>
      <c r="DG19" s="6">
        <v>2.38</v>
      </c>
      <c r="DH19" s="6">
        <v>56.06</v>
      </c>
      <c r="DI19" s="6">
        <v>28.63</v>
      </c>
      <c r="DJ19" s="909">
        <v>3.9375</v>
      </c>
      <c r="DK19" s="108">
        <f>CL19+1</f>
        <v>6</v>
      </c>
    </row>
    <row r="20" spans="2:115" s="15" customFormat="1" x14ac:dyDescent="0.2">
      <c r="B20" s="942"/>
      <c r="C20" s="371" t="s">
        <v>256</v>
      </c>
      <c r="D20" s="365">
        <f t="shared" si="0"/>
        <v>60</v>
      </c>
      <c r="E20" s="289" t="s">
        <v>2059</v>
      </c>
      <c r="F20" s="405" t="str">
        <f t="shared" si="1"/>
        <v>445T</v>
      </c>
      <c r="G20" s="293">
        <f t="shared" si="2"/>
        <v>63.5</v>
      </c>
      <c r="H20" s="399">
        <f t="shared" si="2"/>
        <v>85</v>
      </c>
      <c r="I20" s="6">
        <f t="shared" si="2"/>
        <v>3</v>
      </c>
      <c r="J20" s="37">
        <f t="shared" si="2"/>
        <v>4</v>
      </c>
      <c r="K20" s="396">
        <f t="shared" si="2"/>
        <v>0.313</v>
      </c>
      <c r="L20" s="6">
        <f t="shared" si="2"/>
        <v>0.81</v>
      </c>
      <c r="M20" s="37">
        <v>0.75</v>
      </c>
      <c r="N20" s="37">
        <f t="shared" si="3"/>
        <v>48</v>
      </c>
      <c r="O20" s="37">
        <f t="shared" si="4"/>
        <v>61.94</v>
      </c>
      <c r="P20" s="37">
        <f t="shared" si="5"/>
        <v>31.439999999999998</v>
      </c>
      <c r="Q20" s="37">
        <f t="shared" si="6"/>
        <v>2</v>
      </c>
      <c r="R20" s="6">
        <f t="shared" si="6"/>
        <v>73</v>
      </c>
      <c r="S20" s="6">
        <f t="shared" si="6"/>
        <v>0.126</v>
      </c>
      <c r="T20" s="6">
        <f t="shared" si="6"/>
        <v>9.7000000000000003E-2</v>
      </c>
      <c r="U20" s="171">
        <f t="shared" si="6"/>
        <v>36.5</v>
      </c>
      <c r="V20" s="31">
        <f t="shared" si="6"/>
        <v>93</v>
      </c>
      <c r="W20" s="6">
        <f t="shared" si="6"/>
        <v>51.69</v>
      </c>
      <c r="X20" s="6">
        <f t="shared" si="6"/>
        <v>47.19</v>
      </c>
      <c r="Y20" s="37">
        <f t="shared" si="7"/>
        <v>63.44</v>
      </c>
      <c r="Z20" s="37">
        <f t="shared" si="8"/>
        <v>49.63</v>
      </c>
      <c r="AA20" s="37">
        <f t="shared" si="9"/>
        <v>59</v>
      </c>
      <c r="AB20" s="37">
        <f t="shared" si="10"/>
        <v>31.69</v>
      </c>
      <c r="AC20" s="31">
        <f t="shared" si="11"/>
        <v>3.9375</v>
      </c>
      <c r="AD20" s="122">
        <f t="shared" si="12"/>
        <v>8</v>
      </c>
      <c r="AE20" s="6">
        <f t="shared" si="13"/>
        <v>1</v>
      </c>
      <c r="AF20" s="108">
        <f t="shared" si="14"/>
        <v>0.5</v>
      </c>
      <c r="AG20" s="122" t="s">
        <v>519</v>
      </c>
      <c r="AH20" s="37">
        <f t="shared" si="15"/>
        <v>44.63</v>
      </c>
      <c r="AI20" s="6">
        <f t="shared" si="16"/>
        <v>30.63</v>
      </c>
      <c r="AJ20" s="173">
        <f t="shared" si="16"/>
        <v>1.88</v>
      </c>
      <c r="AK20" s="423">
        <f t="shared" si="17"/>
        <v>5.870000000000001</v>
      </c>
      <c r="AL20" s="122">
        <f t="shared" si="18"/>
        <v>67</v>
      </c>
      <c r="AM20" s="6">
        <f t="shared" si="19"/>
        <v>46.800000000000004</v>
      </c>
      <c r="AN20" s="31">
        <f t="shared" si="20"/>
        <v>55.25</v>
      </c>
      <c r="AO20" s="173">
        <v>2</v>
      </c>
      <c r="AP20" s="122">
        <f t="shared" si="21"/>
        <v>6</v>
      </c>
      <c r="AQ20" s="37">
        <v>0.5</v>
      </c>
      <c r="AR20" s="31">
        <f t="shared" si="22"/>
        <v>5.90625</v>
      </c>
      <c r="AS20" s="173">
        <f t="shared" si="23"/>
        <v>5.5</v>
      </c>
      <c r="AT20" s="108">
        <f t="shared" si="24"/>
        <v>6.03125</v>
      </c>
      <c r="AU20" s="341"/>
      <c r="AV20" s="220" t="s">
        <v>144</v>
      </c>
      <c r="AW20" s="318" t="s">
        <v>188</v>
      </c>
      <c r="AX20" s="373">
        <v>63.5</v>
      </c>
      <c r="AY20" s="24">
        <f t="shared" si="25"/>
        <v>85</v>
      </c>
      <c r="AZ20" s="6">
        <v>3</v>
      </c>
      <c r="BA20" s="6">
        <v>4</v>
      </c>
      <c r="BB20" s="31">
        <v>0.313</v>
      </c>
      <c r="BC20" s="6">
        <v>0.81</v>
      </c>
      <c r="BD20" s="6">
        <v>48</v>
      </c>
      <c r="BE20" s="6">
        <v>66.25</v>
      </c>
      <c r="BF20" s="6">
        <v>2</v>
      </c>
      <c r="BG20" s="6">
        <v>73</v>
      </c>
      <c r="BH20" s="31">
        <v>0.126</v>
      </c>
      <c r="BI20" s="31">
        <v>9.7000000000000003E-2</v>
      </c>
      <c r="BJ20" s="171">
        <f t="shared" si="31"/>
        <v>36.5</v>
      </c>
      <c r="BK20" s="31">
        <v>93</v>
      </c>
      <c r="BL20" s="6">
        <v>51.69</v>
      </c>
      <c r="BM20" s="6">
        <v>47.19</v>
      </c>
      <c r="BN20" s="6">
        <v>63.44</v>
      </c>
      <c r="BO20" s="6">
        <v>45.56</v>
      </c>
      <c r="BP20" s="6">
        <v>48.88</v>
      </c>
      <c r="BQ20" s="6">
        <v>49.63</v>
      </c>
      <c r="BR20" s="6">
        <v>44.63</v>
      </c>
      <c r="BS20" s="6">
        <v>8</v>
      </c>
      <c r="BT20" s="6">
        <v>0.88</v>
      </c>
      <c r="BU20" s="6">
        <v>1</v>
      </c>
      <c r="BV20" s="6">
        <v>0.44</v>
      </c>
      <c r="BW20" s="6">
        <v>0.5</v>
      </c>
      <c r="BX20" s="6">
        <v>30.63</v>
      </c>
      <c r="BY20" s="6">
        <v>1.88</v>
      </c>
      <c r="BZ20" s="6">
        <v>58.19</v>
      </c>
      <c r="CA20" s="6">
        <v>59</v>
      </c>
      <c r="CB20" s="6">
        <v>31.69</v>
      </c>
      <c r="CC20" s="909">
        <v>3.4375</v>
      </c>
      <c r="CD20" s="910">
        <v>3.9375</v>
      </c>
      <c r="CE20" s="6">
        <f>BA20+1</f>
        <v>5</v>
      </c>
      <c r="CF20" s="108">
        <f>BA20+2</f>
        <v>6</v>
      </c>
      <c r="CG20" s="23"/>
      <c r="CH20" s="220" t="s">
        <v>188</v>
      </c>
      <c r="CI20" s="37">
        <v>63.69</v>
      </c>
      <c r="CJ20" s="24">
        <f t="shared" si="28"/>
        <v>85.13</v>
      </c>
      <c r="CK20" s="6">
        <v>3.5</v>
      </c>
      <c r="CL20" s="6">
        <v>5</v>
      </c>
      <c r="CM20" s="31">
        <v>0.5</v>
      </c>
      <c r="CN20" s="6">
        <v>0.81</v>
      </c>
      <c r="CO20" s="6">
        <v>48</v>
      </c>
      <c r="CP20" s="6">
        <v>66.75</v>
      </c>
      <c r="CQ20" s="6">
        <v>2.5</v>
      </c>
      <c r="CR20" s="6">
        <v>74</v>
      </c>
      <c r="CS20" s="31">
        <v>0.17499999999999999</v>
      </c>
      <c r="CT20" s="31">
        <v>0.17499999999999999</v>
      </c>
      <c r="CU20" s="31">
        <f t="shared" si="33"/>
        <v>37</v>
      </c>
      <c r="CV20" s="31">
        <v>95.13</v>
      </c>
      <c r="CW20" s="6">
        <v>51.75</v>
      </c>
      <c r="CX20" s="6">
        <v>47.69</v>
      </c>
      <c r="CY20" s="6">
        <f>66-CQ20</f>
        <v>63.5</v>
      </c>
      <c r="CZ20" s="6">
        <v>45.63</v>
      </c>
      <c r="DA20" s="6">
        <v>50.44</v>
      </c>
      <c r="DB20" s="6">
        <v>45.19</v>
      </c>
      <c r="DC20" s="6">
        <v>9.5</v>
      </c>
      <c r="DD20" s="6">
        <v>1</v>
      </c>
      <c r="DE20" s="6">
        <v>0.5</v>
      </c>
      <c r="DF20" s="6">
        <v>30.13</v>
      </c>
      <c r="DG20" s="6">
        <v>2.38</v>
      </c>
      <c r="DH20" s="6">
        <v>61.31</v>
      </c>
      <c r="DI20" s="6">
        <v>31.69</v>
      </c>
      <c r="DJ20" s="909">
        <v>4.4375</v>
      </c>
      <c r="DK20" s="108">
        <f>CL20+2</f>
        <v>7</v>
      </c>
    </row>
    <row r="21" spans="2:115" s="15" customFormat="1" x14ac:dyDescent="0.2">
      <c r="B21" s="942"/>
      <c r="C21" s="371" t="s">
        <v>257</v>
      </c>
      <c r="D21" s="365">
        <f t="shared" si="0"/>
        <v>66</v>
      </c>
      <c r="E21" s="289" t="s">
        <v>2059</v>
      </c>
      <c r="F21" s="405" t="str">
        <f t="shared" si="1"/>
        <v>445T</v>
      </c>
      <c r="G21" s="293">
        <f t="shared" si="2"/>
        <v>69.69</v>
      </c>
      <c r="H21" s="399">
        <f t="shared" si="2"/>
        <v>93.75</v>
      </c>
      <c r="I21" s="6">
        <f t="shared" si="2"/>
        <v>3.5</v>
      </c>
      <c r="J21" s="37">
        <f t="shared" si="2"/>
        <v>5</v>
      </c>
      <c r="K21" s="396">
        <f t="shared" si="2"/>
        <v>0.5</v>
      </c>
      <c r="L21" s="6">
        <f t="shared" si="2"/>
        <v>0.81</v>
      </c>
      <c r="M21" s="37">
        <v>0.75</v>
      </c>
      <c r="N21" s="37">
        <f t="shared" si="3"/>
        <v>52.5</v>
      </c>
      <c r="O21" s="37">
        <f t="shared" si="4"/>
        <v>68.13</v>
      </c>
      <c r="P21" s="37">
        <f t="shared" si="5"/>
        <v>35.129999999999995</v>
      </c>
      <c r="Q21" s="37">
        <f t="shared" si="6"/>
        <v>2.5</v>
      </c>
      <c r="R21" s="6">
        <f t="shared" si="6"/>
        <v>80</v>
      </c>
      <c r="S21" s="6">
        <f t="shared" si="6"/>
        <v>0.126</v>
      </c>
      <c r="T21" s="6">
        <f t="shared" si="6"/>
        <v>9.7000000000000003E-2</v>
      </c>
      <c r="U21" s="171">
        <f t="shared" si="6"/>
        <v>40</v>
      </c>
      <c r="V21" s="31">
        <f t="shared" si="6"/>
        <v>103.75</v>
      </c>
      <c r="W21" s="6">
        <f t="shared" si="6"/>
        <v>56.81</v>
      </c>
      <c r="X21" s="6">
        <f t="shared" si="6"/>
        <v>51.94</v>
      </c>
      <c r="Y21" s="37">
        <f t="shared" si="7"/>
        <v>69.63</v>
      </c>
      <c r="Z21" s="37">
        <f t="shared" si="8"/>
        <v>54.06</v>
      </c>
      <c r="AA21" s="37">
        <f t="shared" si="9"/>
        <v>63.38</v>
      </c>
      <c r="AB21" s="37">
        <f t="shared" si="10"/>
        <v>34.75</v>
      </c>
      <c r="AC21" s="31">
        <f t="shared" si="11"/>
        <v>3.9375</v>
      </c>
      <c r="AD21" s="122">
        <f t="shared" si="12"/>
        <v>8</v>
      </c>
      <c r="AE21" s="6">
        <f t="shared" si="13"/>
        <v>1</v>
      </c>
      <c r="AF21" s="108">
        <f t="shared" si="14"/>
        <v>0.5</v>
      </c>
      <c r="AG21" s="122" t="s">
        <v>519</v>
      </c>
      <c r="AH21" s="37">
        <f t="shared" si="15"/>
        <v>49.5</v>
      </c>
      <c r="AI21" s="6">
        <f t="shared" si="16"/>
        <v>33.130000000000003</v>
      </c>
      <c r="AJ21" s="173">
        <f t="shared" si="16"/>
        <v>2.38</v>
      </c>
      <c r="AK21" s="423">
        <f t="shared" si="17"/>
        <v>6.8699999999999974</v>
      </c>
      <c r="AL21" s="122">
        <f t="shared" si="18"/>
        <v>73</v>
      </c>
      <c r="AM21" s="6">
        <f t="shared" si="19"/>
        <v>51.480000000000004</v>
      </c>
      <c r="AN21" s="31">
        <f t="shared" si="20"/>
        <v>60.9375</v>
      </c>
      <c r="AO21" s="173">
        <v>2</v>
      </c>
      <c r="AP21" s="122">
        <f t="shared" si="21"/>
        <v>6</v>
      </c>
      <c r="AQ21" s="37">
        <v>0.5</v>
      </c>
      <c r="AR21" s="31">
        <f t="shared" si="22"/>
        <v>5.90625</v>
      </c>
      <c r="AS21" s="173">
        <f t="shared" si="23"/>
        <v>5.5</v>
      </c>
      <c r="AT21" s="108">
        <f t="shared" si="24"/>
        <v>6.03125</v>
      </c>
      <c r="AU21" s="341"/>
      <c r="AV21" s="220" t="s">
        <v>144</v>
      </c>
      <c r="AW21" s="318" t="s">
        <v>188</v>
      </c>
      <c r="AX21" s="373">
        <v>69.69</v>
      </c>
      <c r="AY21" s="24">
        <f t="shared" si="25"/>
        <v>93.75</v>
      </c>
      <c r="AZ21" s="6">
        <v>3.5</v>
      </c>
      <c r="BA21" s="6">
        <v>5</v>
      </c>
      <c r="BB21" s="31">
        <v>0.5</v>
      </c>
      <c r="BC21" s="6">
        <v>0.81</v>
      </c>
      <c r="BD21" s="6">
        <v>52.5</v>
      </c>
      <c r="BE21" s="6">
        <v>73.25</v>
      </c>
      <c r="BF21" s="6">
        <v>2.5</v>
      </c>
      <c r="BG21" s="6">
        <v>80</v>
      </c>
      <c r="BH21" s="31">
        <v>0.126</v>
      </c>
      <c r="BI21" s="31">
        <v>9.7000000000000003E-2</v>
      </c>
      <c r="BJ21" s="171">
        <f t="shared" si="31"/>
        <v>40</v>
      </c>
      <c r="BK21" s="31">
        <v>103.75</v>
      </c>
      <c r="BL21" s="6">
        <v>56.81</v>
      </c>
      <c r="BM21" s="6">
        <v>51.94</v>
      </c>
      <c r="BN21" s="6">
        <v>69.63</v>
      </c>
      <c r="BO21" s="6">
        <v>49.94</v>
      </c>
      <c r="BP21" s="6">
        <v>53.25</v>
      </c>
      <c r="BQ21" s="6">
        <v>54.06</v>
      </c>
      <c r="BR21" s="6">
        <v>49.5</v>
      </c>
      <c r="BS21" s="6">
        <v>8</v>
      </c>
      <c r="BT21" s="6">
        <v>0.88</v>
      </c>
      <c r="BU21" s="6">
        <v>1</v>
      </c>
      <c r="BV21" s="6">
        <v>0.44</v>
      </c>
      <c r="BW21" s="6">
        <v>0.5</v>
      </c>
      <c r="BX21" s="6">
        <v>33.130000000000003</v>
      </c>
      <c r="BY21" s="6">
        <v>2.38</v>
      </c>
      <c r="BZ21" s="6">
        <v>62.56</v>
      </c>
      <c r="CA21" s="6">
        <v>63.38</v>
      </c>
      <c r="CB21" s="6">
        <v>34.75</v>
      </c>
      <c r="CC21" s="909">
        <v>3.4375</v>
      </c>
      <c r="CD21" s="910">
        <v>3.9375</v>
      </c>
      <c r="CE21" s="6">
        <f>BA21+0</f>
        <v>5</v>
      </c>
      <c r="CF21" s="108">
        <f t="shared" ref="CF21:CF22" si="43">BA21+1</f>
        <v>6</v>
      </c>
      <c r="CG21" s="23"/>
      <c r="CH21" s="220" t="s">
        <v>188</v>
      </c>
      <c r="CI21" s="37">
        <v>69.88</v>
      </c>
      <c r="CJ21" s="24">
        <f t="shared" si="28"/>
        <v>93.88</v>
      </c>
      <c r="CK21" s="6">
        <v>4</v>
      </c>
      <c r="CL21" s="6">
        <v>6</v>
      </c>
      <c r="CM21" s="31">
        <v>0.5</v>
      </c>
      <c r="CN21" s="6">
        <v>0.81</v>
      </c>
      <c r="CO21" s="6">
        <v>52.5</v>
      </c>
      <c r="CP21" s="6">
        <v>73.75</v>
      </c>
      <c r="CQ21" s="6">
        <v>2.5</v>
      </c>
      <c r="CR21" s="6">
        <v>80</v>
      </c>
      <c r="CS21" s="31">
        <v>0.17499999999999999</v>
      </c>
      <c r="CT21" s="31">
        <v>0.17499999999999999</v>
      </c>
      <c r="CU21" s="31">
        <f t="shared" si="33"/>
        <v>40</v>
      </c>
      <c r="CV21" s="31">
        <v>105.88</v>
      </c>
      <c r="CW21" s="6">
        <v>56.88</v>
      </c>
      <c r="CX21" s="6">
        <v>52.44</v>
      </c>
      <c r="CY21" s="6">
        <f>72.19-CQ21</f>
        <v>69.69</v>
      </c>
      <c r="CZ21" s="6">
        <v>50</v>
      </c>
      <c r="DA21" s="6">
        <v>55.12</v>
      </c>
      <c r="DB21" s="6">
        <v>50.06</v>
      </c>
      <c r="DC21" s="6">
        <v>10</v>
      </c>
      <c r="DD21" s="6">
        <v>1.25</v>
      </c>
      <c r="DE21" s="6">
        <v>0.63</v>
      </c>
      <c r="DF21" s="6">
        <v>32.630000000000003</v>
      </c>
      <c r="DG21" s="6">
        <v>2.88</v>
      </c>
      <c r="DH21" s="6">
        <v>66.63</v>
      </c>
      <c r="DI21" s="6">
        <v>34.75</v>
      </c>
      <c r="DJ21" s="909">
        <v>4.9375</v>
      </c>
      <c r="DK21" s="108">
        <f t="shared" ref="DK21:DK22" si="44">CL21+1</f>
        <v>7</v>
      </c>
    </row>
    <row r="22" spans="2:115" s="15" customFormat="1" ht="13.5" thickBot="1" x14ac:dyDescent="0.25">
      <c r="B22" s="944"/>
      <c r="C22" s="290" t="s">
        <v>1211</v>
      </c>
      <c r="D22" s="406">
        <f t="shared" si="0"/>
        <v>73</v>
      </c>
      <c r="E22" s="355" t="s">
        <v>2059</v>
      </c>
      <c r="F22" s="424" t="str">
        <f t="shared" si="1"/>
        <v>445T</v>
      </c>
      <c r="G22" s="369">
        <f t="shared" si="2"/>
        <v>77.25</v>
      </c>
      <c r="H22" s="401">
        <f t="shared" si="2"/>
        <v>103.375</v>
      </c>
      <c r="I22" s="1">
        <f t="shared" si="2"/>
        <v>3.5</v>
      </c>
      <c r="J22" s="40">
        <f t="shared" si="2"/>
        <v>5</v>
      </c>
      <c r="K22" s="335">
        <f t="shared" si="2"/>
        <v>0.5</v>
      </c>
      <c r="L22" s="1">
        <f t="shared" si="2"/>
        <v>0.81</v>
      </c>
      <c r="M22" s="40">
        <v>0.75</v>
      </c>
      <c r="N22" s="40">
        <f t="shared" si="3"/>
        <v>57</v>
      </c>
      <c r="O22" s="40">
        <f t="shared" si="4"/>
        <v>75.63</v>
      </c>
      <c r="P22" s="40">
        <f t="shared" si="5"/>
        <v>38.629999999999995</v>
      </c>
      <c r="Q22" s="40">
        <f t="shared" si="6"/>
        <v>2.5</v>
      </c>
      <c r="R22" s="1">
        <f t="shared" si="6"/>
        <v>88</v>
      </c>
      <c r="S22" s="1">
        <f t="shared" si="6"/>
        <v>0.126</v>
      </c>
      <c r="T22" s="1">
        <f t="shared" si="6"/>
        <v>0.126</v>
      </c>
      <c r="U22" s="168">
        <f t="shared" si="6"/>
        <v>44</v>
      </c>
      <c r="V22" s="26">
        <f t="shared" si="6"/>
        <v>113.375</v>
      </c>
      <c r="W22" s="1">
        <f t="shared" si="6"/>
        <v>62.88</v>
      </c>
      <c r="X22" s="1">
        <f t="shared" si="6"/>
        <v>57.5</v>
      </c>
      <c r="Y22" s="40">
        <f t="shared" si="7"/>
        <v>77.13</v>
      </c>
      <c r="Z22" s="40">
        <f t="shared" si="8"/>
        <v>58.81</v>
      </c>
      <c r="AA22" s="40">
        <f t="shared" si="9"/>
        <v>69.19</v>
      </c>
      <c r="AB22" s="40">
        <f t="shared" si="10"/>
        <v>38.5</v>
      </c>
      <c r="AC22" s="26">
        <f t="shared" si="11"/>
        <v>3.9375</v>
      </c>
      <c r="AD22" s="112">
        <f t="shared" si="12"/>
        <v>9</v>
      </c>
      <c r="AE22" s="1">
        <f t="shared" si="13"/>
        <v>1</v>
      </c>
      <c r="AF22" s="128">
        <f t="shared" si="14"/>
        <v>0.5</v>
      </c>
      <c r="AG22" s="112" t="s">
        <v>519</v>
      </c>
      <c r="AH22" s="40">
        <f t="shared" si="15"/>
        <v>54.31</v>
      </c>
      <c r="AI22" s="1">
        <f t="shared" si="16"/>
        <v>37.130000000000003</v>
      </c>
      <c r="AJ22" s="177">
        <f t="shared" si="16"/>
        <v>2.38</v>
      </c>
      <c r="AK22" s="420">
        <f t="shared" si="17"/>
        <v>6.8699999999999974</v>
      </c>
      <c r="AL22" s="112">
        <f t="shared" si="18"/>
        <v>81</v>
      </c>
      <c r="AM22" s="1">
        <f t="shared" si="19"/>
        <v>56.940000000000005</v>
      </c>
      <c r="AN22" s="26">
        <f t="shared" si="20"/>
        <v>67.193750000000009</v>
      </c>
      <c r="AO22" s="177">
        <v>2</v>
      </c>
      <c r="AP22" s="112">
        <f t="shared" si="21"/>
        <v>6</v>
      </c>
      <c r="AQ22" s="40">
        <v>0.5</v>
      </c>
      <c r="AR22" s="26">
        <f t="shared" si="22"/>
        <v>5.90625</v>
      </c>
      <c r="AS22" s="177">
        <f t="shared" si="23"/>
        <v>5.5</v>
      </c>
      <c r="AT22" s="128">
        <f t="shared" si="24"/>
        <v>6.03125</v>
      </c>
      <c r="AU22" s="341"/>
      <c r="AV22" s="223" t="s">
        <v>188</v>
      </c>
      <c r="AW22" s="392" t="s">
        <v>188</v>
      </c>
      <c r="AX22" s="348">
        <v>77.25</v>
      </c>
      <c r="AY22" s="381">
        <f t="shared" si="25"/>
        <v>103.375</v>
      </c>
      <c r="AZ22" s="1">
        <v>3.5</v>
      </c>
      <c r="BA22" s="1">
        <v>5</v>
      </c>
      <c r="BB22" s="26">
        <v>0.5</v>
      </c>
      <c r="BC22" s="1">
        <v>0.81</v>
      </c>
      <c r="BD22" s="1">
        <v>57</v>
      </c>
      <c r="BE22" s="1">
        <v>80.75</v>
      </c>
      <c r="BF22" s="1">
        <v>2.5</v>
      </c>
      <c r="BG22" s="1">
        <v>88</v>
      </c>
      <c r="BH22" s="26">
        <v>0.126</v>
      </c>
      <c r="BI22" s="26">
        <v>0.126</v>
      </c>
      <c r="BJ22" s="168">
        <f t="shared" si="31"/>
        <v>44</v>
      </c>
      <c r="BK22" s="26">
        <v>113.375</v>
      </c>
      <c r="BL22" s="1">
        <v>62.88</v>
      </c>
      <c r="BM22" s="1">
        <v>57.5</v>
      </c>
      <c r="BN22" s="1">
        <v>77.13</v>
      </c>
      <c r="BO22" s="1">
        <v>55.38</v>
      </c>
      <c r="BP22" s="1">
        <v>58.81</v>
      </c>
      <c r="BQ22" s="1">
        <v>58.81</v>
      </c>
      <c r="BR22" s="1">
        <v>54.31</v>
      </c>
      <c r="BS22" s="1">
        <v>9</v>
      </c>
      <c r="BT22" s="1">
        <v>1</v>
      </c>
      <c r="BU22" s="1">
        <v>1</v>
      </c>
      <c r="BV22" s="1">
        <v>0.5</v>
      </c>
      <c r="BW22" s="1">
        <v>0.5</v>
      </c>
      <c r="BX22" s="1">
        <v>37.130000000000003</v>
      </c>
      <c r="BY22" s="1">
        <v>2.38</v>
      </c>
      <c r="BZ22" s="1">
        <v>69.19</v>
      </c>
      <c r="CA22" s="1">
        <v>69.19</v>
      </c>
      <c r="CB22" s="1">
        <v>38.5</v>
      </c>
      <c r="CC22" s="911">
        <v>3.9375</v>
      </c>
      <c r="CD22" s="912">
        <v>3.9375</v>
      </c>
      <c r="CE22" s="1">
        <f>BA22+1</f>
        <v>6</v>
      </c>
      <c r="CF22" s="128">
        <f t="shared" si="43"/>
        <v>6</v>
      </c>
      <c r="CG22" s="23"/>
      <c r="CH22" s="223" t="s">
        <v>188</v>
      </c>
      <c r="CI22" s="40">
        <v>77.38</v>
      </c>
      <c r="CJ22" s="26">
        <f t="shared" si="28"/>
        <v>103.5</v>
      </c>
      <c r="CK22" s="1">
        <v>4</v>
      </c>
      <c r="CL22" s="1">
        <v>6</v>
      </c>
      <c r="CM22" s="26">
        <v>0.5</v>
      </c>
      <c r="CN22" s="1">
        <v>0.81</v>
      </c>
      <c r="CO22" s="1">
        <v>57</v>
      </c>
      <c r="CP22" s="1">
        <v>81.25</v>
      </c>
      <c r="CQ22" s="1">
        <v>2.5</v>
      </c>
      <c r="CR22" s="1">
        <v>88</v>
      </c>
      <c r="CS22" s="26">
        <v>0.17499999999999999</v>
      </c>
      <c r="CT22" s="26">
        <v>0.17499999999999999</v>
      </c>
      <c r="CU22" s="26">
        <f t="shared" si="33"/>
        <v>44</v>
      </c>
      <c r="CV22" s="26">
        <v>115.5</v>
      </c>
      <c r="CW22" s="1">
        <v>62.94</v>
      </c>
      <c r="CX22" s="1">
        <v>58</v>
      </c>
      <c r="CY22" s="1">
        <f>79.69-CQ22</f>
        <v>77.19</v>
      </c>
      <c r="CZ22" s="1">
        <v>55.44</v>
      </c>
      <c r="DA22" s="1">
        <v>59.94</v>
      </c>
      <c r="DB22" s="1">
        <v>54.88</v>
      </c>
      <c r="DC22" s="1">
        <v>10</v>
      </c>
      <c r="DD22" s="1">
        <v>1.25</v>
      </c>
      <c r="DE22" s="1">
        <v>0.63</v>
      </c>
      <c r="DF22" s="1">
        <v>36.630000000000003</v>
      </c>
      <c r="DG22" s="1">
        <v>2.88</v>
      </c>
      <c r="DH22" s="1">
        <v>71.44</v>
      </c>
      <c r="DI22" s="1">
        <v>38.5</v>
      </c>
      <c r="DJ22" s="911">
        <v>4.9375</v>
      </c>
      <c r="DK22" s="128">
        <f t="shared" si="44"/>
        <v>7</v>
      </c>
    </row>
    <row r="23" spans="2:115" ht="13.5" thickBot="1" x14ac:dyDescent="0.25">
      <c r="AK23" s="15"/>
      <c r="AY23" s="201"/>
      <c r="CC23" s="913"/>
      <c r="CD23" s="913"/>
      <c r="CG23" s="23"/>
      <c r="CJ23" s="201"/>
      <c r="CV23" s="201"/>
      <c r="DJ23" s="913"/>
    </row>
    <row r="24" spans="2:115" ht="24" thickBot="1" x14ac:dyDescent="0.25">
      <c r="C24" s="945" t="s">
        <v>917</v>
      </c>
      <c r="D24" s="946"/>
      <c r="E24" s="946"/>
      <c r="F24" s="946"/>
      <c r="G24" s="946"/>
      <c r="H24" s="946"/>
      <c r="I24" s="946"/>
      <c r="J24" s="946"/>
      <c r="K24" s="946"/>
      <c r="L24" s="946"/>
      <c r="M24" s="946"/>
      <c r="N24" s="946"/>
      <c r="O24" s="946"/>
      <c r="P24" s="946"/>
      <c r="Q24" s="946"/>
      <c r="R24" s="946"/>
      <c r="S24" s="946"/>
      <c r="T24" s="946"/>
      <c r="U24" s="946"/>
      <c r="V24" s="946"/>
      <c r="W24" s="946"/>
      <c r="X24" s="946"/>
      <c r="Y24" s="947"/>
      <c r="Z24" s="947"/>
      <c r="AA24" s="947"/>
      <c r="AB24" s="947"/>
      <c r="AC24" s="948"/>
      <c r="AY24" s="201"/>
      <c r="CC24" s="913"/>
      <c r="CD24" s="913"/>
      <c r="CG24" s="23"/>
      <c r="CJ24" s="201"/>
      <c r="CV24" s="201"/>
      <c r="DJ24" s="913"/>
    </row>
    <row r="25" spans="2:115" x14ac:dyDescent="0.2">
      <c r="B25" s="940" t="s">
        <v>1611</v>
      </c>
      <c r="C25" s="294" t="s">
        <v>113</v>
      </c>
      <c r="D25" s="417">
        <f t="shared" ref="D25:D43" si="45">LEFT(C25,3)/10</f>
        <v>12.2</v>
      </c>
      <c r="E25" s="321" t="s">
        <v>1668</v>
      </c>
      <c r="F25" s="434" t="str">
        <f t="shared" ref="F25:F43" si="46">IF(FANCLASS=1,AV25,IF(FANCLASS=2,AW25, IF(FANCLASS=3,CH25)))</f>
        <v>254T</v>
      </c>
      <c r="G25" s="330">
        <f t="shared" ref="G25:L43" si="47">IF(OR(FANCLASS=1,FANCLASS=2),AX25, IF(FANCLASS=3,CI25))</f>
        <v>13</v>
      </c>
      <c r="H25" s="215">
        <f t="shared" si="47"/>
        <v>17.5</v>
      </c>
      <c r="I25" s="172">
        <f t="shared" si="47"/>
        <v>1.5</v>
      </c>
      <c r="J25" s="172">
        <f t="shared" si="47"/>
        <v>1.5</v>
      </c>
      <c r="K25" s="215">
        <f t="shared" si="47"/>
        <v>0.188</v>
      </c>
      <c r="L25" s="172">
        <f t="shared" si="47"/>
        <v>0.44</v>
      </c>
      <c r="M25" s="27">
        <v>0.375</v>
      </c>
      <c r="N25" s="27">
        <f t="shared" ref="N25:N43" si="48">IF(OR(FANCLASS=1,FANCLASS=2),BD25, IF(FANCLASS=3,CO25))</f>
        <v>11.5</v>
      </c>
      <c r="O25" s="27">
        <f t="shared" ref="O25:O43" si="49">IF(OR(FANDISCHARGELOC="F",FANDISCHARGELOC="R",FANDISCHARGELOC="T",FANDISCHARGELOC="TI"),Y25-1.5,IF(OR(FANDISCHARGELOC="B",FANDISCHARGELOC="BI",FANDISCHARGELOC="FI",FANDISCHARGELOC="RI"),Y25-((TAN(60*PI()/180))*(W25-R25/2))-3))</f>
        <v>7.75</v>
      </c>
      <c r="P25" s="27">
        <f t="shared" ref="P25:P43" si="50">IF(OR(FANDISCHARGELOC="F",FANDISCHARGELOC="R"),O25-AL25/2+I25,IF(OR(FANDISCHARGELOC="FI",FANDISCHARGELOC="RI"),O25-(AR25+0.5),IF(OR(FANDISCHARGELOC="T",FANDISCHARGELOC="TI",FANDISCHARGELOC="B",FANDISCHARGELOC="BI"),O25-(AR25+2))))</f>
        <v>0.875</v>
      </c>
      <c r="Q25" s="27">
        <f t="shared" ref="Q25:Y43" si="51">IF(OR(FANCLASS=1,FANCLASS=2),BF25, IF(FANCLASS=3,CQ25))</f>
        <v>1</v>
      </c>
      <c r="R25" s="27">
        <f t="shared" si="51"/>
        <v>19.75</v>
      </c>
      <c r="S25" s="27">
        <f t="shared" si="51"/>
        <v>7.0000000000000007E-2</v>
      </c>
      <c r="T25" s="27">
        <f t="shared" si="51"/>
        <v>7.0000000000000007E-2</v>
      </c>
      <c r="U25" s="212">
        <f t="shared" si="51"/>
        <v>9.875</v>
      </c>
      <c r="V25" s="212">
        <f t="shared" si="51"/>
        <v>20.5</v>
      </c>
      <c r="W25" s="27">
        <f t="shared" si="51"/>
        <v>9.31</v>
      </c>
      <c r="X25" s="27">
        <f t="shared" si="51"/>
        <v>12.94</v>
      </c>
      <c r="Y25" s="27">
        <f t="shared" si="51"/>
        <v>9.25</v>
      </c>
      <c r="Z25" s="27">
        <f t="shared" ref="Z25:Z43" si="52">IF(FANCLASS=1,BP25,IF(FANCLASS=2,BQ25, IF(FANCLASS=3,DA25)))</f>
        <v>12.38</v>
      </c>
      <c r="AA25" s="27">
        <f t="shared" ref="AA25:AA43" si="53">IF(FANCLASS=1,BZ25,IF(FANCLASS=2,CA25, IF(FANCLASS=3,DH25)))</f>
        <v>16.25</v>
      </c>
      <c r="AB25" s="27">
        <f t="shared" ref="AB25:AB43" si="54">IF(OR(FANCLASS=1,FANCLASS=2),CB25, IF(FANCLASS=3,DI25))</f>
        <v>6.44</v>
      </c>
      <c r="AC25" s="35">
        <f t="shared" ref="AC25:AC43" si="55">IF(FANCLASS=1,CC25,IF(FANCLASS=2,CD25, IF(FANCLASS=3,DJ25)))</f>
        <v>1.4375</v>
      </c>
      <c r="AD25" s="133">
        <f t="shared" ref="AD25:AD43" si="56">IF(OR(FANCLASS=1,FANCLASS=2),BS25, IF(FANCLASS=3,DC25))</f>
        <v>3</v>
      </c>
      <c r="AE25" s="8">
        <f t="shared" ref="AE25:AE43" si="57">IF(FANCLASS=1,BT25,IF(FANCLASS=2,BU25, IF(FANCLASS=3,DD25)))</f>
        <v>0.38</v>
      </c>
      <c r="AF25" s="145">
        <f t="shared" ref="AF25:AF43" si="58">IF(FANCLASS=1,BV25,IF(FANCLASS=2,BW25, IF(FANCLASS=3,DE25)))</f>
        <v>0.19</v>
      </c>
      <c r="AG25" s="133" t="s">
        <v>519</v>
      </c>
      <c r="AH25" s="27">
        <f t="shared" ref="AH25:AH43" si="59">IF(OR(FANCLASS=1,FANCLASS=2),BR25, IF(FANCLASS=3,DB25))</f>
        <v>9.6300000000000008</v>
      </c>
      <c r="AI25" s="8">
        <f t="shared" ref="AI25:AJ43" si="60">IF(OR(FANCLASS=1,FANCLASS=2),BX25, IF(FANCLASS=3,DF25))</f>
        <v>6.75</v>
      </c>
      <c r="AJ25" s="8">
        <f t="shared" si="60"/>
        <v>0.63</v>
      </c>
      <c r="AK25" s="385">
        <f t="shared" ref="AK25:AK43" si="61">U25-AI25</f>
        <v>3.125</v>
      </c>
      <c r="AL25" s="133">
        <f t="shared" ref="AL25:AL43" si="62">R25-I25*2</f>
        <v>16.75</v>
      </c>
      <c r="AM25" s="8">
        <f t="shared" ref="AM25:AM43" si="63">D25*0.78</f>
        <v>9.516</v>
      </c>
      <c r="AN25" s="35">
        <f t="shared" ref="AN25:AN43" si="64">H25*0.65</f>
        <v>11.375</v>
      </c>
      <c r="AO25" s="265">
        <f>1.25</f>
        <v>1.25</v>
      </c>
      <c r="AP25" s="133">
        <f t="shared" ref="AP25:AP43" si="65">IF(FANCLASS=1,CE25,IF(FANCLASS=2,CF25, IF(FANCLASS=3,DK25)))</f>
        <v>2.5</v>
      </c>
      <c r="AQ25" s="27">
        <v>0.375</v>
      </c>
      <c r="AR25" s="35">
        <f t="shared" ref="AR25:AR43" si="66">AC25*1.5</f>
        <v>2.15625</v>
      </c>
      <c r="AS25" s="265">
        <f t="shared" ref="AS25:AS43" si="67">AP25-0.5</f>
        <v>2</v>
      </c>
      <c r="AT25" s="145">
        <f t="shared" ref="AT25:AT43" si="68">AR25+0.125</f>
        <v>2.28125</v>
      </c>
      <c r="AU25" s="23"/>
      <c r="AV25" s="235" t="s">
        <v>423</v>
      </c>
      <c r="AW25" s="297" t="s">
        <v>2059</v>
      </c>
      <c r="AX25" s="246">
        <v>13</v>
      </c>
      <c r="AY25" s="35">
        <f t="shared" ref="AY25:AY43" si="69">BK25-BA25*2</f>
        <v>17.5</v>
      </c>
      <c r="AZ25" s="8">
        <v>1.5</v>
      </c>
      <c r="BA25" s="8">
        <v>1.5</v>
      </c>
      <c r="BB25" s="35">
        <v>0.188</v>
      </c>
      <c r="BC25" s="8">
        <v>0.44</v>
      </c>
      <c r="BD25" s="8">
        <v>11.5</v>
      </c>
      <c r="BE25" s="8" t="s">
        <v>519</v>
      </c>
      <c r="BF25" s="8">
        <v>1</v>
      </c>
      <c r="BG25" s="8">
        <v>19.75</v>
      </c>
      <c r="BH25" s="35">
        <v>7.0000000000000007E-2</v>
      </c>
      <c r="BI25" s="35">
        <v>7.0000000000000007E-2</v>
      </c>
      <c r="BJ25" s="221">
        <f t="shared" ref="BJ25:BJ43" si="70">BG25/2</f>
        <v>9.875</v>
      </c>
      <c r="BK25" s="35">
        <v>20.5</v>
      </c>
      <c r="BL25" s="8">
        <v>9.31</v>
      </c>
      <c r="BM25" s="8">
        <v>12.94</v>
      </c>
      <c r="BN25" s="8">
        <v>9.25</v>
      </c>
      <c r="BO25" s="8" t="s">
        <v>519</v>
      </c>
      <c r="BP25" s="8">
        <v>11.44</v>
      </c>
      <c r="BQ25" s="8">
        <v>12.38</v>
      </c>
      <c r="BR25" s="8">
        <v>9.6300000000000008</v>
      </c>
      <c r="BS25" s="8">
        <v>3</v>
      </c>
      <c r="BT25" s="8">
        <v>0.25</v>
      </c>
      <c r="BU25" s="8">
        <v>0.38</v>
      </c>
      <c r="BV25" s="8">
        <v>0.13</v>
      </c>
      <c r="BW25" s="8">
        <v>0.19</v>
      </c>
      <c r="BX25" s="8">
        <v>6.75</v>
      </c>
      <c r="BY25" s="8">
        <v>0.63</v>
      </c>
      <c r="BZ25" s="8">
        <v>15.25</v>
      </c>
      <c r="CA25" s="8">
        <v>16.25</v>
      </c>
      <c r="CB25" s="8">
        <v>6.44</v>
      </c>
      <c r="CC25" s="893">
        <v>1.1875</v>
      </c>
      <c r="CD25" s="894">
        <v>1.4375</v>
      </c>
      <c r="CE25" s="8">
        <f t="shared" ref="CE25:CE27" si="71">BA25+1</f>
        <v>2.5</v>
      </c>
      <c r="CF25" s="145">
        <f t="shared" ref="CF25:CF29" si="72">BA25+1</f>
        <v>2.5</v>
      </c>
      <c r="CG25" s="23"/>
      <c r="CH25" s="235" t="s">
        <v>2059</v>
      </c>
      <c r="CI25" s="246">
        <v>13.13</v>
      </c>
      <c r="CJ25" s="35">
        <f t="shared" ref="CJ25:CJ43" si="73">CV25-CL25*2</f>
        <v>17.63</v>
      </c>
      <c r="CK25" s="8">
        <v>1.5</v>
      </c>
      <c r="CL25" s="8">
        <v>2</v>
      </c>
      <c r="CM25" s="35">
        <v>0.188</v>
      </c>
      <c r="CN25" s="8">
        <v>0.44</v>
      </c>
      <c r="CO25" s="8">
        <v>11.5</v>
      </c>
      <c r="CP25" s="8" t="s">
        <v>519</v>
      </c>
      <c r="CQ25" s="8">
        <v>1.25</v>
      </c>
      <c r="CR25" s="8">
        <v>19.75</v>
      </c>
      <c r="CS25" s="35">
        <v>0.126</v>
      </c>
      <c r="CT25" s="35">
        <v>0.126</v>
      </c>
      <c r="CU25" s="35">
        <f t="shared" ref="CU25:CU43" si="74">CR25/2</f>
        <v>9.875</v>
      </c>
      <c r="CV25" s="35">
        <v>21.63</v>
      </c>
      <c r="CW25" s="8">
        <v>9.3800000000000008</v>
      </c>
      <c r="CX25" s="8">
        <f>14.25-CQ25</f>
        <v>13</v>
      </c>
      <c r="CY25" s="8">
        <v>9.75</v>
      </c>
      <c r="CZ25" s="8" t="s">
        <v>519</v>
      </c>
      <c r="DA25" s="8">
        <v>12.56</v>
      </c>
      <c r="DB25" s="8">
        <v>9.94</v>
      </c>
      <c r="DC25" s="8">
        <v>3.5</v>
      </c>
      <c r="DD25" s="8">
        <v>0.5</v>
      </c>
      <c r="DE25" s="8">
        <v>0.25</v>
      </c>
      <c r="DF25" s="8">
        <v>6.5</v>
      </c>
      <c r="DG25" s="8">
        <v>0.88</v>
      </c>
      <c r="DH25" s="8">
        <v>17.059999999999999</v>
      </c>
      <c r="DI25" s="8">
        <v>6.44</v>
      </c>
      <c r="DJ25" s="893">
        <v>1.9375</v>
      </c>
      <c r="DK25" s="145">
        <f t="shared" ref="DK25:DK26" si="75">CL25+1</f>
        <v>3</v>
      </c>
    </row>
    <row r="26" spans="2:115" x14ac:dyDescent="0.2">
      <c r="B26" s="941"/>
      <c r="C26" s="403" t="s">
        <v>1780</v>
      </c>
      <c r="D26" s="439">
        <f t="shared" si="45"/>
        <v>13.5</v>
      </c>
      <c r="E26" s="364" t="s">
        <v>1668</v>
      </c>
      <c r="F26" s="331" t="str">
        <f t="shared" si="46"/>
        <v>254T</v>
      </c>
      <c r="G26" s="361">
        <f t="shared" si="47"/>
        <v>14.31</v>
      </c>
      <c r="H26" s="339">
        <f t="shared" si="47"/>
        <v>19.5</v>
      </c>
      <c r="I26" s="3">
        <f t="shared" si="47"/>
        <v>1.5</v>
      </c>
      <c r="J26" s="50">
        <f t="shared" si="47"/>
        <v>1.5</v>
      </c>
      <c r="K26" s="418">
        <f t="shared" si="47"/>
        <v>0.188</v>
      </c>
      <c r="L26" s="3">
        <f t="shared" si="47"/>
        <v>0.44</v>
      </c>
      <c r="M26" s="50">
        <v>0.375</v>
      </c>
      <c r="N26" s="50">
        <f t="shared" si="48"/>
        <v>12.75</v>
      </c>
      <c r="O26" s="50">
        <f t="shared" si="49"/>
        <v>8.75</v>
      </c>
      <c r="P26" s="50">
        <f t="shared" si="50"/>
        <v>1.25</v>
      </c>
      <c r="Q26" s="50">
        <f t="shared" si="51"/>
        <v>1</v>
      </c>
      <c r="R26" s="3">
        <f t="shared" si="51"/>
        <v>21</v>
      </c>
      <c r="S26" s="3">
        <f t="shared" si="51"/>
        <v>7.0000000000000007E-2</v>
      </c>
      <c r="T26" s="3">
        <f t="shared" si="51"/>
        <v>7.0000000000000007E-2</v>
      </c>
      <c r="U26" s="181">
        <f t="shared" si="51"/>
        <v>10.5</v>
      </c>
      <c r="V26" s="22">
        <f t="shared" si="51"/>
        <v>22.5</v>
      </c>
      <c r="W26" s="3">
        <f t="shared" si="51"/>
        <v>10.25</v>
      </c>
      <c r="X26" s="3">
        <f t="shared" si="51"/>
        <v>14.25</v>
      </c>
      <c r="Y26" s="50">
        <f t="shared" si="51"/>
        <v>10.25</v>
      </c>
      <c r="Z26" s="50">
        <f t="shared" si="52"/>
        <v>13.38</v>
      </c>
      <c r="AA26" s="50">
        <f t="shared" si="53"/>
        <v>17.25</v>
      </c>
      <c r="AB26" s="50">
        <f t="shared" si="54"/>
        <v>7.13</v>
      </c>
      <c r="AC26" s="22">
        <f t="shared" si="55"/>
        <v>1.6875</v>
      </c>
      <c r="AD26" s="118">
        <f t="shared" si="56"/>
        <v>3</v>
      </c>
      <c r="AE26" s="3">
        <f t="shared" si="57"/>
        <v>3.8</v>
      </c>
      <c r="AF26" s="116">
        <f t="shared" si="58"/>
        <v>0.19</v>
      </c>
      <c r="AG26" s="118" t="s">
        <v>519</v>
      </c>
      <c r="AH26" s="50">
        <f t="shared" si="59"/>
        <v>10.63</v>
      </c>
      <c r="AI26" s="3">
        <f t="shared" si="60"/>
        <v>7.38</v>
      </c>
      <c r="AJ26" s="157">
        <f t="shared" si="60"/>
        <v>0.63</v>
      </c>
      <c r="AK26" s="286">
        <f t="shared" si="61"/>
        <v>3.12</v>
      </c>
      <c r="AL26" s="118">
        <f t="shared" si="62"/>
        <v>18</v>
      </c>
      <c r="AM26" s="3">
        <f t="shared" si="63"/>
        <v>10.530000000000001</v>
      </c>
      <c r="AN26" s="22">
        <f t="shared" si="64"/>
        <v>12.675000000000001</v>
      </c>
      <c r="AO26" s="157">
        <v>1.25</v>
      </c>
      <c r="AP26" s="118">
        <f t="shared" si="65"/>
        <v>2.5</v>
      </c>
      <c r="AQ26" s="50">
        <v>0.375</v>
      </c>
      <c r="AR26" s="22">
        <f t="shared" si="66"/>
        <v>2.53125</v>
      </c>
      <c r="AS26" s="157">
        <f t="shared" si="67"/>
        <v>2</v>
      </c>
      <c r="AT26" s="116">
        <f t="shared" si="68"/>
        <v>2.65625</v>
      </c>
      <c r="AU26" s="23"/>
      <c r="AV26" s="210" t="s">
        <v>423</v>
      </c>
      <c r="AW26" s="326" t="s">
        <v>2059</v>
      </c>
      <c r="AX26" s="234">
        <v>14.31</v>
      </c>
      <c r="AY26" s="22">
        <f t="shared" si="69"/>
        <v>19.5</v>
      </c>
      <c r="AZ26" s="3">
        <v>1.5</v>
      </c>
      <c r="BA26" s="3">
        <v>1.5</v>
      </c>
      <c r="BB26" s="22">
        <v>0.188</v>
      </c>
      <c r="BC26" s="3">
        <v>0.44</v>
      </c>
      <c r="BD26" s="3">
        <v>12.75</v>
      </c>
      <c r="BE26" s="3" t="s">
        <v>519</v>
      </c>
      <c r="BF26" s="3">
        <v>1</v>
      </c>
      <c r="BG26" s="3">
        <v>21</v>
      </c>
      <c r="BH26" s="22">
        <v>7.0000000000000007E-2</v>
      </c>
      <c r="BI26" s="22">
        <v>7.0000000000000007E-2</v>
      </c>
      <c r="BJ26" s="181">
        <f t="shared" si="70"/>
        <v>10.5</v>
      </c>
      <c r="BK26" s="22">
        <v>22.5</v>
      </c>
      <c r="BL26" s="3">
        <v>10.25</v>
      </c>
      <c r="BM26" s="3">
        <v>14.25</v>
      </c>
      <c r="BN26" s="3">
        <v>10.25</v>
      </c>
      <c r="BO26" s="3" t="s">
        <v>519</v>
      </c>
      <c r="BP26" s="3">
        <v>12.44</v>
      </c>
      <c r="BQ26" s="3">
        <v>13.38</v>
      </c>
      <c r="BR26" s="3">
        <v>10.63</v>
      </c>
      <c r="BS26" s="3">
        <v>3</v>
      </c>
      <c r="BT26" s="3">
        <v>0.25</v>
      </c>
      <c r="BU26" s="3">
        <v>3.8</v>
      </c>
      <c r="BV26" s="3">
        <v>0.13</v>
      </c>
      <c r="BW26" s="3">
        <v>0.19</v>
      </c>
      <c r="BX26" s="3">
        <v>7.38</v>
      </c>
      <c r="BY26" s="3">
        <v>0.63</v>
      </c>
      <c r="BZ26" s="3">
        <v>16.25</v>
      </c>
      <c r="CA26" s="3">
        <v>17.25</v>
      </c>
      <c r="CB26" s="3">
        <v>7.13</v>
      </c>
      <c r="CC26" s="895">
        <v>1.1875</v>
      </c>
      <c r="CD26" s="896">
        <v>1.6875</v>
      </c>
      <c r="CE26" s="3">
        <f t="shared" si="71"/>
        <v>2.5</v>
      </c>
      <c r="CF26" s="116">
        <f t="shared" si="72"/>
        <v>2.5</v>
      </c>
      <c r="CG26" s="23"/>
      <c r="CH26" s="210" t="s">
        <v>2059</v>
      </c>
      <c r="CI26" s="234">
        <v>14.44</v>
      </c>
      <c r="CJ26" s="22">
        <f t="shared" si="73"/>
        <v>19.63</v>
      </c>
      <c r="CK26" s="3">
        <v>1.5</v>
      </c>
      <c r="CL26" s="3">
        <v>2</v>
      </c>
      <c r="CM26" s="22">
        <v>0.188</v>
      </c>
      <c r="CN26" s="3">
        <v>0.44</v>
      </c>
      <c r="CO26" s="3">
        <v>12.75</v>
      </c>
      <c r="CP26" s="3" t="s">
        <v>519</v>
      </c>
      <c r="CQ26" s="3">
        <v>1.25</v>
      </c>
      <c r="CR26" s="3">
        <v>21</v>
      </c>
      <c r="CS26" s="22">
        <v>0.126</v>
      </c>
      <c r="CT26" s="22">
        <v>0.126</v>
      </c>
      <c r="CU26" s="22">
        <f t="shared" si="74"/>
        <v>10.5</v>
      </c>
      <c r="CV26" s="22">
        <v>23.63</v>
      </c>
      <c r="CW26" s="3">
        <v>10.31</v>
      </c>
      <c r="CX26" s="3">
        <f>15.56-CQ26</f>
        <v>14.31</v>
      </c>
      <c r="CY26" s="3">
        <v>10.75</v>
      </c>
      <c r="CZ26" s="3" t="s">
        <v>519</v>
      </c>
      <c r="DA26" s="3">
        <v>13.56</v>
      </c>
      <c r="DB26" s="3">
        <v>10.94</v>
      </c>
      <c r="DC26" s="3">
        <v>4</v>
      </c>
      <c r="DD26" s="3">
        <v>0.5</v>
      </c>
      <c r="DE26" s="3">
        <v>0.25</v>
      </c>
      <c r="DF26" s="3">
        <v>7.13</v>
      </c>
      <c r="DG26" s="3">
        <v>0.88</v>
      </c>
      <c r="DH26" s="3">
        <v>18.559999999999999</v>
      </c>
      <c r="DI26" s="3">
        <v>7.13</v>
      </c>
      <c r="DJ26" s="895">
        <v>1.9375</v>
      </c>
      <c r="DK26" s="116">
        <f t="shared" si="75"/>
        <v>3</v>
      </c>
    </row>
    <row r="27" spans="2:115" x14ac:dyDescent="0.2">
      <c r="B27" s="942"/>
      <c r="C27" s="298" t="s">
        <v>114</v>
      </c>
      <c r="D27" s="438">
        <f t="shared" si="45"/>
        <v>15</v>
      </c>
      <c r="E27" s="315" t="s">
        <v>1668</v>
      </c>
      <c r="F27" s="366" t="str">
        <f t="shared" si="46"/>
        <v>256T</v>
      </c>
      <c r="G27" s="320">
        <f t="shared" si="47"/>
        <v>15.88</v>
      </c>
      <c r="H27" s="300">
        <f t="shared" si="47"/>
        <v>21.5</v>
      </c>
      <c r="I27" s="7">
        <f t="shared" si="47"/>
        <v>1.5</v>
      </c>
      <c r="J27" s="44">
        <f t="shared" si="47"/>
        <v>1.5</v>
      </c>
      <c r="K27" s="345">
        <f t="shared" si="47"/>
        <v>0.188</v>
      </c>
      <c r="L27" s="7">
        <f t="shared" si="47"/>
        <v>0.44</v>
      </c>
      <c r="M27" s="44">
        <v>0.375</v>
      </c>
      <c r="N27" s="44">
        <f t="shared" si="48"/>
        <v>14</v>
      </c>
      <c r="O27" s="44">
        <f t="shared" si="49"/>
        <v>9.94</v>
      </c>
      <c r="P27" s="44">
        <f t="shared" si="50"/>
        <v>1.5649999999999995</v>
      </c>
      <c r="Q27" s="44">
        <f t="shared" si="51"/>
        <v>1</v>
      </c>
      <c r="R27" s="7">
        <f t="shared" si="51"/>
        <v>22.75</v>
      </c>
      <c r="S27" s="7">
        <f t="shared" si="51"/>
        <v>7.0000000000000007E-2</v>
      </c>
      <c r="T27" s="7">
        <f t="shared" si="51"/>
        <v>7.0000000000000007E-2</v>
      </c>
      <c r="U27" s="180">
        <f t="shared" si="51"/>
        <v>11.375</v>
      </c>
      <c r="V27" s="25">
        <f t="shared" si="51"/>
        <v>24.5</v>
      </c>
      <c r="W27" s="7">
        <f t="shared" si="51"/>
        <v>11.38</v>
      </c>
      <c r="X27" s="7">
        <f t="shared" si="51"/>
        <v>15.81</v>
      </c>
      <c r="Y27" s="44">
        <f t="shared" si="51"/>
        <v>11.44</v>
      </c>
      <c r="Z27" s="44">
        <f t="shared" si="52"/>
        <v>14.38</v>
      </c>
      <c r="AA27" s="44">
        <f t="shared" si="53"/>
        <v>18.75</v>
      </c>
      <c r="AB27" s="44">
        <f t="shared" si="54"/>
        <v>7.88</v>
      </c>
      <c r="AC27" s="25">
        <f t="shared" si="55"/>
        <v>1.6875</v>
      </c>
      <c r="AD27" s="130">
        <f t="shared" si="56"/>
        <v>3.5</v>
      </c>
      <c r="AE27" s="7">
        <f t="shared" si="57"/>
        <v>0.38</v>
      </c>
      <c r="AF27" s="117">
        <f t="shared" si="58"/>
        <v>0.19</v>
      </c>
      <c r="AG27" s="130" t="s">
        <v>519</v>
      </c>
      <c r="AH27" s="44">
        <f t="shared" si="59"/>
        <v>11.63</v>
      </c>
      <c r="AI27" s="7">
        <f t="shared" si="60"/>
        <v>8.25</v>
      </c>
      <c r="AJ27" s="158">
        <f t="shared" si="60"/>
        <v>0.63</v>
      </c>
      <c r="AK27" s="382">
        <f t="shared" si="61"/>
        <v>3.125</v>
      </c>
      <c r="AL27" s="130">
        <f t="shared" si="62"/>
        <v>19.75</v>
      </c>
      <c r="AM27" s="7">
        <f t="shared" si="63"/>
        <v>11.700000000000001</v>
      </c>
      <c r="AN27" s="25">
        <f t="shared" si="64"/>
        <v>13.975</v>
      </c>
      <c r="AO27" s="158">
        <v>1.25</v>
      </c>
      <c r="AP27" s="130">
        <f t="shared" si="65"/>
        <v>2.5</v>
      </c>
      <c r="AQ27" s="44">
        <v>0.375</v>
      </c>
      <c r="AR27" s="25">
        <f t="shared" si="66"/>
        <v>2.53125</v>
      </c>
      <c r="AS27" s="158">
        <f t="shared" si="67"/>
        <v>2</v>
      </c>
      <c r="AT27" s="117">
        <f t="shared" si="68"/>
        <v>2.65625</v>
      </c>
      <c r="AU27" s="23"/>
      <c r="AV27" s="210" t="s">
        <v>1521</v>
      </c>
      <c r="AW27" s="326" t="s">
        <v>1100</v>
      </c>
      <c r="AX27" s="217">
        <v>15.88</v>
      </c>
      <c r="AY27" s="22">
        <f t="shared" si="69"/>
        <v>21.5</v>
      </c>
      <c r="AZ27" s="7">
        <v>1.5</v>
      </c>
      <c r="BA27" s="7">
        <v>1.5</v>
      </c>
      <c r="BB27" s="25">
        <v>0.188</v>
      </c>
      <c r="BC27" s="7">
        <v>0.44</v>
      </c>
      <c r="BD27" s="3">
        <v>14</v>
      </c>
      <c r="BE27" s="3" t="s">
        <v>519</v>
      </c>
      <c r="BF27" s="3">
        <v>1</v>
      </c>
      <c r="BG27" s="7">
        <v>22.75</v>
      </c>
      <c r="BH27" s="25">
        <v>7.0000000000000007E-2</v>
      </c>
      <c r="BI27" s="25">
        <v>7.0000000000000007E-2</v>
      </c>
      <c r="BJ27" s="180">
        <f t="shared" si="70"/>
        <v>11.375</v>
      </c>
      <c r="BK27" s="25">
        <v>24.5</v>
      </c>
      <c r="BL27" s="7">
        <v>11.38</v>
      </c>
      <c r="BM27" s="7">
        <v>15.81</v>
      </c>
      <c r="BN27" s="7">
        <v>11.44</v>
      </c>
      <c r="BO27" s="7" t="s">
        <v>519</v>
      </c>
      <c r="BP27" s="7">
        <v>14.38</v>
      </c>
      <c r="BQ27" s="7">
        <v>14.38</v>
      </c>
      <c r="BR27" s="7">
        <v>11.63</v>
      </c>
      <c r="BS27" s="7">
        <v>3.5</v>
      </c>
      <c r="BT27" s="7">
        <v>0.38</v>
      </c>
      <c r="BU27" s="7">
        <v>0.38</v>
      </c>
      <c r="BV27" s="7">
        <v>0.19</v>
      </c>
      <c r="BW27" s="7">
        <v>0.19</v>
      </c>
      <c r="BX27" s="7">
        <v>8.25</v>
      </c>
      <c r="BY27" s="7">
        <v>0.63</v>
      </c>
      <c r="BZ27" s="7">
        <v>18.75</v>
      </c>
      <c r="CA27" s="7">
        <v>18.75</v>
      </c>
      <c r="CB27" s="7">
        <v>7.88</v>
      </c>
      <c r="CC27" s="897">
        <v>1.4375</v>
      </c>
      <c r="CD27" s="898">
        <v>1.6875</v>
      </c>
      <c r="CE27" s="7">
        <f t="shared" si="71"/>
        <v>2.5</v>
      </c>
      <c r="CF27" s="117">
        <f t="shared" si="72"/>
        <v>2.5</v>
      </c>
      <c r="CG27" s="23"/>
      <c r="CH27" s="210" t="s">
        <v>1100</v>
      </c>
      <c r="CI27" s="217">
        <v>16</v>
      </c>
      <c r="CJ27" s="25">
        <f t="shared" si="73"/>
        <v>21.63</v>
      </c>
      <c r="CK27" s="7">
        <v>1.5</v>
      </c>
      <c r="CL27" s="7">
        <v>2</v>
      </c>
      <c r="CM27" s="25">
        <v>0.188</v>
      </c>
      <c r="CN27" s="7">
        <v>0.44</v>
      </c>
      <c r="CO27" s="7">
        <v>14</v>
      </c>
      <c r="CP27" s="7" t="s">
        <v>519</v>
      </c>
      <c r="CQ27" s="7">
        <v>1.25</v>
      </c>
      <c r="CR27" s="7">
        <v>22.75</v>
      </c>
      <c r="CS27" s="25">
        <v>0.126</v>
      </c>
      <c r="CT27" s="25">
        <v>0.126</v>
      </c>
      <c r="CU27" s="25">
        <f t="shared" si="74"/>
        <v>11.375</v>
      </c>
      <c r="CV27" s="25">
        <v>25.63</v>
      </c>
      <c r="CW27" s="7">
        <v>11.44</v>
      </c>
      <c r="CX27" s="7">
        <f>17.13-CQ27</f>
        <v>15.879999999999999</v>
      </c>
      <c r="CY27" s="7">
        <v>11.94</v>
      </c>
      <c r="CZ27" s="7" t="s">
        <v>519</v>
      </c>
      <c r="DA27" s="7">
        <v>15.13</v>
      </c>
      <c r="DB27" s="7">
        <v>11.94</v>
      </c>
      <c r="DC27" s="7">
        <v>4</v>
      </c>
      <c r="DD27" s="7">
        <v>0.5</v>
      </c>
      <c r="DE27" s="7">
        <v>0.25</v>
      </c>
      <c r="DF27" s="7">
        <v>8</v>
      </c>
      <c r="DG27" s="7">
        <v>0.88</v>
      </c>
      <c r="DH27" s="7">
        <v>20.13</v>
      </c>
      <c r="DI27" s="7">
        <v>7.88</v>
      </c>
      <c r="DJ27" s="897">
        <v>2.1875</v>
      </c>
      <c r="DK27" s="117">
        <f t="shared" ref="DK27:DK30" si="76">CL27+1.5</f>
        <v>3.5</v>
      </c>
    </row>
    <row r="28" spans="2:115" x14ac:dyDescent="0.2">
      <c r="B28" s="942"/>
      <c r="C28" s="298" t="s">
        <v>794</v>
      </c>
      <c r="D28" s="438">
        <f t="shared" si="45"/>
        <v>16.5</v>
      </c>
      <c r="E28" s="315" t="s">
        <v>1668</v>
      </c>
      <c r="F28" s="366" t="str">
        <f t="shared" si="46"/>
        <v>256T</v>
      </c>
      <c r="G28" s="320">
        <f t="shared" si="47"/>
        <v>17.440000000000001</v>
      </c>
      <c r="H28" s="300">
        <f t="shared" si="47"/>
        <v>23.625</v>
      </c>
      <c r="I28" s="7">
        <f t="shared" si="47"/>
        <v>1.5</v>
      </c>
      <c r="J28" s="44">
        <f t="shared" si="47"/>
        <v>2</v>
      </c>
      <c r="K28" s="345">
        <f t="shared" si="47"/>
        <v>0.188</v>
      </c>
      <c r="L28" s="7">
        <f t="shared" si="47"/>
        <v>0.44</v>
      </c>
      <c r="M28" s="44">
        <v>0.375</v>
      </c>
      <c r="N28" s="44">
        <f t="shared" si="48"/>
        <v>15.25</v>
      </c>
      <c r="O28" s="44">
        <f t="shared" si="49"/>
        <v>11.13</v>
      </c>
      <c r="P28" s="44">
        <f t="shared" si="50"/>
        <v>2.0050000000000008</v>
      </c>
      <c r="Q28" s="44">
        <f t="shared" si="51"/>
        <v>1</v>
      </c>
      <c r="R28" s="7">
        <f t="shared" si="51"/>
        <v>24.25</v>
      </c>
      <c r="S28" s="7">
        <f t="shared" si="51"/>
        <v>7.0000000000000007E-2</v>
      </c>
      <c r="T28" s="7">
        <f t="shared" si="51"/>
        <v>7.0000000000000007E-2</v>
      </c>
      <c r="U28" s="180">
        <f t="shared" si="51"/>
        <v>12.125</v>
      </c>
      <c r="V28" s="25">
        <f t="shared" si="51"/>
        <v>27.625</v>
      </c>
      <c r="W28" s="7">
        <f t="shared" si="51"/>
        <v>12.5</v>
      </c>
      <c r="X28" s="7">
        <f t="shared" si="51"/>
        <v>17.38</v>
      </c>
      <c r="Y28" s="44">
        <f t="shared" si="51"/>
        <v>12.63</v>
      </c>
      <c r="Z28" s="44">
        <f t="shared" si="52"/>
        <v>15.56</v>
      </c>
      <c r="AA28" s="44">
        <f t="shared" si="53"/>
        <v>20.059999999999999</v>
      </c>
      <c r="AB28" s="44">
        <f t="shared" si="54"/>
        <v>8.69</v>
      </c>
      <c r="AC28" s="25">
        <f t="shared" si="55"/>
        <v>1.9375</v>
      </c>
      <c r="AD28" s="130">
        <f t="shared" si="56"/>
        <v>3.5</v>
      </c>
      <c r="AE28" s="7">
        <f t="shared" si="57"/>
        <v>0.5</v>
      </c>
      <c r="AF28" s="117">
        <f t="shared" si="58"/>
        <v>0.25</v>
      </c>
      <c r="AG28" s="130" t="s">
        <v>519</v>
      </c>
      <c r="AH28" s="44">
        <f t="shared" si="59"/>
        <v>12.94</v>
      </c>
      <c r="AI28" s="7">
        <f t="shared" si="60"/>
        <v>8.75</v>
      </c>
      <c r="AJ28" s="158">
        <f t="shared" si="60"/>
        <v>0.88</v>
      </c>
      <c r="AK28" s="382">
        <f t="shared" si="61"/>
        <v>3.375</v>
      </c>
      <c r="AL28" s="130">
        <f t="shared" si="62"/>
        <v>21.25</v>
      </c>
      <c r="AM28" s="7">
        <f t="shared" si="63"/>
        <v>12.870000000000001</v>
      </c>
      <c r="AN28" s="25">
        <f t="shared" si="64"/>
        <v>15.356250000000001</v>
      </c>
      <c r="AO28" s="158">
        <v>1.25</v>
      </c>
      <c r="AP28" s="130">
        <f t="shared" si="65"/>
        <v>3</v>
      </c>
      <c r="AQ28" s="44">
        <v>0.375</v>
      </c>
      <c r="AR28" s="25">
        <f t="shared" si="66"/>
        <v>2.90625</v>
      </c>
      <c r="AS28" s="158">
        <f t="shared" si="67"/>
        <v>2.5</v>
      </c>
      <c r="AT28" s="117">
        <f t="shared" si="68"/>
        <v>3.03125</v>
      </c>
      <c r="AU28" s="23"/>
      <c r="AV28" s="210" t="s">
        <v>1521</v>
      </c>
      <c r="AW28" s="326" t="s">
        <v>1100</v>
      </c>
      <c r="AX28" s="217">
        <v>17.440000000000001</v>
      </c>
      <c r="AY28" s="22">
        <f t="shared" si="69"/>
        <v>23.625</v>
      </c>
      <c r="AZ28" s="7">
        <v>1.5</v>
      </c>
      <c r="BA28" s="7">
        <v>2</v>
      </c>
      <c r="BB28" s="25">
        <v>0.188</v>
      </c>
      <c r="BC28" s="7">
        <v>0.44</v>
      </c>
      <c r="BD28" s="3">
        <v>15.25</v>
      </c>
      <c r="BE28" s="3" t="s">
        <v>519</v>
      </c>
      <c r="BF28" s="3">
        <v>1</v>
      </c>
      <c r="BG28" s="7">
        <v>24.25</v>
      </c>
      <c r="BH28" s="25">
        <v>7.0000000000000007E-2</v>
      </c>
      <c r="BI28" s="25">
        <v>7.0000000000000007E-2</v>
      </c>
      <c r="BJ28" s="180">
        <f t="shared" si="70"/>
        <v>12.125</v>
      </c>
      <c r="BK28" s="25">
        <v>27.625</v>
      </c>
      <c r="BL28" s="7">
        <v>12.5</v>
      </c>
      <c r="BM28" s="7">
        <v>17.38</v>
      </c>
      <c r="BN28" s="7">
        <v>12.63</v>
      </c>
      <c r="BO28" s="7" t="s">
        <v>519</v>
      </c>
      <c r="BP28" s="7">
        <v>15.44</v>
      </c>
      <c r="BQ28" s="7">
        <v>15.56</v>
      </c>
      <c r="BR28" s="7">
        <v>12.94</v>
      </c>
      <c r="BS28" s="7">
        <v>3.5</v>
      </c>
      <c r="BT28" s="7">
        <v>0.38</v>
      </c>
      <c r="BU28" s="7">
        <v>0.5</v>
      </c>
      <c r="BV28" s="7">
        <v>0.19</v>
      </c>
      <c r="BW28" s="7">
        <v>0.25</v>
      </c>
      <c r="BX28" s="7">
        <v>8.75</v>
      </c>
      <c r="BY28" s="7">
        <v>0.88</v>
      </c>
      <c r="BZ28" s="7">
        <v>19.809999999999999</v>
      </c>
      <c r="CA28" s="7">
        <v>20.059999999999999</v>
      </c>
      <c r="CB28" s="7">
        <v>8.69</v>
      </c>
      <c r="CC28" s="897">
        <v>1.4375</v>
      </c>
      <c r="CD28" s="898">
        <v>1.9375</v>
      </c>
      <c r="CE28" s="7">
        <f t="shared" ref="CE28:CE30" si="77">BA28+0.5</f>
        <v>2.5</v>
      </c>
      <c r="CF28" s="117">
        <f t="shared" si="72"/>
        <v>3</v>
      </c>
      <c r="CG28" s="23"/>
      <c r="CH28" s="210" t="s">
        <v>1100</v>
      </c>
      <c r="CI28" s="217">
        <v>17.559999999999999</v>
      </c>
      <c r="CJ28" s="25">
        <f t="shared" si="73"/>
        <v>23.75</v>
      </c>
      <c r="CK28" s="7">
        <v>1.5</v>
      </c>
      <c r="CL28" s="7">
        <v>2</v>
      </c>
      <c r="CM28" s="25">
        <v>0.188</v>
      </c>
      <c r="CN28" s="7">
        <v>0.44</v>
      </c>
      <c r="CO28" s="7">
        <v>15.25</v>
      </c>
      <c r="CP28" s="7" t="s">
        <v>519</v>
      </c>
      <c r="CQ28" s="7">
        <v>1.25</v>
      </c>
      <c r="CR28" s="7">
        <v>24.25</v>
      </c>
      <c r="CS28" s="25">
        <v>0.126</v>
      </c>
      <c r="CT28" s="25">
        <v>0.126</v>
      </c>
      <c r="CU28" s="25">
        <f t="shared" si="74"/>
        <v>12.125</v>
      </c>
      <c r="CV28" s="25">
        <v>27.75</v>
      </c>
      <c r="CW28" s="7">
        <v>12.56</v>
      </c>
      <c r="CX28" s="7">
        <f>18.69-CQ28</f>
        <v>17.440000000000001</v>
      </c>
      <c r="CY28" s="7">
        <v>13.13</v>
      </c>
      <c r="CZ28" s="7" t="s">
        <v>519</v>
      </c>
      <c r="DA28" s="7">
        <v>16.190000000000001</v>
      </c>
      <c r="DB28" s="7">
        <v>13</v>
      </c>
      <c r="DC28" s="7">
        <v>4.5</v>
      </c>
      <c r="DD28" s="7">
        <v>0.5</v>
      </c>
      <c r="DE28" s="7">
        <v>0.25</v>
      </c>
      <c r="DF28" s="7">
        <v>8.75</v>
      </c>
      <c r="DG28" s="7">
        <v>0.88</v>
      </c>
      <c r="DH28" s="7">
        <v>21.69</v>
      </c>
      <c r="DI28" s="7">
        <v>8.69</v>
      </c>
      <c r="DJ28" s="897">
        <v>2.1875</v>
      </c>
      <c r="DK28" s="117">
        <f t="shared" si="76"/>
        <v>3.5</v>
      </c>
    </row>
    <row r="29" spans="2:115" x14ac:dyDescent="0.2">
      <c r="B29" s="942"/>
      <c r="C29" s="298" t="s">
        <v>2</v>
      </c>
      <c r="D29" s="438">
        <f t="shared" si="45"/>
        <v>18.2</v>
      </c>
      <c r="E29" s="315" t="s">
        <v>556</v>
      </c>
      <c r="F29" s="366" t="str">
        <f t="shared" si="46"/>
        <v>284T</v>
      </c>
      <c r="G29" s="320">
        <f t="shared" si="47"/>
        <v>19.38</v>
      </c>
      <c r="H29" s="300">
        <f t="shared" si="47"/>
        <v>26</v>
      </c>
      <c r="I29" s="7">
        <f t="shared" si="47"/>
        <v>1.5</v>
      </c>
      <c r="J29" s="44">
        <f t="shared" si="47"/>
        <v>2</v>
      </c>
      <c r="K29" s="345">
        <f t="shared" si="47"/>
        <v>0.188</v>
      </c>
      <c r="L29" s="7">
        <f t="shared" si="47"/>
        <v>0.44</v>
      </c>
      <c r="M29" s="44">
        <v>0.375</v>
      </c>
      <c r="N29" s="44">
        <f t="shared" si="48"/>
        <v>16.75</v>
      </c>
      <c r="O29" s="44">
        <f t="shared" si="49"/>
        <v>12.5</v>
      </c>
      <c r="P29" s="44">
        <f t="shared" si="50"/>
        <v>2.5</v>
      </c>
      <c r="Q29" s="44">
        <f t="shared" si="51"/>
        <v>1.25</v>
      </c>
      <c r="R29" s="7">
        <f t="shared" si="51"/>
        <v>26</v>
      </c>
      <c r="S29" s="7">
        <f t="shared" si="51"/>
        <v>9.7000000000000003E-2</v>
      </c>
      <c r="T29" s="7">
        <f t="shared" si="51"/>
        <v>7.0000000000000007E-2</v>
      </c>
      <c r="U29" s="180">
        <f t="shared" si="51"/>
        <v>13</v>
      </c>
      <c r="V29" s="25">
        <f t="shared" si="51"/>
        <v>30</v>
      </c>
      <c r="W29" s="7">
        <f t="shared" si="51"/>
        <v>13.81</v>
      </c>
      <c r="X29" s="7">
        <f t="shared" si="51"/>
        <v>19.309999999999999</v>
      </c>
      <c r="Y29" s="44">
        <f t="shared" si="51"/>
        <v>14</v>
      </c>
      <c r="Z29" s="44">
        <f t="shared" si="52"/>
        <v>16.75</v>
      </c>
      <c r="AA29" s="44">
        <f t="shared" si="53"/>
        <v>21.75</v>
      </c>
      <c r="AB29" s="44">
        <f t="shared" si="54"/>
        <v>9.6300000000000008</v>
      </c>
      <c r="AC29" s="25">
        <f t="shared" si="55"/>
        <v>1.9375</v>
      </c>
      <c r="AD29" s="130">
        <f t="shared" si="56"/>
        <v>4</v>
      </c>
      <c r="AE29" s="7">
        <f t="shared" si="57"/>
        <v>0.5</v>
      </c>
      <c r="AF29" s="117">
        <f t="shared" si="58"/>
        <v>0.25</v>
      </c>
      <c r="AG29" s="130" t="s">
        <v>519</v>
      </c>
      <c r="AH29" s="44">
        <f t="shared" si="59"/>
        <v>14.13</v>
      </c>
      <c r="AI29" s="7">
        <f t="shared" si="60"/>
        <v>9.6300000000000008</v>
      </c>
      <c r="AJ29" s="158">
        <f t="shared" si="60"/>
        <v>0.88</v>
      </c>
      <c r="AK29" s="382">
        <f t="shared" si="61"/>
        <v>3.3699999999999992</v>
      </c>
      <c r="AL29" s="130">
        <f t="shared" si="62"/>
        <v>23</v>
      </c>
      <c r="AM29" s="7">
        <f t="shared" si="63"/>
        <v>14.196</v>
      </c>
      <c r="AN29" s="25">
        <f t="shared" si="64"/>
        <v>16.900000000000002</v>
      </c>
      <c r="AO29" s="158">
        <v>1.25</v>
      </c>
      <c r="AP29" s="130">
        <f t="shared" si="65"/>
        <v>3</v>
      </c>
      <c r="AQ29" s="44">
        <v>0.375</v>
      </c>
      <c r="AR29" s="25">
        <f t="shared" si="66"/>
        <v>2.90625</v>
      </c>
      <c r="AS29" s="158">
        <f t="shared" si="67"/>
        <v>2.5</v>
      </c>
      <c r="AT29" s="117">
        <f t="shared" si="68"/>
        <v>3.03125</v>
      </c>
      <c r="AU29" s="23"/>
      <c r="AV29" s="210" t="s">
        <v>2059</v>
      </c>
      <c r="AW29" s="326" t="s">
        <v>958</v>
      </c>
      <c r="AX29" s="217">
        <v>19.38</v>
      </c>
      <c r="AY29" s="22">
        <f t="shared" si="69"/>
        <v>26</v>
      </c>
      <c r="AZ29" s="7">
        <v>1.5</v>
      </c>
      <c r="BA29" s="7">
        <v>2</v>
      </c>
      <c r="BB29" s="25">
        <v>0.188</v>
      </c>
      <c r="BC29" s="7">
        <v>0.44</v>
      </c>
      <c r="BD29" s="3">
        <v>16.75</v>
      </c>
      <c r="BE29" s="3" t="s">
        <v>519</v>
      </c>
      <c r="BF29" s="3">
        <v>1.25</v>
      </c>
      <c r="BG29" s="7">
        <v>26</v>
      </c>
      <c r="BH29" s="25">
        <v>9.7000000000000003E-2</v>
      </c>
      <c r="BI29" s="25">
        <v>7.0000000000000007E-2</v>
      </c>
      <c r="BJ29" s="180">
        <f t="shared" si="70"/>
        <v>13</v>
      </c>
      <c r="BK29" s="25">
        <v>30</v>
      </c>
      <c r="BL29" s="7">
        <v>13.81</v>
      </c>
      <c r="BM29" s="7">
        <v>19.309999999999999</v>
      </c>
      <c r="BN29" s="7">
        <v>14</v>
      </c>
      <c r="BO29" s="7" t="s">
        <v>519</v>
      </c>
      <c r="BP29" s="7">
        <v>16.63</v>
      </c>
      <c r="BQ29" s="7">
        <v>16.75</v>
      </c>
      <c r="BR29" s="7">
        <v>14.13</v>
      </c>
      <c r="BS29" s="7">
        <v>4</v>
      </c>
      <c r="BT29" s="7">
        <v>0.38</v>
      </c>
      <c r="BU29" s="7">
        <v>0.5</v>
      </c>
      <c r="BV29" s="7">
        <v>0.19</v>
      </c>
      <c r="BW29" s="7">
        <v>0.25</v>
      </c>
      <c r="BX29" s="7">
        <v>9.6300000000000008</v>
      </c>
      <c r="BY29" s="7">
        <v>0.88</v>
      </c>
      <c r="BZ29" s="7">
        <v>21.5</v>
      </c>
      <c r="CA29" s="7">
        <v>21.75</v>
      </c>
      <c r="CB29" s="7">
        <v>9.6300000000000008</v>
      </c>
      <c r="CC29" s="897">
        <v>1.6875</v>
      </c>
      <c r="CD29" s="898">
        <v>1.9375</v>
      </c>
      <c r="CE29" s="7">
        <f t="shared" si="77"/>
        <v>2.5</v>
      </c>
      <c r="CF29" s="117">
        <f t="shared" si="72"/>
        <v>3</v>
      </c>
      <c r="CG29" s="23"/>
      <c r="CH29" s="210" t="s">
        <v>958</v>
      </c>
      <c r="CI29" s="44">
        <v>19.5</v>
      </c>
      <c r="CJ29" s="22">
        <f t="shared" si="73"/>
        <v>26.13</v>
      </c>
      <c r="CK29" s="7">
        <v>2</v>
      </c>
      <c r="CL29" s="7">
        <v>2</v>
      </c>
      <c r="CM29" s="25">
        <v>0.25</v>
      </c>
      <c r="CN29" s="7">
        <v>0.56000000000000005</v>
      </c>
      <c r="CO29" s="7">
        <v>16.75</v>
      </c>
      <c r="CP29" s="7" t="s">
        <v>519</v>
      </c>
      <c r="CQ29" s="7">
        <v>1.25</v>
      </c>
      <c r="CR29" s="7">
        <v>27</v>
      </c>
      <c r="CS29" s="25">
        <v>0.126</v>
      </c>
      <c r="CT29" s="25">
        <v>0.126</v>
      </c>
      <c r="CU29" s="25">
        <f t="shared" si="74"/>
        <v>13.5</v>
      </c>
      <c r="CV29" s="25">
        <v>30.13</v>
      </c>
      <c r="CW29" s="7">
        <v>13.88</v>
      </c>
      <c r="CX29" s="7">
        <f>20.63-CQ29</f>
        <v>19.38</v>
      </c>
      <c r="CY29" s="7">
        <v>14.5</v>
      </c>
      <c r="CZ29" s="7" t="s">
        <v>519</v>
      </c>
      <c r="DA29" s="7">
        <v>17.38</v>
      </c>
      <c r="DB29" s="7">
        <v>14.19</v>
      </c>
      <c r="DC29" s="7">
        <v>4.5</v>
      </c>
      <c r="DD29" s="7">
        <v>0.5</v>
      </c>
      <c r="DE29" s="7">
        <v>0.25</v>
      </c>
      <c r="DF29" s="7">
        <v>9.6300000000000008</v>
      </c>
      <c r="DG29" s="7">
        <v>0.88</v>
      </c>
      <c r="DH29" s="7">
        <v>22.88</v>
      </c>
      <c r="DI29" s="7">
        <v>9.6300000000000008</v>
      </c>
      <c r="DJ29" s="897">
        <v>2.1875</v>
      </c>
      <c r="DK29" s="117">
        <f t="shared" si="76"/>
        <v>3.5</v>
      </c>
    </row>
    <row r="30" spans="2:115" x14ac:dyDescent="0.2">
      <c r="B30" s="942"/>
      <c r="C30" s="298" t="s">
        <v>927</v>
      </c>
      <c r="D30" s="438">
        <f t="shared" si="45"/>
        <v>20</v>
      </c>
      <c r="E30" s="315" t="s">
        <v>556</v>
      </c>
      <c r="F30" s="366" t="str">
        <f t="shared" si="46"/>
        <v>286T</v>
      </c>
      <c r="G30" s="320">
        <f t="shared" si="47"/>
        <v>21.19</v>
      </c>
      <c r="H30" s="300">
        <f t="shared" si="47"/>
        <v>28.5</v>
      </c>
      <c r="I30" s="7">
        <f t="shared" si="47"/>
        <v>1.5</v>
      </c>
      <c r="J30" s="44">
        <f t="shared" si="47"/>
        <v>2</v>
      </c>
      <c r="K30" s="345">
        <f t="shared" si="47"/>
        <v>0.188</v>
      </c>
      <c r="L30" s="7">
        <f t="shared" si="47"/>
        <v>0.56000000000000005</v>
      </c>
      <c r="M30" s="44">
        <v>0.5</v>
      </c>
      <c r="N30" s="44">
        <f t="shared" si="48"/>
        <v>18.25</v>
      </c>
      <c r="O30" s="44">
        <f t="shared" si="49"/>
        <v>13.81</v>
      </c>
      <c r="P30" s="44">
        <f t="shared" si="50"/>
        <v>2.8100000000000005</v>
      </c>
      <c r="Q30" s="44">
        <f t="shared" si="51"/>
        <v>1.25</v>
      </c>
      <c r="R30" s="7">
        <f t="shared" si="51"/>
        <v>28</v>
      </c>
      <c r="S30" s="7">
        <f t="shared" si="51"/>
        <v>9.7000000000000003E-2</v>
      </c>
      <c r="T30" s="7">
        <f t="shared" si="51"/>
        <v>7.0000000000000007E-2</v>
      </c>
      <c r="U30" s="180">
        <f t="shared" si="51"/>
        <v>14</v>
      </c>
      <c r="V30" s="25">
        <f t="shared" si="51"/>
        <v>32.5</v>
      </c>
      <c r="W30" s="7">
        <f t="shared" si="51"/>
        <v>15.19</v>
      </c>
      <c r="X30" s="7">
        <f t="shared" si="51"/>
        <v>21.13</v>
      </c>
      <c r="Y30" s="44">
        <f t="shared" si="51"/>
        <v>15.31</v>
      </c>
      <c r="Z30" s="44">
        <f t="shared" si="52"/>
        <v>18.559999999999999</v>
      </c>
      <c r="AA30" s="44">
        <f t="shared" si="53"/>
        <v>23.56</v>
      </c>
      <c r="AB30" s="44">
        <f t="shared" si="54"/>
        <v>10.56</v>
      </c>
      <c r="AC30" s="25">
        <f t="shared" si="55"/>
        <v>2.1875</v>
      </c>
      <c r="AD30" s="130">
        <f t="shared" si="56"/>
        <v>4</v>
      </c>
      <c r="AE30" s="7">
        <f t="shared" si="57"/>
        <v>0.5</v>
      </c>
      <c r="AF30" s="117">
        <f t="shared" si="58"/>
        <v>0.25</v>
      </c>
      <c r="AG30" s="130" t="s">
        <v>519</v>
      </c>
      <c r="AH30" s="44">
        <f t="shared" si="59"/>
        <v>15.38</v>
      </c>
      <c r="AI30" s="7">
        <f t="shared" si="60"/>
        <v>10.63</v>
      </c>
      <c r="AJ30" s="158">
        <f t="shared" si="60"/>
        <v>0.88</v>
      </c>
      <c r="AK30" s="382">
        <f t="shared" si="61"/>
        <v>3.3699999999999992</v>
      </c>
      <c r="AL30" s="130">
        <f t="shared" si="62"/>
        <v>25</v>
      </c>
      <c r="AM30" s="7">
        <f t="shared" si="63"/>
        <v>15.600000000000001</v>
      </c>
      <c r="AN30" s="25">
        <f t="shared" si="64"/>
        <v>18.525000000000002</v>
      </c>
      <c r="AO30" s="158">
        <v>1.25</v>
      </c>
      <c r="AP30" s="130">
        <f t="shared" si="65"/>
        <v>3.5</v>
      </c>
      <c r="AQ30" s="44">
        <v>0.375</v>
      </c>
      <c r="AR30" s="25">
        <f t="shared" si="66"/>
        <v>3.28125</v>
      </c>
      <c r="AS30" s="158">
        <f t="shared" si="67"/>
        <v>3</v>
      </c>
      <c r="AT30" s="117">
        <f t="shared" si="68"/>
        <v>3.40625</v>
      </c>
      <c r="AU30" s="23"/>
      <c r="AV30" s="210" t="s">
        <v>2059</v>
      </c>
      <c r="AW30" s="326" t="s">
        <v>1</v>
      </c>
      <c r="AX30" s="217">
        <v>21.19</v>
      </c>
      <c r="AY30" s="22">
        <f t="shared" si="69"/>
        <v>28.5</v>
      </c>
      <c r="AZ30" s="7">
        <v>1.5</v>
      </c>
      <c r="BA30" s="7">
        <v>2</v>
      </c>
      <c r="BB30" s="25">
        <v>0.188</v>
      </c>
      <c r="BC30" s="7">
        <v>0.56000000000000005</v>
      </c>
      <c r="BD30" s="3">
        <v>18.25</v>
      </c>
      <c r="BE30" s="3" t="s">
        <v>519</v>
      </c>
      <c r="BF30" s="3">
        <v>1.25</v>
      </c>
      <c r="BG30" s="7">
        <v>28</v>
      </c>
      <c r="BH30" s="25">
        <v>9.7000000000000003E-2</v>
      </c>
      <c r="BI30" s="25">
        <v>7.0000000000000007E-2</v>
      </c>
      <c r="BJ30" s="180">
        <f t="shared" si="70"/>
        <v>14</v>
      </c>
      <c r="BK30" s="25">
        <v>32.5</v>
      </c>
      <c r="BL30" s="7">
        <v>15.19</v>
      </c>
      <c r="BM30" s="7">
        <v>21.13</v>
      </c>
      <c r="BN30" s="7">
        <v>15.31</v>
      </c>
      <c r="BO30" s="7" t="s">
        <v>519</v>
      </c>
      <c r="BP30" s="7">
        <v>17.88</v>
      </c>
      <c r="BQ30" s="7">
        <v>18.559999999999999</v>
      </c>
      <c r="BR30" s="7">
        <v>15.38</v>
      </c>
      <c r="BS30" s="7">
        <v>4</v>
      </c>
      <c r="BT30" s="7">
        <v>0.38</v>
      </c>
      <c r="BU30" s="7">
        <v>0.5</v>
      </c>
      <c r="BV30" s="7">
        <v>0.19</v>
      </c>
      <c r="BW30" s="7">
        <v>0.25</v>
      </c>
      <c r="BX30" s="7">
        <v>10.63</v>
      </c>
      <c r="BY30" s="7">
        <v>0.88</v>
      </c>
      <c r="BZ30" s="7">
        <v>22.75</v>
      </c>
      <c r="CA30" s="7">
        <v>23.56</v>
      </c>
      <c r="CB30" s="7">
        <v>10.56</v>
      </c>
      <c r="CC30" s="897">
        <v>1.6875</v>
      </c>
      <c r="CD30" s="898">
        <v>2.1875</v>
      </c>
      <c r="CE30" s="7">
        <f t="shared" si="77"/>
        <v>2.5</v>
      </c>
      <c r="CF30" s="117">
        <f t="shared" ref="CF30:CF32" si="78">BA30+1.5</f>
        <v>3.5</v>
      </c>
      <c r="CG30" s="23"/>
      <c r="CH30" s="210" t="s">
        <v>1</v>
      </c>
      <c r="CI30" s="44">
        <v>21.31</v>
      </c>
      <c r="CJ30" s="22">
        <f t="shared" si="73"/>
        <v>28.630000000000003</v>
      </c>
      <c r="CK30" s="7">
        <v>2</v>
      </c>
      <c r="CL30" s="7">
        <v>2</v>
      </c>
      <c r="CM30" s="25">
        <v>0.25</v>
      </c>
      <c r="CN30" s="7">
        <v>0.56000000000000005</v>
      </c>
      <c r="CO30" s="7">
        <v>18.25</v>
      </c>
      <c r="CP30" s="7" t="s">
        <v>519</v>
      </c>
      <c r="CQ30" s="7">
        <v>1.25</v>
      </c>
      <c r="CR30" s="7">
        <v>29</v>
      </c>
      <c r="CS30" s="25">
        <v>0.126</v>
      </c>
      <c r="CT30" s="25">
        <v>0.126</v>
      </c>
      <c r="CU30" s="25">
        <f t="shared" si="74"/>
        <v>14.5</v>
      </c>
      <c r="CV30" s="25">
        <v>32.630000000000003</v>
      </c>
      <c r="CW30" s="7">
        <v>15.25</v>
      </c>
      <c r="CX30" s="7">
        <f>22.44-CQ30</f>
        <v>21.19</v>
      </c>
      <c r="CY30" s="7">
        <v>15.81</v>
      </c>
      <c r="CZ30" s="7" t="s">
        <v>519</v>
      </c>
      <c r="DA30" s="7">
        <v>19.13</v>
      </c>
      <c r="DB30" s="7">
        <v>15.44</v>
      </c>
      <c r="DC30" s="7">
        <v>5</v>
      </c>
      <c r="DD30" s="7">
        <v>0.63</v>
      </c>
      <c r="DE30" s="7">
        <v>0.31</v>
      </c>
      <c r="DF30" s="7">
        <v>10.63</v>
      </c>
      <c r="DG30" s="7">
        <v>0.88</v>
      </c>
      <c r="DH30" s="7">
        <v>25.25</v>
      </c>
      <c r="DI30" s="7">
        <v>10.56</v>
      </c>
      <c r="DJ30" s="897">
        <v>2.4375</v>
      </c>
      <c r="DK30" s="117">
        <f t="shared" si="76"/>
        <v>3.5</v>
      </c>
    </row>
    <row r="31" spans="2:115" ht="13.5" thickBot="1" x14ac:dyDescent="0.25">
      <c r="B31" s="943"/>
      <c r="C31" s="299" t="s">
        <v>2160</v>
      </c>
      <c r="D31" s="302">
        <f t="shared" si="45"/>
        <v>22.2</v>
      </c>
      <c r="E31" s="402" t="s">
        <v>556</v>
      </c>
      <c r="F31" s="366" t="str">
        <f t="shared" si="46"/>
        <v>324T</v>
      </c>
      <c r="G31" s="408">
        <f t="shared" si="47"/>
        <v>23.56</v>
      </c>
      <c r="H31" s="304">
        <f t="shared" si="47"/>
        <v>31.625</v>
      </c>
      <c r="I31" s="10">
        <f t="shared" si="47"/>
        <v>2</v>
      </c>
      <c r="J31" s="42">
        <f t="shared" si="47"/>
        <v>2</v>
      </c>
      <c r="K31" s="386">
        <f t="shared" si="47"/>
        <v>0.25</v>
      </c>
      <c r="L31" s="10">
        <f t="shared" si="47"/>
        <v>0.56000000000000005</v>
      </c>
      <c r="M31" s="42">
        <v>0.5</v>
      </c>
      <c r="N31" s="42">
        <f t="shared" si="48"/>
        <v>20.5</v>
      </c>
      <c r="O31" s="42">
        <f t="shared" si="49"/>
        <v>15.690000000000001</v>
      </c>
      <c r="P31" s="42">
        <f t="shared" si="50"/>
        <v>4.0650000000000013</v>
      </c>
      <c r="Q31" s="42">
        <f t="shared" si="51"/>
        <v>1.25</v>
      </c>
      <c r="R31" s="10">
        <f t="shared" si="51"/>
        <v>31.25</v>
      </c>
      <c r="S31" s="10">
        <f t="shared" si="51"/>
        <v>9.7000000000000003E-2</v>
      </c>
      <c r="T31" s="10">
        <f t="shared" si="51"/>
        <v>7.0000000000000007E-2</v>
      </c>
      <c r="U31" s="166">
        <f t="shared" si="51"/>
        <v>15.625</v>
      </c>
      <c r="V31" s="57">
        <f t="shared" si="51"/>
        <v>35.625</v>
      </c>
      <c r="W31" s="10">
        <f t="shared" si="51"/>
        <v>16.809999999999999</v>
      </c>
      <c r="X31" s="10">
        <f t="shared" si="51"/>
        <v>23.5</v>
      </c>
      <c r="Y31" s="42">
        <f t="shared" si="51"/>
        <v>17.190000000000001</v>
      </c>
      <c r="Z31" s="42">
        <f t="shared" si="52"/>
        <v>20.63</v>
      </c>
      <c r="AA31" s="42">
        <f t="shared" si="53"/>
        <v>26.25</v>
      </c>
      <c r="AB31" s="42">
        <f t="shared" si="54"/>
        <v>11.75</v>
      </c>
      <c r="AC31" s="57">
        <f t="shared" si="55"/>
        <v>2.4375</v>
      </c>
      <c r="AD31" s="111">
        <f t="shared" si="56"/>
        <v>4.5</v>
      </c>
      <c r="AE31" s="10">
        <f t="shared" si="57"/>
        <v>0.63</v>
      </c>
      <c r="AF31" s="109">
        <f t="shared" si="58"/>
        <v>0.31</v>
      </c>
      <c r="AG31" s="111" t="s">
        <v>519</v>
      </c>
      <c r="AH31" s="42">
        <f t="shared" si="59"/>
        <v>16.940000000000001</v>
      </c>
      <c r="AI31" s="10">
        <f t="shared" si="60"/>
        <v>11.75</v>
      </c>
      <c r="AJ31" s="213">
        <f t="shared" si="60"/>
        <v>0.88</v>
      </c>
      <c r="AK31" s="404">
        <f t="shared" si="61"/>
        <v>3.875</v>
      </c>
      <c r="AL31" s="111">
        <f t="shared" si="62"/>
        <v>27.25</v>
      </c>
      <c r="AM31" s="10">
        <f t="shared" si="63"/>
        <v>17.315999999999999</v>
      </c>
      <c r="AN31" s="57">
        <f t="shared" si="64"/>
        <v>20.556250000000002</v>
      </c>
      <c r="AO31" s="158">
        <v>1.25</v>
      </c>
      <c r="AP31" s="111">
        <f t="shared" si="65"/>
        <v>3.5</v>
      </c>
      <c r="AQ31" s="42">
        <v>0.375</v>
      </c>
      <c r="AR31" s="57">
        <f t="shared" si="66"/>
        <v>3.65625</v>
      </c>
      <c r="AS31" s="213">
        <f t="shared" si="67"/>
        <v>3</v>
      </c>
      <c r="AT31" s="109">
        <f t="shared" si="68"/>
        <v>3.78125</v>
      </c>
      <c r="AU31" s="23"/>
      <c r="AV31" s="209" t="s">
        <v>1100</v>
      </c>
      <c r="AW31" s="323" t="s">
        <v>828</v>
      </c>
      <c r="AX31" s="307">
        <v>23.56</v>
      </c>
      <c r="AY31" s="358">
        <f t="shared" si="69"/>
        <v>31.625</v>
      </c>
      <c r="AZ31" s="16">
        <v>2</v>
      </c>
      <c r="BA31" s="16">
        <v>2</v>
      </c>
      <c r="BB31" s="92">
        <v>0.25</v>
      </c>
      <c r="BC31" s="16">
        <v>0.56000000000000005</v>
      </c>
      <c r="BD31" s="16">
        <v>20.5</v>
      </c>
      <c r="BE31" s="16" t="s">
        <v>519</v>
      </c>
      <c r="BF31" s="16">
        <v>1.25</v>
      </c>
      <c r="BG31" s="10">
        <v>31.25</v>
      </c>
      <c r="BH31" s="92">
        <v>9.7000000000000003E-2</v>
      </c>
      <c r="BI31" s="92">
        <v>7.0000000000000007E-2</v>
      </c>
      <c r="BJ31" s="166">
        <f t="shared" si="70"/>
        <v>15.625</v>
      </c>
      <c r="BK31" s="92">
        <v>35.625</v>
      </c>
      <c r="BL31" s="16">
        <v>16.809999999999999</v>
      </c>
      <c r="BM31" s="16">
        <v>23.5</v>
      </c>
      <c r="BN31" s="16">
        <v>17.190000000000001</v>
      </c>
      <c r="BO31" s="16" t="s">
        <v>519</v>
      </c>
      <c r="BP31" s="16">
        <v>19.559999999999999</v>
      </c>
      <c r="BQ31" s="16">
        <v>20.63</v>
      </c>
      <c r="BR31" s="16">
        <v>16.940000000000001</v>
      </c>
      <c r="BS31" s="16">
        <v>4.5</v>
      </c>
      <c r="BT31" s="16">
        <v>0.5</v>
      </c>
      <c r="BU31" s="16">
        <v>0.63</v>
      </c>
      <c r="BV31" s="16">
        <v>0.25</v>
      </c>
      <c r="BW31" s="16">
        <v>0.31</v>
      </c>
      <c r="BX31" s="16">
        <v>11.75</v>
      </c>
      <c r="BY31" s="16">
        <v>0.88</v>
      </c>
      <c r="BZ31" s="16">
        <v>25.06</v>
      </c>
      <c r="CA31" s="16">
        <v>26.25</v>
      </c>
      <c r="CB31" s="16">
        <v>11.75</v>
      </c>
      <c r="CC31" s="899">
        <v>1.9375</v>
      </c>
      <c r="CD31" s="900">
        <v>2.4375</v>
      </c>
      <c r="CE31" s="10">
        <f>BA31+1</f>
        <v>3</v>
      </c>
      <c r="CF31" s="109">
        <f t="shared" si="78"/>
        <v>3.5</v>
      </c>
      <c r="CG31" s="23"/>
      <c r="CH31" s="209" t="s">
        <v>828</v>
      </c>
      <c r="CI31" s="42">
        <v>23.69</v>
      </c>
      <c r="CJ31" s="306">
        <f t="shared" si="73"/>
        <v>31.75</v>
      </c>
      <c r="CK31" s="10">
        <v>2.5</v>
      </c>
      <c r="CL31" s="10">
        <v>2.5</v>
      </c>
      <c r="CM31" s="57">
        <v>0.25</v>
      </c>
      <c r="CN31" s="10">
        <v>0.56000000000000005</v>
      </c>
      <c r="CO31" s="10">
        <v>20.5</v>
      </c>
      <c r="CP31" s="10" t="s">
        <v>519</v>
      </c>
      <c r="CQ31" s="10">
        <v>1.25</v>
      </c>
      <c r="CR31" s="10">
        <v>32.25</v>
      </c>
      <c r="CS31" s="57">
        <v>0.126</v>
      </c>
      <c r="CT31" s="57">
        <v>0.126</v>
      </c>
      <c r="CU31" s="57">
        <f t="shared" si="74"/>
        <v>16.125</v>
      </c>
      <c r="CV31" s="57">
        <v>36.75</v>
      </c>
      <c r="CW31" s="10">
        <v>16.88</v>
      </c>
      <c r="CX31" s="10">
        <f>24.81-CQ31</f>
        <v>23.56</v>
      </c>
      <c r="CY31" s="10">
        <v>17.690000000000001</v>
      </c>
      <c r="CZ31" s="10" t="s">
        <v>519</v>
      </c>
      <c r="DA31" s="10">
        <v>20.69</v>
      </c>
      <c r="DB31" s="10">
        <v>17.25</v>
      </c>
      <c r="DC31" s="10">
        <v>5</v>
      </c>
      <c r="DD31" s="10">
        <v>0.63</v>
      </c>
      <c r="DE31" s="10">
        <v>0.31</v>
      </c>
      <c r="DF31" s="10">
        <v>11.5</v>
      </c>
      <c r="DG31" s="10">
        <v>1.1299999999999999</v>
      </c>
      <c r="DH31" s="10">
        <v>26.81</v>
      </c>
      <c r="DI31" s="10">
        <v>11.75</v>
      </c>
      <c r="DJ31" s="914">
        <v>2.4375</v>
      </c>
      <c r="DK31" s="109">
        <f t="shared" ref="DK31:DK32" si="79">CL31+1</f>
        <v>3.5</v>
      </c>
    </row>
    <row r="32" spans="2:115" x14ac:dyDescent="0.2">
      <c r="B32" s="940" t="s">
        <v>2138</v>
      </c>
      <c r="C32" s="432" t="s">
        <v>521</v>
      </c>
      <c r="D32" s="350">
        <f t="shared" si="45"/>
        <v>24.5</v>
      </c>
      <c r="E32" s="336" t="s">
        <v>1668</v>
      </c>
      <c r="F32" s="324" t="str">
        <f t="shared" si="46"/>
        <v>326T</v>
      </c>
      <c r="G32" s="379">
        <f t="shared" si="47"/>
        <v>25.94</v>
      </c>
      <c r="H32" s="308">
        <f t="shared" si="47"/>
        <v>34.875</v>
      </c>
      <c r="I32" s="11">
        <f t="shared" si="47"/>
        <v>2</v>
      </c>
      <c r="J32" s="38">
        <f t="shared" si="47"/>
        <v>2</v>
      </c>
      <c r="K32" s="372">
        <f t="shared" si="47"/>
        <v>0.25</v>
      </c>
      <c r="L32" s="11">
        <f t="shared" si="47"/>
        <v>0.56000000000000005</v>
      </c>
      <c r="M32" s="38">
        <v>0.5</v>
      </c>
      <c r="N32" s="38">
        <f t="shared" si="48"/>
        <v>22.5</v>
      </c>
      <c r="O32" s="38">
        <f t="shared" si="49"/>
        <v>17.5</v>
      </c>
      <c r="P32" s="38">
        <f t="shared" si="50"/>
        <v>4.75</v>
      </c>
      <c r="Q32" s="38">
        <f t="shared" si="51"/>
        <v>1.25</v>
      </c>
      <c r="R32" s="11">
        <f t="shared" si="51"/>
        <v>33.5</v>
      </c>
      <c r="S32" s="11">
        <f t="shared" si="51"/>
        <v>9.7000000000000003E-2</v>
      </c>
      <c r="T32" s="11">
        <f t="shared" si="51"/>
        <v>7.0000000000000007E-2</v>
      </c>
      <c r="U32" s="178">
        <f t="shared" si="51"/>
        <v>16.75</v>
      </c>
      <c r="V32" s="53">
        <f t="shared" si="51"/>
        <v>38.875</v>
      </c>
      <c r="W32" s="11">
        <f t="shared" si="51"/>
        <v>18.5</v>
      </c>
      <c r="X32" s="11">
        <f t="shared" si="51"/>
        <v>25.88</v>
      </c>
      <c r="Y32" s="38">
        <f t="shared" si="51"/>
        <v>19</v>
      </c>
      <c r="Z32" s="38">
        <f t="shared" si="52"/>
        <v>22.31</v>
      </c>
      <c r="AA32" s="38">
        <f t="shared" si="53"/>
        <v>28.44</v>
      </c>
      <c r="AB32" s="38">
        <f t="shared" si="54"/>
        <v>12.94</v>
      </c>
      <c r="AC32" s="53">
        <f t="shared" si="55"/>
        <v>2.4375</v>
      </c>
      <c r="AD32" s="115">
        <f t="shared" si="56"/>
        <v>5</v>
      </c>
      <c r="AE32" s="11">
        <f t="shared" si="57"/>
        <v>0.63</v>
      </c>
      <c r="AF32" s="129">
        <f t="shared" si="58"/>
        <v>0.31</v>
      </c>
      <c r="AG32" s="115" t="s">
        <v>519</v>
      </c>
      <c r="AH32" s="38">
        <f t="shared" si="59"/>
        <v>18.559999999999999</v>
      </c>
      <c r="AI32" s="11">
        <f t="shared" si="60"/>
        <v>12.88</v>
      </c>
      <c r="AJ32" s="163">
        <f t="shared" si="60"/>
        <v>0.88</v>
      </c>
      <c r="AK32" s="440">
        <f t="shared" si="61"/>
        <v>3.8699999999999992</v>
      </c>
      <c r="AL32" s="115">
        <f t="shared" si="62"/>
        <v>29.5</v>
      </c>
      <c r="AM32" s="11">
        <f t="shared" si="63"/>
        <v>19.11</v>
      </c>
      <c r="AN32" s="53">
        <f t="shared" si="64"/>
        <v>22.668749999999999</v>
      </c>
      <c r="AO32" s="163">
        <v>1.5</v>
      </c>
      <c r="AP32" s="115">
        <f t="shared" si="65"/>
        <v>3.5</v>
      </c>
      <c r="AQ32" s="38">
        <v>0.375</v>
      </c>
      <c r="AR32" s="53">
        <f t="shared" si="66"/>
        <v>3.65625</v>
      </c>
      <c r="AS32" s="163">
        <f t="shared" si="67"/>
        <v>3</v>
      </c>
      <c r="AT32" s="129">
        <f t="shared" si="68"/>
        <v>3.78125</v>
      </c>
      <c r="AU32" s="23"/>
      <c r="AV32" s="233" t="s">
        <v>958</v>
      </c>
      <c r="AW32" s="319" t="s">
        <v>1942</v>
      </c>
      <c r="AX32" s="317">
        <v>25.94</v>
      </c>
      <c r="AY32" s="55">
        <f t="shared" si="69"/>
        <v>34.875</v>
      </c>
      <c r="AZ32" s="9">
        <v>2</v>
      </c>
      <c r="BA32" s="9">
        <v>2</v>
      </c>
      <c r="BB32" s="55">
        <v>0.25</v>
      </c>
      <c r="BC32" s="9">
        <v>0.56000000000000005</v>
      </c>
      <c r="BD32" s="9">
        <v>22.5</v>
      </c>
      <c r="BE32" s="9" t="s">
        <v>519</v>
      </c>
      <c r="BF32" s="9">
        <v>1.25</v>
      </c>
      <c r="BG32" s="11">
        <v>33.5</v>
      </c>
      <c r="BH32" s="55">
        <v>9.7000000000000003E-2</v>
      </c>
      <c r="BI32" s="55">
        <v>7.0000000000000007E-2</v>
      </c>
      <c r="BJ32" s="178">
        <f t="shared" si="70"/>
        <v>16.75</v>
      </c>
      <c r="BK32" s="55">
        <v>38.875</v>
      </c>
      <c r="BL32" s="9">
        <v>18.5</v>
      </c>
      <c r="BM32" s="9">
        <v>25.88</v>
      </c>
      <c r="BN32" s="9">
        <v>19</v>
      </c>
      <c r="BO32" s="9" t="s">
        <v>519</v>
      </c>
      <c r="BP32" s="9">
        <v>21.81</v>
      </c>
      <c r="BQ32" s="9">
        <v>22.31</v>
      </c>
      <c r="BR32" s="9">
        <v>18.559999999999999</v>
      </c>
      <c r="BS32" s="9">
        <v>5</v>
      </c>
      <c r="BT32" s="9">
        <v>0.5</v>
      </c>
      <c r="BU32" s="9">
        <v>0.63</v>
      </c>
      <c r="BV32" s="9">
        <v>0.25</v>
      </c>
      <c r="BW32" s="9">
        <v>0.31</v>
      </c>
      <c r="BX32" s="9">
        <v>12.88</v>
      </c>
      <c r="BY32" s="9">
        <v>0.88</v>
      </c>
      <c r="BZ32" s="9">
        <v>27.81</v>
      </c>
      <c r="CA32" s="9">
        <v>28.44</v>
      </c>
      <c r="CB32" s="9">
        <v>12.94</v>
      </c>
      <c r="CC32" s="901">
        <v>2.1875</v>
      </c>
      <c r="CD32" s="902">
        <v>2.4375</v>
      </c>
      <c r="CE32" s="11">
        <f t="shared" ref="CE32:CE33" si="80">BA32+1.5</f>
        <v>3.5</v>
      </c>
      <c r="CF32" s="129">
        <f t="shared" si="78"/>
        <v>3.5</v>
      </c>
      <c r="CG32" s="23"/>
      <c r="CH32" s="233" t="s">
        <v>1942</v>
      </c>
      <c r="CI32" s="38">
        <v>26.19</v>
      </c>
      <c r="CJ32" s="53">
        <f t="shared" si="73"/>
        <v>35</v>
      </c>
      <c r="CK32" s="11">
        <v>2.5</v>
      </c>
      <c r="CL32" s="11">
        <v>2.5</v>
      </c>
      <c r="CM32" s="53">
        <v>0.25</v>
      </c>
      <c r="CN32" s="11">
        <v>0.56000000000000005</v>
      </c>
      <c r="CO32" s="11">
        <v>22.5</v>
      </c>
      <c r="CP32" s="11" t="s">
        <v>519</v>
      </c>
      <c r="CQ32" s="11">
        <v>1.5</v>
      </c>
      <c r="CR32" s="11">
        <v>34.5</v>
      </c>
      <c r="CS32" s="53">
        <v>0.17499999999999999</v>
      </c>
      <c r="CT32" s="53">
        <v>0.17499999999999999</v>
      </c>
      <c r="CU32" s="53">
        <f t="shared" si="74"/>
        <v>17.25</v>
      </c>
      <c r="CV32" s="53">
        <v>40</v>
      </c>
      <c r="CW32" s="11">
        <v>18.63</v>
      </c>
      <c r="CX32" s="11">
        <f>27.5-CQ32</f>
        <v>26</v>
      </c>
      <c r="CY32" s="11">
        <v>19.5</v>
      </c>
      <c r="CZ32" s="11" t="s">
        <v>519</v>
      </c>
      <c r="DA32" s="11">
        <v>22.38</v>
      </c>
      <c r="DB32" s="11">
        <v>18.88</v>
      </c>
      <c r="DC32" s="11">
        <v>6</v>
      </c>
      <c r="DD32" s="11">
        <v>0.63</v>
      </c>
      <c r="DE32" s="11">
        <v>0.31</v>
      </c>
      <c r="DF32" s="11">
        <v>12.63</v>
      </c>
      <c r="DG32" s="11">
        <v>1.1299999999999999</v>
      </c>
      <c r="DH32" s="11">
        <v>29.5</v>
      </c>
      <c r="DI32" s="11">
        <v>12.94</v>
      </c>
      <c r="DJ32" s="915">
        <v>2.4375</v>
      </c>
      <c r="DK32" s="129">
        <f t="shared" si="79"/>
        <v>3.5</v>
      </c>
    </row>
    <row r="33" spans="2:115" x14ac:dyDescent="0.2">
      <c r="B33" s="942"/>
      <c r="C33" s="301" t="s">
        <v>2161</v>
      </c>
      <c r="D33" s="393">
        <f t="shared" si="45"/>
        <v>27</v>
      </c>
      <c r="E33" s="342" t="s">
        <v>556</v>
      </c>
      <c r="F33" s="419" t="str">
        <f t="shared" si="46"/>
        <v>326T</v>
      </c>
      <c r="G33" s="412">
        <f t="shared" si="47"/>
        <v>28.63</v>
      </c>
      <c r="H33" s="426">
        <f t="shared" si="47"/>
        <v>38.25</v>
      </c>
      <c r="I33" s="9">
        <f t="shared" si="47"/>
        <v>2</v>
      </c>
      <c r="J33" s="54">
        <f t="shared" si="47"/>
        <v>2</v>
      </c>
      <c r="K33" s="398">
        <f t="shared" si="47"/>
        <v>0.25</v>
      </c>
      <c r="L33" s="9">
        <f t="shared" si="47"/>
        <v>0.56000000000000005</v>
      </c>
      <c r="M33" s="43">
        <v>0.5</v>
      </c>
      <c r="N33" s="54">
        <f t="shared" si="48"/>
        <v>24.75</v>
      </c>
      <c r="O33" s="54">
        <f t="shared" si="49"/>
        <v>19.440000000000001</v>
      </c>
      <c r="P33" s="54">
        <f t="shared" si="50"/>
        <v>5.4400000000000013</v>
      </c>
      <c r="Q33" s="54">
        <f t="shared" si="51"/>
        <v>1.5</v>
      </c>
      <c r="R33" s="9">
        <f t="shared" si="51"/>
        <v>36</v>
      </c>
      <c r="S33" s="9">
        <f t="shared" si="51"/>
        <v>9.7000000000000003E-2</v>
      </c>
      <c r="T33" s="9">
        <f t="shared" si="51"/>
        <v>7.0000000000000007E-2</v>
      </c>
      <c r="U33" s="236">
        <f t="shared" si="51"/>
        <v>18</v>
      </c>
      <c r="V33" s="55">
        <f t="shared" si="51"/>
        <v>42.25</v>
      </c>
      <c r="W33" s="9">
        <f t="shared" si="51"/>
        <v>20.440000000000001</v>
      </c>
      <c r="X33" s="5">
        <f t="shared" si="51"/>
        <v>28.56</v>
      </c>
      <c r="Y33" s="54">
        <f t="shared" si="51"/>
        <v>20.94</v>
      </c>
      <c r="Z33" s="54">
        <f t="shared" si="52"/>
        <v>24.31</v>
      </c>
      <c r="AA33" s="54">
        <f t="shared" si="53"/>
        <v>30.44</v>
      </c>
      <c r="AB33" s="54">
        <f t="shared" si="54"/>
        <v>14.25</v>
      </c>
      <c r="AC33" s="55">
        <f t="shared" si="55"/>
        <v>2.6875</v>
      </c>
      <c r="AD33" s="175">
        <f t="shared" si="56"/>
        <v>5</v>
      </c>
      <c r="AE33" s="9">
        <f t="shared" si="57"/>
        <v>0.63</v>
      </c>
      <c r="AF33" s="230">
        <f t="shared" si="58"/>
        <v>0.31</v>
      </c>
      <c r="AG33" s="121" t="s">
        <v>519</v>
      </c>
      <c r="AH33" s="54">
        <f t="shared" si="59"/>
        <v>20.25</v>
      </c>
      <c r="AI33" s="9">
        <f t="shared" si="60"/>
        <v>14.13</v>
      </c>
      <c r="AJ33" s="160">
        <f t="shared" si="60"/>
        <v>0.88</v>
      </c>
      <c r="AK33" s="352">
        <f t="shared" si="61"/>
        <v>3.8699999999999992</v>
      </c>
      <c r="AL33" s="175">
        <f t="shared" si="62"/>
        <v>32</v>
      </c>
      <c r="AM33" s="9">
        <f t="shared" si="63"/>
        <v>21.060000000000002</v>
      </c>
      <c r="AN33" s="55">
        <f t="shared" si="64"/>
        <v>24.862500000000001</v>
      </c>
      <c r="AO33" s="160">
        <v>1.5</v>
      </c>
      <c r="AP33" s="175">
        <f t="shared" si="65"/>
        <v>4</v>
      </c>
      <c r="AQ33" s="54">
        <v>0.5</v>
      </c>
      <c r="AR33" s="55">
        <f t="shared" si="66"/>
        <v>4.03125</v>
      </c>
      <c r="AS33" s="160">
        <f t="shared" si="67"/>
        <v>3.5</v>
      </c>
      <c r="AT33" s="230">
        <f t="shared" si="68"/>
        <v>4.15625</v>
      </c>
      <c r="AU33" s="15"/>
      <c r="AV33" s="219" t="s">
        <v>958</v>
      </c>
      <c r="AW33" s="357" t="s">
        <v>1942</v>
      </c>
      <c r="AX33" s="409">
        <v>28.63</v>
      </c>
      <c r="AY33" s="55">
        <f t="shared" si="69"/>
        <v>38.25</v>
      </c>
      <c r="AZ33" s="5">
        <v>2</v>
      </c>
      <c r="BA33" s="5">
        <v>2</v>
      </c>
      <c r="BB33" s="32">
        <v>0.25</v>
      </c>
      <c r="BC33" s="5">
        <v>0.56000000000000005</v>
      </c>
      <c r="BD33" s="5">
        <v>24.75</v>
      </c>
      <c r="BE33" s="9" t="s">
        <v>519</v>
      </c>
      <c r="BF33" s="9">
        <v>1.5</v>
      </c>
      <c r="BG33" s="9">
        <v>36</v>
      </c>
      <c r="BH33" s="32">
        <v>9.7000000000000003E-2</v>
      </c>
      <c r="BI33" s="32">
        <v>7.0000000000000007E-2</v>
      </c>
      <c r="BJ33" s="236">
        <f t="shared" si="70"/>
        <v>18</v>
      </c>
      <c r="BK33" s="32">
        <v>42.25</v>
      </c>
      <c r="BL33" s="5">
        <v>20.440000000000001</v>
      </c>
      <c r="BM33" s="5">
        <v>28.56</v>
      </c>
      <c r="BN33" s="5">
        <v>20.94</v>
      </c>
      <c r="BO33" s="5" t="s">
        <v>519</v>
      </c>
      <c r="BP33" s="5">
        <v>23.5</v>
      </c>
      <c r="BQ33" s="5">
        <v>24.31</v>
      </c>
      <c r="BR33" s="5">
        <v>20.25</v>
      </c>
      <c r="BS33" s="5">
        <v>5</v>
      </c>
      <c r="BT33" s="5">
        <v>0.5</v>
      </c>
      <c r="BU33" s="5">
        <v>0.63</v>
      </c>
      <c r="BV33" s="5">
        <v>0.25</v>
      </c>
      <c r="BW33" s="5">
        <v>0.31</v>
      </c>
      <c r="BX33" s="5">
        <v>14.13</v>
      </c>
      <c r="BY33" s="5">
        <v>0.88</v>
      </c>
      <c r="BZ33" s="5">
        <v>29.5</v>
      </c>
      <c r="CA33" s="5">
        <v>30.44</v>
      </c>
      <c r="CB33" s="5">
        <v>14.25</v>
      </c>
      <c r="CC33" s="903">
        <v>2.1875</v>
      </c>
      <c r="CD33" s="904">
        <v>2.6875</v>
      </c>
      <c r="CE33" s="5">
        <f t="shared" si="80"/>
        <v>3.5</v>
      </c>
      <c r="CF33" s="132">
        <f>BA33+2</f>
        <v>4</v>
      </c>
      <c r="CG33" s="23"/>
      <c r="CH33" s="219" t="s">
        <v>1942</v>
      </c>
      <c r="CI33" s="43">
        <v>28.88</v>
      </c>
      <c r="CJ33" s="55">
        <f t="shared" si="73"/>
        <v>38.5</v>
      </c>
      <c r="CK33" s="5">
        <v>2.5</v>
      </c>
      <c r="CL33" s="5">
        <v>2.5</v>
      </c>
      <c r="CM33" s="32">
        <v>0.25</v>
      </c>
      <c r="CN33" s="5">
        <v>0.56000000000000005</v>
      </c>
      <c r="CO33" s="5">
        <v>24.75</v>
      </c>
      <c r="CP33" s="5" t="s">
        <v>519</v>
      </c>
      <c r="CQ33" s="5">
        <v>1.5</v>
      </c>
      <c r="CR33" s="5">
        <v>37</v>
      </c>
      <c r="CS33" s="32">
        <v>0.17499999999999999</v>
      </c>
      <c r="CT33" s="32">
        <v>0.17499999999999999</v>
      </c>
      <c r="CU33" s="32">
        <f t="shared" si="74"/>
        <v>18.5</v>
      </c>
      <c r="CV33" s="32">
        <v>43.5</v>
      </c>
      <c r="CW33" s="5">
        <v>20.56</v>
      </c>
      <c r="CX33" s="5">
        <f>30.19-CQ33</f>
        <v>28.69</v>
      </c>
      <c r="CY33" s="5">
        <v>21.44</v>
      </c>
      <c r="CZ33" s="5" t="s">
        <v>519</v>
      </c>
      <c r="DA33" s="5">
        <v>24.44</v>
      </c>
      <c r="DB33" s="5">
        <v>20.63</v>
      </c>
      <c r="DC33" s="5">
        <v>6</v>
      </c>
      <c r="DD33" s="5">
        <v>0.63</v>
      </c>
      <c r="DE33" s="5">
        <v>0.31</v>
      </c>
      <c r="DF33" s="5">
        <v>13.88</v>
      </c>
      <c r="DG33" s="5">
        <v>1.1299999999999999</v>
      </c>
      <c r="DH33" s="5">
        <v>31.56</v>
      </c>
      <c r="DI33" s="5">
        <v>14.25</v>
      </c>
      <c r="DJ33" s="903">
        <v>2.6875</v>
      </c>
      <c r="DK33" s="132">
        <f>CL33+1.5</f>
        <v>4</v>
      </c>
    </row>
    <row r="34" spans="2:115" x14ac:dyDescent="0.2">
      <c r="B34" s="942"/>
      <c r="C34" s="431" t="s">
        <v>795</v>
      </c>
      <c r="D34" s="390">
        <f t="shared" si="45"/>
        <v>30</v>
      </c>
      <c r="E34" s="342" t="s">
        <v>1668</v>
      </c>
      <c r="F34" s="419" t="str">
        <f t="shared" si="46"/>
        <v>364T</v>
      </c>
      <c r="G34" s="337">
        <f t="shared" si="47"/>
        <v>31.81</v>
      </c>
      <c r="H34" s="363">
        <f t="shared" si="47"/>
        <v>42.75</v>
      </c>
      <c r="I34" s="5">
        <f t="shared" si="47"/>
        <v>2.5</v>
      </c>
      <c r="J34" s="43">
        <f t="shared" si="47"/>
        <v>2.5</v>
      </c>
      <c r="K34" s="311">
        <f t="shared" si="47"/>
        <v>0.25</v>
      </c>
      <c r="L34" s="5">
        <f t="shared" si="47"/>
        <v>0.56000000000000005</v>
      </c>
      <c r="M34" s="43">
        <v>0.5</v>
      </c>
      <c r="N34" s="43">
        <f t="shared" si="48"/>
        <v>28.5</v>
      </c>
      <c r="O34" s="43">
        <f t="shared" si="49"/>
        <v>21.81</v>
      </c>
      <c r="P34" s="43">
        <f t="shared" si="50"/>
        <v>6.3099999999999987</v>
      </c>
      <c r="Q34" s="43">
        <f t="shared" si="51"/>
        <v>1.5</v>
      </c>
      <c r="R34" s="5">
        <f t="shared" si="51"/>
        <v>41</v>
      </c>
      <c r="S34" s="5">
        <f t="shared" si="51"/>
        <v>0.126</v>
      </c>
      <c r="T34" s="5">
        <f t="shared" si="51"/>
        <v>9.7000000000000003E-2</v>
      </c>
      <c r="U34" s="155">
        <f t="shared" si="51"/>
        <v>20.5</v>
      </c>
      <c r="V34" s="32">
        <f t="shared" si="51"/>
        <v>47.75</v>
      </c>
      <c r="W34" s="5">
        <f t="shared" si="51"/>
        <v>22.75</v>
      </c>
      <c r="X34" s="5">
        <f t="shared" si="51"/>
        <v>31.75</v>
      </c>
      <c r="Y34" s="43">
        <f t="shared" si="51"/>
        <v>23.31</v>
      </c>
      <c r="Z34" s="43">
        <f t="shared" si="52"/>
        <v>26.25</v>
      </c>
      <c r="AA34" s="43">
        <f t="shared" si="53"/>
        <v>32.880000000000003</v>
      </c>
      <c r="AB34" s="43">
        <f t="shared" si="54"/>
        <v>15.81</v>
      </c>
      <c r="AC34" s="32">
        <f t="shared" si="55"/>
        <v>2.4375</v>
      </c>
      <c r="AD34" s="121">
        <f t="shared" si="56"/>
        <v>5.5</v>
      </c>
      <c r="AE34" s="5">
        <f t="shared" si="57"/>
        <v>0.63</v>
      </c>
      <c r="AF34" s="132">
        <f t="shared" si="58"/>
        <v>0.31</v>
      </c>
      <c r="AG34" s="121" t="s">
        <v>519</v>
      </c>
      <c r="AH34" s="43">
        <f t="shared" si="59"/>
        <v>22.75</v>
      </c>
      <c r="AI34" s="5">
        <f t="shared" si="60"/>
        <v>15.88</v>
      </c>
      <c r="AJ34" s="170">
        <f t="shared" si="60"/>
        <v>1.1299999999999999</v>
      </c>
      <c r="AK34" s="333">
        <f t="shared" si="61"/>
        <v>4.6199999999999992</v>
      </c>
      <c r="AL34" s="121">
        <f t="shared" si="62"/>
        <v>36</v>
      </c>
      <c r="AM34" s="5">
        <f t="shared" si="63"/>
        <v>23.400000000000002</v>
      </c>
      <c r="AN34" s="32">
        <f t="shared" si="64"/>
        <v>27.787500000000001</v>
      </c>
      <c r="AO34" s="170">
        <v>1.5</v>
      </c>
      <c r="AP34" s="121">
        <f t="shared" si="65"/>
        <v>3.5</v>
      </c>
      <c r="AQ34" s="43">
        <v>0.375</v>
      </c>
      <c r="AR34" s="32">
        <f t="shared" si="66"/>
        <v>3.65625</v>
      </c>
      <c r="AS34" s="170">
        <f t="shared" si="67"/>
        <v>3</v>
      </c>
      <c r="AT34" s="132">
        <f t="shared" si="68"/>
        <v>3.78125</v>
      </c>
      <c r="AU34" s="15"/>
      <c r="AV34" s="219" t="s">
        <v>1</v>
      </c>
      <c r="AW34" s="357" t="s">
        <v>827</v>
      </c>
      <c r="AX34" s="409">
        <v>31.81</v>
      </c>
      <c r="AY34" s="55">
        <f t="shared" si="69"/>
        <v>42.75</v>
      </c>
      <c r="AZ34" s="5">
        <v>2.5</v>
      </c>
      <c r="BA34" s="5">
        <v>2.5</v>
      </c>
      <c r="BB34" s="32">
        <v>0.25</v>
      </c>
      <c r="BC34" s="5">
        <v>0.56000000000000005</v>
      </c>
      <c r="BD34" s="5">
        <v>28.5</v>
      </c>
      <c r="BE34" s="5" t="s">
        <v>519</v>
      </c>
      <c r="BF34" s="5">
        <v>1.5</v>
      </c>
      <c r="BG34" s="5">
        <v>41</v>
      </c>
      <c r="BH34" s="32">
        <v>0.126</v>
      </c>
      <c r="BI34" s="32">
        <v>9.7000000000000003E-2</v>
      </c>
      <c r="BJ34" s="155">
        <f t="shared" si="70"/>
        <v>20.5</v>
      </c>
      <c r="BK34" s="32">
        <v>47.75</v>
      </c>
      <c r="BL34" s="5">
        <v>22.75</v>
      </c>
      <c r="BM34" s="5">
        <v>31.75</v>
      </c>
      <c r="BN34" s="5">
        <v>23.31</v>
      </c>
      <c r="BO34" s="5" t="s">
        <v>519</v>
      </c>
      <c r="BP34" s="5">
        <v>26.25</v>
      </c>
      <c r="BQ34" s="5">
        <v>26.25</v>
      </c>
      <c r="BR34" s="5">
        <v>22.75</v>
      </c>
      <c r="BS34" s="5">
        <v>5.5</v>
      </c>
      <c r="BT34" s="5">
        <v>0.63</v>
      </c>
      <c r="BU34" s="5">
        <v>0.63</v>
      </c>
      <c r="BV34" s="5">
        <v>0.31</v>
      </c>
      <c r="BW34" s="5">
        <v>0.31</v>
      </c>
      <c r="BX34" s="5">
        <v>15.88</v>
      </c>
      <c r="BY34" s="5">
        <v>1.1299999999999999</v>
      </c>
      <c r="BZ34" s="5">
        <v>32.880000000000003</v>
      </c>
      <c r="CA34" s="5">
        <v>32.880000000000003</v>
      </c>
      <c r="CB34" s="5">
        <v>15.81</v>
      </c>
      <c r="CC34" s="903">
        <v>2.4375</v>
      </c>
      <c r="CD34" s="904">
        <v>2.4375</v>
      </c>
      <c r="CE34" s="5">
        <f t="shared" ref="CE34:CE35" si="81">BA34+1</f>
        <v>3.5</v>
      </c>
      <c r="CF34" s="132">
        <f>BA34+1</f>
        <v>3.5</v>
      </c>
      <c r="CG34" s="23"/>
      <c r="CH34" s="219" t="s">
        <v>827</v>
      </c>
      <c r="CI34" s="43">
        <v>32</v>
      </c>
      <c r="CJ34" s="55">
        <f t="shared" si="73"/>
        <v>42.88</v>
      </c>
      <c r="CK34" s="5">
        <v>3</v>
      </c>
      <c r="CL34" s="5">
        <v>3</v>
      </c>
      <c r="CM34" s="32">
        <v>0.313</v>
      </c>
      <c r="CN34" s="5">
        <v>0.81</v>
      </c>
      <c r="CO34" s="5">
        <v>27.5</v>
      </c>
      <c r="CP34" s="5" t="s">
        <v>519</v>
      </c>
      <c r="CQ34" s="5">
        <v>1.5</v>
      </c>
      <c r="CR34" s="5">
        <v>42</v>
      </c>
      <c r="CS34" s="32">
        <v>0.17499999999999999</v>
      </c>
      <c r="CT34" s="32">
        <v>0.17499999999999999</v>
      </c>
      <c r="CU34" s="32">
        <f t="shared" si="74"/>
        <v>21</v>
      </c>
      <c r="CV34" s="32">
        <v>48.88</v>
      </c>
      <c r="CW34" s="5">
        <v>22.81</v>
      </c>
      <c r="CX34" s="5">
        <f>33.31-CQ34</f>
        <v>31.810000000000002</v>
      </c>
      <c r="CY34" s="5">
        <v>23.81</v>
      </c>
      <c r="CZ34" s="5" t="s">
        <v>519</v>
      </c>
      <c r="DA34" s="5">
        <v>26.63</v>
      </c>
      <c r="DB34" s="5">
        <v>23.06</v>
      </c>
      <c r="DC34" s="5">
        <v>7</v>
      </c>
      <c r="DD34" s="5">
        <v>0.63</v>
      </c>
      <c r="DE34" s="5">
        <v>0.31</v>
      </c>
      <c r="DF34" s="5">
        <v>15.63</v>
      </c>
      <c r="DG34" s="5">
        <v>1.38</v>
      </c>
      <c r="DH34" s="5">
        <v>34.75</v>
      </c>
      <c r="DI34" s="5">
        <v>15.81</v>
      </c>
      <c r="DJ34" s="903">
        <v>2.6875</v>
      </c>
      <c r="DK34" s="132">
        <f t="shared" ref="DK34:DK35" si="82">CL34+1</f>
        <v>4</v>
      </c>
    </row>
    <row r="35" spans="2:115" x14ac:dyDescent="0.2">
      <c r="B35" s="942"/>
      <c r="C35" s="431" t="s">
        <v>1915</v>
      </c>
      <c r="D35" s="390">
        <f t="shared" si="45"/>
        <v>33</v>
      </c>
      <c r="E35" s="342" t="s">
        <v>1668</v>
      </c>
      <c r="F35" s="419" t="str">
        <f t="shared" si="46"/>
        <v>365T</v>
      </c>
      <c r="G35" s="337">
        <f t="shared" si="47"/>
        <v>35.130000000000003</v>
      </c>
      <c r="H35" s="363">
        <f t="shared" si="47"/>
        <v>46.75</v>
      </c>
      <c r="I35" s="5">
        <f t="shared" si="47"/>
        <v>2.5</v>
      </c>
      <c r="J35" s="43">
        <f t="shared" si="47"/>
        <v>2.5</v>
      </c>
      <c r="K35" s="311">
        <f t="shared" si="47"/>
        <v>0.25</v>
      </c>
      <c r="L35" s="5">
        <f t="shared" si="47"/>
        <v>0.56000000000000005</v>
      </c>
      <c r="M35" s="43">
        <v>0.5</v>
      </c>
      <c r="N35" s="43">
        <f t="shared" si="48"/>
        <v>31</v>
      </c>
      <c r="O35" s="43">
        <f t="shared" si="49"/>
        <v>24.25</v>
      </c>
      <c r="P35" s="43">
        <f t="shared" si="50"/>
        <v>7.25</v>
      </c>
      <c r="Q35" s="43">
        <f t="shared" si="51"/>
        <v>1.5</v>
      </c>
      <c r="R35" s="5">
        <f t="shared" si="51"/>
        <v>44</v>
      </c>
      <c r="S35" s="5">
        <f t="shared" si="51"/>
        <v>0.126</v>
      </c>
      <c r="T35" s="5">
        <f t="shared" si="51"/>
        <v>9.7000000000000003E-2</v>
      </c>
      <c r="U35" s="155">
        <f t="shared" si="51"/>
        <v>22</v>
      </c>
      <c r="V35" s="32">
        <f t="shared" si="51"/>
        <v>51.75</v>
      </c>
      <c r="W35" s="5">
        <f t="shared" si="51"/>
        <v>25</v>
      </c>
      <c r="X35" s="5">
        <f t="shared" si="51"/>
        <v>35.06</v>
      </c>
      <c r="Y35" s="43">
        <f t="shared" si="51"/>
        <v>25.75</v>
      </c>
      <c r="Z35" s="43">
        <f t="shared" si="52"/>
        <v>28.25</v>
      </c>
      <c r="AA35" s="43">
        <f t="shared" si="53"/>
        <v>34.880000000000003</v>
      </c>
      <c r="AB35" s="43">
        <f t="shared" si="54"/>
        <v>17.5</v>
      </c>
      <c r="AC35" s="32">
        <f t="shared" si="55"/>
        <v>2.4375</v>
      </c>
      <c r="AD35" s="121">
        <f t="shared" si="56"/>
        <v>5.5</v>
      </c>
      <c r="AE35" s="5">
        <f t="shared" si="57"/>
        <v>0.63</v>
      </c>
      <c r="AF35" s="132">
        <f t="shared" si="58"/>
        <v>0.31</v>
      </c>
      <c r="AG35" s="121" t="s">
        <v>519</v>
      </c>
      <c r="AH35" s="43">
        <f t="shared" si="59"/>
        <v>24.75</v>
      </c>
      <c r="AI35" s="5">
        <f t="shared" si="60"/>
        <v>17.38</v>
      </c>
      <c r="AJ35" s="170">
        <f t="shared" si="60"/>
        <v>1.1299999999999999</v>
      </c>
      <c r="AK35" s="333">
        <f t="shared" si="61"/>
        <v>4.620000000000001</v>
      </c>
      <c r="AL35" s="121">
        <f t="shared" si="62"/>
        <v>39</v>
      </c>
      <c r="AM35" s="5">
        <f t="shared" si="63"/>
        <v>25.740000000000002</v>
      </c>
      <c r="AN35" s="32">
        <f t="shared" si="64"/>
        <v>30.387499999999999</v>
      </c>
      <c r="AO35" s="170">
        <v>1.5</v>
      </c>
      <c r="AP35" s="121">
        <f t="shared" si="65"/>
        <v>4</v>
      </c>
      <c r="AQ35" s="43">
        <v>0.5</v>
      </c>
      <c r="AR35" s="32">
        <f t="shared" si="66"/>
        <v>3.65625</v>
      </c>
      <c r="AS35" s="170">
        <f t="shared" si="67"/>
        <v>3.5</v>
      </c>
      <c r="AT35" s="132">
        <f t="shared" si="68"/>
        <v>3.78125</v>
      </c>
      <c r="AU35" s="15"/>
      <c r="AV35" s="219" t="s">
        <v>828</v>
      </c>
      <c r="AW35" s="357" t="s">
        <v>296</v>
      </c>
      <c r="AX35" s="409">
        <v>35.130000000000003</v>
      </c>
      <c r="AY35" s="55">
        <f t="shared" si="69"/>
        <v>46.75</v>
      </c>
      <c r="AZ35" s="5">
        <v>2.5</v>
      </c>
      <c r="BA35" s="5">
        <v>2.5</v>
      </c>
      <c r="BB35" s="32">
        <v>0.25</v>
      </c>
      <c r="BC35" s="5">
        <v>0.56000000000000005</v>
      </c>
      <c r="BD35" s="5">
        <v>31</v>
      </c>
      <c r="BE35" s="5" t="s">
        <v>519</v>
      </c>
      <c r="BF35" s="5">
        <v>1.5</v>
      </c>
      <c r="BG35" s="5">
        <v>44</v>
      </c>
      <c r="BH35" s="32">
        <v>0.126</v>
      </c>
      <c r="BI35" s="32">
        <v>9.7000000000000003E-2</v>
      </c>
      <c r="BJ35" s="155">
        <f t="shared" si="70"/>
        <v>22</v>
      </c>
      <c r="BK35" s="32">
        <v>51.75</v>
      </c>
      <c r="BL35" s="5">
        <v>25</v>
      </c>
      <c r="BM35" s="5">
        <v>35.06</v>
      </c>
      <c r="BN35" s="5">
        <v>25.75</v>
      </c>
      <c r="BO35" s="5" t="s">
        <v>519</v>
      </c>
      <c r="BP35" s="5">
        <v>28.25</v>
      </c>
      <c r="BQ35" s="5">
        <v>28.25</v>
      </c>
      <c r="BR35" s="5">
        <v>24.75</v>
      </c>
      <c r="BS35" s="5">
        <v>5.5</v>
      </c>
      <c r="BT35" s="5">
        <v>0.63</v>
      </c>
      <c r="BU35" s="5">
        <v>0.63</v>
      </c>
      <c r="BV35" s="5">
        <v>0.31</v>
      </c>
      <c r="BW35" s="5">
        <v>0.31</v>
      </c>
      <c r="BX35" s="5">
        <v>17.38</v>
      </c>
      <c r="BY35" s="5">
        <v>1.1299999999999999</v>
      </c>
      <c r="BZ35" s="5">
        <v>34.880000000000003</v>
      </c>
      <c r="CA35" s="5">
        <v>34.880000000000003</v>
      </c>
      <c r="CB35" s="5">
        <v>17.5</v>
      </c>
      <c r="CC35" s="903">
        <v>2.4375</v>
      </c>
      <c r="CD35" s="904">
        <v>2.4375</v>
      </c>
      <c r="CE35" s="5">
        <f t="shared" si="81"/>
        <v>3.5</v>
      </c>
      <c r="CF35" s="132">
        <f t="shared" ref="CF35:CF36" si="83">BA35+1.5</f>
        <v>4</v>
      </c>
      <c r="CG35" s="23"/>
      <c r="CH35" s="219" t="s">
        <v>296</v>
      </c>
      <c r="CI35" s="43">
        <v>35.31</v>
      </c>
      <c r="CJ35" s="55">
        <f t="shared" si="73"/>
        <v>46.88</v>
      </c>
      <c r="CK35" s="5">
        <v>3</v>
      </c>
      <c r="CL35" s="5">
        <v>3</v>
      </c>
      <c r="CM35" s="32">
        <v>0.313</v>
      </c>
      <c r="CN35" s="5">
        <v>0.81</v>
      </c>
      <c r="CO35" s="5">
        <v>30</v>
      </c>
      <c r="CP35" s="5" t="s">
        <v>519</v>
      </c>
      <c r="CQ35" s="5">
        <v>1.5</v>
      </c>
      <c r="CR35" s="5">
        <v>45</v>
      </c>
      <c r="CS35" s="32">
        <v>0.17499999999999999</v>
      </c>
      <c r="CT35" s="32">
        <v>0.17499999999999999</v>
      </c>
      <c r="CU35" s="32">
        <f t="shared" si="74"/>
        <v>22.5</v>
      </c>
      <c r="CV35" s="32">
        <v>52.88</v>
      </c>
      <c r="CW35" s="5">
        <v>25.06</v>
      </c>
      <c r="CX35" s="5">
        <f>36.63-CQ35</f>
        <v>35.130000000000003</v>
      </c>
      <c r="CY35" s="5">
        <v>26.25</v>
      </c>
      <c r="CZ35" s="5" t="s">
        <v>519</v>
      </c>
      <c r="DA35" s="5">
        <v>28.44</v>
      </c>
      <c r="DB35" s="5">
        <v>25.06</v>
      </c>
      <c r="DC35" s="5">
        <v>7</v>
      </c>
      <c r="DD35" s="5">
        <v>0.75</v>
      </c>
      <c r="DE35" s="5">
        <v>0.38</v>
      </c>
      <c r="DF35" s="5">
        <v>17.13</v>
      </c>
      <c r="DG35" s="5">
        <v>1.38</v>
      </c>
      <c r="DH35" s="5">
        <v>36.69</v>
      </c>
      <c r="DI35" s="5">
        <v>17.5</v>
      </c>
      <c r="DJ35" s="903">
        <v>2.9375</v>
      </c>
      <c r="DK35" s="132">
        <f t="shared" si="82"/>
        <v>4</v>
      </c>
    </row>
    <row r="36" spans="2:115" ht="13.5" thickBot="1" x14ac:dyDescent="0.25">
      <c r="B36" s="944"/>
      <c r="C36" s="340" t="s">
        <v>296</v>
      </c>
      <c r="D36" s="370">
        <f t="shared" si="45"/>
        <v>36.5</v>
      </c>
      <c r="E36" s="389" t="s">
        <v>1668</v>
      </c>
      <c r="F36" s="378" t="str">
        <f t="shared" si="46"/>
        <v>404T</v>
      </c>
      <c r="G36" s="327">
        <f t="shared" si="47"/>
        <v>38.69</v>
      </c>
      <c r="H36" s="329">
        <f t="shared" si="47"/>
        <v>51.875</v>
      </c>
      <c r="I36" s="2">
        <f t="shared" si="47"/>
        <v>2.5</v>
      </c>
      <c r="J36" s="39">
        <f t="shared" si="47"/>
        <v>2.5</v>
      </c>
      <c r="K36" s="292">
        <f t="shared" si="47"/>
        <v>0.25</v>
      </c>
      <c r="L36" s="2">
        <f t="shared" si="47"/>
        <v>0.56000000000000005</v>
      </c>
      <c r="M36" s="39">
        <v>0.5</v>
      </c>
      <c r="N36" s="39">
        <f t="shared" si="48"/>
        <v>33.5</v>
      </c>
      <c r="O36" s="39">
        <f t="shared" si="49"/>
        <v>27</v>
      </c>
      <c r="P36" s="39">
        <f t="shared" si="50"/>
        <v>8</v>
      </c>
      <c r="Q36" s="39">
        <f t="shared" si="51"/>
        <v>1.5</v>
      </c>
      <c r="R36" s="2">
        <f t="shared" si="51"/>
        <v>48</v>
      </c>
      <c r="S36" s="2">
        <f t="shared" si="51"/>
        <v>0.126</v>
      </c>
      <c r="T36" s="2">
        <f t="shared" si="51"/>
        <v>9.7000000000000003E-2</v>
      </c>
      <c r="U36" s="162">
        <f t="shared" si="51"/>
        <v>24</v>
      </c>
      <c r="V36" s="30">
        <f t="shared" si="51"/>
        <v>56.875</v>
      </c>
      <c r="W36" s="2">
        <f t="shared" si="51"/>
        <v>27.75</v>
      </c>
      <c r="X36" s="2">
        <f t="shared" si="51"/>
        <v>38.630000000000003</v>
      </c>
      <c r="Y36" s="39">
        <f t="shared" si="51"/>
        <v>28.5</v>
      </c>
      <c r="Z36" s="39">
        <f t="shared" si="52"/>
        <v>31.13</v>
      </c>
      <c r="AA36" s="39">
        <f t="shared" si="53"/>
        <v>37.75</v>
      </c>
      <c r="AB36" s="39">
        <f t="shared" si="54"/>
        <v>19.25</v>
      </c>
      <c r="AC36" s="30">
        <f t="shared" si="55"/>
        <v>2.6875</v>
      </c>
      <c r="AD36" s="131">
        <f t="shared" si="56"/>
        <v>5.5</v>
      </c>
      <c r="AE36" s="2">
        <f t="shared" si="57"/>
        <v>0.63</v>
      </c>
      <c r="AF36" s="126">
        <f t="shared" si="58"/>
        <v>0.31</v>
      </c>
      <c r="AG36" s="131" t="s">
        <v>519</v>
      </c>
      <c r="AH36" s="39">
        <f t="shared" si="59"/>
        <v>27.31</v>
      </c>
      <c r="AI36" s="2">
        <f t="shared" si="60"/>
        <v>18.88</v>
      </c>
      <c r="AJ36" s="174">
        <f t="shared" si="60"/>
        <v>1.1299999999999999</v>
      </c>
      <c r="AK36" s="349">
        <f t="shared" si="61"/>
        <v>5.120000000000001</v>
      </c>
      <c r="AL36" s="131">
        <f t="shared" si="62"/>
        <v>43</v>
      </c>
      <c r="AM36" s="2">
        <f t="shared" si="63"/>
        <v>28.470000000000002</v>
      </c>
      <c r="AN36" s="30">
        <f t="shared" si="64"/>
        <v>33.71875</v>
      </c>
      <c r="AO36" s="174">
        <v>1.5</v>
      </c>
      <c r="AP36" s="131">
        <f t="shared" si="65"/>
        <v>4</v>
      </c>
      <c r="AQ36" s="39">
        <v>0.5</v>
      </c>
      <c r="AR36" s="30">
        <f t="shared" si="66"/>
        <v>4.03125</v>
      </c>
      <c r="AS36" s="174">
        <f t="shared" si="67"/>
        <v>3.5</v>
      </c>
      <c r="AT36" s="126">
        <f t="shared" si="68"/>
        <v>4.15625</v>
      </c>
      <c r="AU36" s="15"/>
      <c r="AV36" s="232" t="s">
        <v>828</v>
      </c>
      <c r="AW36" s="360" t="s">
        <v>692</v>
      </c>
      <c r="AX36" s="295">
        <v>38.69</v>
      </c>
      <c r="AY36" s="227">
        <f t="shared" si="69"/>
        <v>51.875</v>
      </c>
      <c r="AZ36" s="2">
        <v>2.5</v>
      </c>
      <c r="BA36" s="2">
        <v>2.5</v>
      </c>
      <c r="BB36" s="30">
        <v>0.25</v>
      </c>
      <c r="BC36" s="2">
        <v>0.56000000000000005</v>
      </c>
      <c r="BD36" s="2">
        <v>33.5</v>
      </c>
      <c r="BE36" s="2" t="s">
        <v>519</v>
      </c>
      <c r="BF36" s="2">
        <v>1.5</v>
      </c>
      <c r="BG36" s="2">
        <v>48</v>
      </c>
      <c r="BH36" s="30">
        <v>0.126</v>
      </c>
      <c r="BI36" s="30">
        <v>9.7000000000000003E-2</v>
      </c>
      <c r="BJ36" s="162">
        <f t="shared" si="70"/>
        <v>24</v>
      </c>
      <c r="BK36" s="30">
        <v>56.875</v>
      </c>
      <c r="BL36" s="2">
        <v>27.75</v>
      </c>
      <c r="BM36" s="2">
        <v>38.630000000000003</v>
      </c>
      <c r="BN36" s="2">
        <v>28.5</v>
      </c>
      <c r="BO36" s="2" t="s">
        <v>519</v>
      </c>
      <c r="BP36" s="2">
        <v>31.13</v>
      </c>
      <c r="BQ36" s="2">
        <v>31.13</v>
      </c>
      <c r="BR36" s="2">
        <v>27.31</v>
      </c>
      <c r="BS36" s="2">
        <v>5.5</v>
      </c>
      <c r="BT36" s="2">
        <v>0.63</v>
      </c>
      <c r="BU36" s="2">
        <v>0.63</v>
      </c>
      <c r="BV36" s="2">
        <v>0.31</v>
      </c>
      <c r="BW36" s="2">
        <v>0.31</v>
      </c>
      <c r="BX36" s="2">
        <v>18.88</v>
      </c>
      <c r="BY36" s="2">
        <v>1.1299999999999999</v>
      </c>
      <c r="BZ36" s="2">
        <v>37.75</v>
      </c>
      <c r="CA36" s="2">
        <v>37.75</v>
      </c>
      <c r="CB36" s="2">
        <v>19.25</v>
      </c>
      <c r="CC36" s="905">
        <v>2.6875</v>
      </c>
      <c r="CD36" s="906">
        <v>2.6875</v>
      </c>
      <c r="CE36" s="2">
        <f>BA36+1.5</f>
        <v>4</v>
      </c>
      <c r="CF36" s="126">
        <f t="shared" si="83"/>
        <v>4</v>
      </c>
      <c r="CG36" s="23"/>
      <c r="CH36" s="232" t="s">
        <v>692</v>
      </c>
      <c r="CI36" s="39">
        <v>38.880000000000003</v>
      </c>
      <c r="CJ36" s="227">
        <f t="shared" si="73"/>
        <v>52</v>
      </c>
      <c r="CK36" s="2">
        <v>3</v>
      </c>
      <c r="CL36" s="2">
        <v>3</v>
      </c>
      <c r="CM36" s="30">
        <v>0.313</v>
      </c>
      <c r="CN36" s="2">
        <v>0.81</v>
      </c>
      <c r="CO36" s="2">
        <v>33.5</v>
      </c>
      <c r="CP36" s="2" t="s">
        <v>519</v>
      </c>
      <c r="CQ36" s="2">
        <v>1.5</v>
      </c>
      <c r="CR36" s="2">
        <v>49</v>
      </c>
      <c r="CS36" s="30">
        <v>0.17499999999999999</v>
      </c>
      <c r="CT36" s="30">
        <v>0.17499999999999999</v>
      </c>
      <c r="CU36" s="30">
        <f t="shared" si="74"/>
        <v>24.5</v>
      </c>
      <c r="CV36" s="30">
        <v>58</v>
      </c>
      <c r="CW36" s="2">
        <v>27.81</v>
      </c>
      <c r="CX36" s="2">
        <f>40.19-CQ36</f>
        <v>38.69</v>
      </c>
      <c r="CY36" s="2">
        <v>29</v>
      </c>
      <c r="CZ36" s="2" t="s">
        <v>519</v>
      </c>
      <c r="DA36" s="2">
        <v>31</v>
      </c>
      <c r="DB36" s="2">
        <v>27.63</v>
      </c>
      <c r="DC36" s="2">
        <v>7</v>
      </c>
      <c r="DD36" s="2">
        <v>0.75</v>
      </c>
      <c r="DE36" s="2">
        <v>0.38</v>
      </c>
      <c r="DF36" s="2">
        <v>18.63</v>
      </c>
      <c r="DG36" s="2">
        <v>1.38</v>
      </c>
      <c r="DH36" s="2">
        <v>39.25</v>
      </c>
      <c r="DI36" s="2">
        <v>19.25</v>
      </c>
      <c r="DJ36" s="905">
        <v>2.9375</v>
      </c>
      <c r="DK36" s="126">
        <f>CL36+2</f>
        <v>5</v>
      </c>
    </row>
    <row r="37" spans="2:115" x14ac:dyDescent="0.2">
      <c r="B37" s="941" t="s">
        <v>502</v>
      </c>
      <c r="C37" s="376" t="s">
        <v>1781</v>
      </c>
      <c r="D37" s="316">
        <f t="shared" si="45"/>
        <v>40.200000000000003</v>
      </c>
      <c r="E37" s="416" t="s">
        <v>556</v>
      </c>
      <c r="F37" s="425" t="str">
        <f t="shared" si="46"/>
        <v>404T</v>
      </c>
      <c r="G37" s="291">
        <f t="shared" si="47"/>
        <v>42.63</v>
      </c>
      <c r="H37" s="310">
        <f t="shared" si="47"/>
        <v>57.25</v>
      </c>
      <c r="I37" s="4">
        <f t="shared" si="47"/>
        <v>3</v>
      </c>
      <c r="J37" s="41">
        <f t="shared" si="47"/>
        <v>3</v>
      </c>
      <c r="K37" s="325">
        <f t="shared" si="47"/>
        <v>0.313</v>
      </c>
      <c r="L37" s="4">
        <f t="shared" si="47"/>
        <v>0.81</v>
      </c>
      <c r="M37" s="41">
        <v>0.75</v>
      </c>
      <c r="N37" s="41">
        <f t="shared" si="48"/>
        <v>37</v>
      </c>
      <c r="O37" s="41">
        <f t="shared" si="49"/>
        <v>30</v>
      </c>
      <c r="P37" s="41">
        <f t="shared" si="50"/>
        <v>9.75</v>
      </c>
      <c r="Q37" s="41">
        <f t="shared" si="51"/>
        <v>1.5</v>
      </c>
      <c r="R37" s="4">
        <f t="shared" si="51"/>
        <v>52.5</v>
      </c>
      <c r="S37" s="4">
        <f t="shared" si="51"/>
        <v>0.126</v>
      </c>
      <c r="T37" s="4">
        <f t="shared" si="51"/>
        <v>9.7000000000000003E-2</v>
      </c>
      <c r="U37" s="156">
        <f t="shared" si="51"/>
        <v>26.25</v>
      </c>
      <c r="V37" s="24">
        <f t="shared" si="51"/>
        <v>63.25</v>
      </c>
      <c r="W37" s="4">
        <f t="shared" si="51"/>
        <v>30.56</v>
      </c>
      <c r="X37" s="4">
        <f t="shared" si="51"/>
        <v>42.56</v>
      </c>
      <c r="Y37" s="41">
        <f t="shared" si="51"/>
        <v>31.5</v>
      </c>
      <c r="Z37" s="41">
        <f t="shared" si="52"/>
        <v>33.81</v>
      </c>
      <c r="AA37" s="41">
        <f t="shared" si="53"/>
        <v>40.94</v>
      </c>
      <c r="AB37" s="41">
        <f t="shared" si="54"/>
        <v>21.25</v>
      </c>
      <c r="AC37" s="24">
        <f t="shared" si="55"/>
        <v>2.6875</v>
      </c>
      <c r="AD37" s="120">
        <f t="shared" si="56"/>
        <v>6</v>
      </c>
      <c r="AE37" s="4">
        <f t="shared" si="57"/>
        <v>0.63</v>
      </c>
      <c r="AF37" s="127">
        <f t="shared" si="58"/>
        <v>0.31</v>
      </c>
      <c r="AG37" s="120" t="s">
        <v>519</v>
      </c>
      <c r="AH37" s="41">
        <f t="shared" si="59"/>
        <v>30.25</v>
      </c>
      <c r="AI37" s="4">
        <f t="shared" si="60"/>
        <v>20.88</v>
      </c>
      <c r="AJ37" s="176">
        <f t="shared" si="60"/>
        <v>1.38</v>
      </c>
      <c r="AK37" s="383">
        <f t="shared" si="61"/>
        <v>5.370000000000001</v>
      </c>
      <c r="AL37" s="120">
        <f t="shared" si="62"/>
        <v>46.5</v>
      </c>
      <c r="AM37" s="4">
        <f t="shared" si="63"/>
        <v>31.356000000000002</v>
      </c>
      <c r="AN37" s="24">
        <f t="shared" si="64"/>
        <v>37.212499999999999</v>
      </c>
      <c r="AO37" s="176">
        <v>1.75</v>
      </c>
      <c r="AP37" s="120">
        <f t="shared" si="65"/>
        <v>4</v>
      </c>
      <c r="AQ37" s="41">
        <v>0.5</v>
      </c>
      <c r="AR37" s="24">
        <f t="shared" si="66"/>
        <v>4.03125</v>
      </c>
      <c r="AS37" s="176">
        <f t="shared" si="67"/>
        <v>3.5</v>
      </c>
      <c r="AT37" s="127">
        <f t="shared" si="68"/>
        <v>4.15625</v>
      </c>
      <c r="AU37" s="15"/>
      <c r="AV37" s="214" t="s">
        <v>1942</v>
      </c>
      <c r="AW37" s="305" t="s">
        <v>692</v>
      </c>
      <c r="AX37" s="429">
        <v>42.63</v>
      </c>
      <c r="AY37" s="24">
        <f t="shared" si="69"/>
        <v>57.25</v>
      </c>
      <c r="AZ37" s="4">
        <v>3</v>
      </c>
      <c r="BA37" s="4">
        <v>3</v>
      </c>
      <c r="BB37" s="24">
        <v>0.313</v>
      </c>
      <c r="BC37" s="4">
        <v>0.81</v>
      </c>
      <c r="BD37" s="4">
        <v>37</v>
      </c>
      <c r="BE37" s="4" t="s">
        <v>519</v>
      </c>
      <c r="BF37" s="4">
        <v>1.5</v>
      </c>
      <c r="BG37" s="4">
        <v>52.5</v>
      </c>
      <c r="BH37" s="24">
        <v>0.126</v>
      </c>
      <c r="BI37" s="24">
        <v>9.7000000000000003E-2</v>
      </c>
      <c r="BJ37" s="156">
        <f t="shared" si="70"/>
        <v>26.25</v>
      </c>
      <c r="BK37" s="24">
        <v>63.25</v>
      </c>
      <c r="BL37" s="4">
        <v>30.56</v>
      </c>
      <c r="BM37" s="4">
        <v>42.56</v>
      </c>
      <c r="BN37" s="4">
        <v>31.5</v>
      </c>
      <c r="BO37" s="4" t="s">
        <v>519</v>
      </c>
      <c r="BP37" s="4">
        <v>33.5</v>
      </c>
      <c r="BQ37" s="4">
        <v>33.81</v>
      </c>
      <c r="BR37" s="4">
        <v>30.25</v>
      </c>
      <c r="BS37" s="4">
        <v>6</v>
      </c>
      <c r="BT37" s="4">
        <v>0.63</v>
      </c>
      <c r="BU37" s="4">
        <v>0.63</v>
      </c>
      <c r="BV37" s="4">
        <v>0.31</v>
      </c>
      <c r="BW37" s="4">
        <v>0.31</v>
      </c>
      <c r="BX37" s="4">
        <v>20.88</v>
      </c>
      <c r="BY37" s="4">
        <v>1.38</v>
      </c>
      <c r="BZ37" s="4">
        <v>40.630000000000003</v>
      </c>
      <c r="CA37" s="4">
        <v>40.94</v>
      </c>
      <c r="CB37" s="4">
        <v>21.25</v>
      </c>
      <c r="CC37" s="907">
        <v>2.4375</v>
      </c>
      <c r="CD37" s="908">
        <v>2.6875</v>
      </c>
      <c r="CE37" s="4">
        <f t="shared" ref="CE37:CE39" si="84">BA37+1</f>
        <v>4</v>
      </c>
      <c r="CF37" s="127">
        <f>BA37+1</f>
        <v>4</v>
      </c>
      <c r="CG37" s="23"/>
      <c r="CH37" s="214" t="s">
        <v>692</v>
      </c>
      <c r="CI37" s="41">
        <v>42.81</v>
      </c>
      <c r="CJ37" s="24">
        <f t="shared" si="73"/>
        <v>57.379999999999995</v>
      </c>
      <c r="CK37" s="4">
        <v>3</v>
      </c>
      <c r="CL37" s="4">
        <v>4</v>
      </c>
      <c r="CM37" s="24">
        <v>0.313</v>
      </c>
      <c r="CN37" s="4">
        <v>0.81</v>
      </c>
      <c r="CO37" s="4">
        <v>37</v>
      </c>
      <c r="CP37" s="4" t="s">
        <v>519</v>
      </c>
      <c r="CQ37" s="4">
        <v>2</v>
      </c>
      <c r="CR37" s="4">
        <v>52.5</v>
      </c>
      <c r="CS37" s="24">
        <v>0.17499999999999999</v>
      </c>
      <c r="CT37" s="24">
        <v>0.17499999999999999</v>
      </c>
      <c r="CU37" s="24">
        <f t="shared" si="74"/>
        <v>26.25</v>
      </c>
      <c r="CV37" s="24">
        <v>65.38</v>
      </c>
      <c r="CW37" s="4">
        <v>30.63</v>
      </c>
      <c r="CX37" s="4">
        <f>44.63-CQ37</f>
        <v>42.63</v>
      </c>
      <c r="CY37" s="4">
        <v>32</v>
      </c>
      <c r="CZ37" s="4" t="s">
        <v>519</v>
      </c>
      <c r="DA37" s="4">
        <v>35.06</v>
      </c>
      <c r="DB37" s="4">
        <v>30.81</v>
      </c>
      <c r="DC37" s="4">
        <v>8</v>
      </c>
      <c r="DD37" s="4">
        <v>0.88</v>
      </c>
      <c r="DE37" s="4">
        <v>0.44</v>
      </c>
      <c r="DF37" s="4">
        <v>20.38</v>
      </c>
      <c r="DG37" s="4">
        <v>1.88</v>
      </c>
      <c r="DH37" s="4">
        <v>44.38</v>
      </c>
      <c r="DI37" s="4">
        <v>21.25</v>
      </c>
      <c r="DJ37" s="907">
        <v>3.4375</v>
      </c>
      <c r="DK37" s="127">
        <f t="shared" ref="DK37:DK38" si="85">CL37+1</f>
        <v>5</v>
      </c>
    </row>
    <row r="38" spans="2:115" x14ac:dyDescent="0.2">
      <c r="B38" s="942"/>
      <c r="C38" s="371" t="s">
        <v>188</v>
      </c>
      <c r="D38" s="365">
        <f t="shared" si="45"/>
        <v>44.5</v>
      </c>
      <c r="E38" s="289" t="s">
        <v>2</v>
      </c>
      <c r="F38" s="405" t="str">
        <f t="shared" si="46"/>
        <v>405T</v>
      </c>
      <c r="G38" s="293">
        <f t="shared" si="47"/>
        <v>47.13</v>
      </c>
      <c r="H38" s="399">
        <f t="shared" si="47"/>
        <v>63.125</v>
      </c>
      <c r="I38" s="6">
        <f t="shared" si="47"/>
        <v>3</v>
      </c>
      <c r="J38" s="37">
        <f t="shared" si="47"/>
        <v>3</v>
      </c>
      <c r="K38" s="396">
        <f t="shared" si="47"/>
        <v>0.313</v>
      </c>
      <c r="L38" s="6">
        <f t="shared" si="47"/>
        <v>0.81</v>
      </c>
      <c r="M38" s="37">
        <v>0.75</v>
      </c>
      <c r="N38" s="37">
        <f t="shared" si="48"/>
        <v>40</v>
      </c>
      <c r="O38" s="37">
        <f t="shared" si="49"/>
        <v>33.380000000000003</v>
      </c>
      <c r="P38" s="37">
        <f t="shared" si="50"/>
        <v>11.130000000000003</v>
      </c>
      <c r="Q38" s="37">
        <f t="shared" si="51"/>
        <v>1.5</v>
      </c>
      <c r="R38" s="6">
        <f t="shared" si="51"/>
        <v>56.5</v>
      </c>
      <c r="S38" s="6">
        <f t="shared" si="51"/>
        <v>0.126</v>
      </c>
      <c r="T38" s="6">
        <f t="shared" si="51"/>
        <v>9.7000000000000003E-2</v>
      </c>
      <c r="U38" s="171">
        <f t="shared" si="51"/>
        <v>28.25</v>
      </c>
      <c r="V38" s="31">
        <f t="shared" si="51"/>
        <v>69.125</v>
      </c>
      <c r="W38" s="6">
        <f t="shared" si="51"/>
        <v>33.75</v>
      </c>
      <c r="X38" s="6">
        <f t="shared" si="51"/>
        <v>47.06</v>
      </c>
      <c r="Y38" s="37">
        <f t="shared" si="51"/>
        <v>34.880000000000003</v>
      </c>
      <c r="Z38" s="37">
        <f t="shared" si="52"/>
        <v>36.56</v>
      </c>
      <c r="AA38" s="37">
        <f t="shared" si="53"/>
        <v>43.81</v>
      </c>
      <c r="AB38" s="37">
        <f t="shared" si="54"/>
        <v>23.5</v>
      </c>
      <c r="AC38" s="31">
        <f t="shared" si="55"/>
        <v>2.9375</v>
      </c>
      <c r="AD38" s="122">
        <f t="shared" si="56"/>
        <v>6</v>
      </c>
      <c r="AE38" s="6">
        <f t="shared" si="57"/>
        <v>0.75</v>
      </c>
      <c r="AF38" s="108">
        <f t="shared" si="58"/>
        <v>0.38</v>
      </c>
      <c r="AG38" s="122" t="s">
        <v>519</v>
      </c>
      <c r="AH38" s="37">
        <f t="shared" si="59"/>
        <v>33.19</v>
      </c>
      <c r="AI38" s="6">
        <f t="shared" si="60"/>
        <v>22.88</v>
      </c>
      <c r="AJ38" s="173">
        <f t="shared" si="60"/>
        <v>1.38</v>
      </c>
      <c r="AK38" s="423">
        <f t="shared" si="61"/>
        <v>5.370000000000001</v>
      </c>
      <c r="AL38" s="122">
        <f t="shared" si="62"/>
        <v>50.5</v>
      </c>
      <c r="AM38" s="6">
        <f t="shared" si="63"/>
        <v>34.71</v>
      </c>
      <c r="AN38" s="31">
        <f t="shared" si="64"/>
        <v>41.03125</v>
      </c>
      <c r="AO38" s="176">
        <v>1.75</v>
      </c>
      <c r="AP38" s="122">
        <f t="shared" si="65"/>
        <v>5</v>
      </c>
      <c r="AQ38" s="37">
        <v>0.5</v>
      </c>
      <c r="AR38" s="31">
        <f t="shared" si="66"/>
        <v>4.40625</v>
      </c>
      <c r="AS38" s="173">
        <f t="shared" si="67"/>
        <v>4.5</v>
      </c>
      <c r="AT38" s="108">
        <f t="shared" si="68"/>
        <v>4.53125</v>
      </c>
      <c r="AU38" s="15"/>
      <c r="AV38" s="220" t="s">
        <v>827</v>
      </c>
      <c r="AW38" s="318" t="s">
        <v>144</v>
      </c>
      <c r="AX38" s="373">
        <v>47.13</v>
      </c>
      <c r="AY38" s="24">
        <f t="shared" si="69"/>
        <v>63.125</v>
      </c>
      <c r="AZ38" s="6">
        <v>3</v>
      </c>
      <c r="BA38" s="6">
        <v>3</v>
      </c>
      <c r="BB38" s="31">
        <v>0.313</v>
      </c>
      <c r="BC38" s="6">
        <v>0.81</v>
      </c>
      <c r="BD38" s="6">
        <v>40</v>
      </c>
      <c r="BE38" s="6" t="s">
        <v>519</v>
      </c>
      <c r="BF38" s="6">
        <v>1.5</v>
      </c>
      <c r="BG38" s="6">
        <v>56.5</v>
      </c>
      <c r="BH38" s="31">
        <v>0.126</v>
      </c>
      <c r="BI38" s="31">
        <v>9.7000000000000003E-2</v>
      </c>
      <c r="BJ38" s="171">
        <f t="shared" si="70"/>
        <v>28.25</v>
      </c>
      <c r="BK38" s="31">
        <v>69.125</v>
      </c>
      <c r="BL38" s="6">
        <v>33.75</v>
      </c>
      <c r="BM38" s="6">
        <v>47.06</v>
      </c>
      <c r="BN38" s="6">
        <v>34.880000000000003</v>
      </c>
      <c r="BO38" s="6" t="s">
        <v>519</v>
      </c>
      <c r="BP38" s="6">
        <v>36.44</v>
      </c>
      <c r="BQ38" s="6">
        <v>36.56</v>
      </c>
      <c r="BR38" s="6">
        <v>33.19</v>
      </c>
      <c r="BS38" s="6">
        <v>6</v>
      </c>
      <c r="BT38" s="6">
        <v>0.63</v>
      </c>
      <c r="BU38" s="6">
        <v>0.75</v>
      </c>
      <c r="BV38" s="6">
        <v>0.31</v>
      </c>
      <c r="BW38" s="6">
        <v>0.38</v>
      </c>
      <c r="BX38" s="6">
        <v>22.88</v>
      </c>
      <c r="BY38" s="6">
        <v>1.38</v>
      </c>
      <c r="BZ38" s="6">
        <v>43.56</v>
      </c>
      <c r="CA38" s="6">
        <v>43.81</v>
      </c>
      <c r="CB38" s="6">
        <v>23.5</v>
      </c>
      <c r="CC38" s="909">
        <v>2.4375</v>
      </c>
      <c r="CD38" s="910">
        <v>2.9375</v>
      </c>
      <c r="CE38" s="6">
        <f t="shared" si="84"/>
        <v>4</v>
      </c>
      <c r="CF38" s="108">
        <f t="shared" ref="CF38:CF39" si="86">BA38+2</f>
        <v>5</v>
      </c>
      <c r="CG38" s="23"/>
      <c r="CH38" s="220" t="s">
        <v>144</v>
      </c>
      <c r="CI38" s="37">
        <v>47.31</v>
      </c>
      <c r="CJ38" s="24">
        <f t="shared" si="73"/>
        <v>63.25</v>
      </c>
      <c r="CK38" s="6">
        <v>3</v>
      </c>
      <c r="CL38" s="6">
        <v>4</v>
      </c>
      <c r="CM38" s="31">
        <v>0.313</v>
      </c>
      <c r="CN38" s="6">
        <v>0.81</v>
      </c>
      <c r="CO38" s="6">
        <v>40</v>
      </c>
      <c r="CP38" s="6" t="s">
        <v>519</v>
      </c>
      <c r="CQ38" s="6">
        <v>2</v>
      </c>
      <c r="CR38" s="6">
        <v>56.5</v>
      </c>
      <c r="CS38" s="31">
        <v>0.17499999999999999</v>
      </c>
      <c r="CT38" s="31">
        <v>0.17499999999999999</v>
      </c>
      <c r="CU38" s="31">
        <f t="shared" si="74"/>
        <v>28.25</v>
      </c>
      <c r="CV38" s="31">
        <v>71.25</v>
      </c>
      <c r="CW38" s="6">
        <v>33.81</v>
      </c>
      <c r="CX38" s="6">
        <f>49.13-CQ38</f>
        <v>47.13</v>
      </c>
      <c r="CY38" s="6">
        <v>35.380000000000003</v>
      </c>
      <c r="CZ38" s="6" t="s">
        <v>519</v>
      </c>
      <c r="DA38" s="6">
        <v>38</v>
      </c>
      <c r="DB38" s="6">
        <v>33.75</v>
      </c>
      <c r="DC38" s="6">
        <v>8</v>
      </c>
      <c r="DD38" s="6">
        <v>0.88</v>
      </c>
      <c r="DE38" s="6">
        <v>0.44</v>
      </c>
      <c r="DF38" s="6">
        <v>22.38</v>
      </c>
      <c r="DG38" s="6">
        <v>1.88</v>
      </c>
      <c r="DH38" s="6">
        <v>47.31</v>
      </c>
      <c r="DI38" s="6">
        <v>23.5</v>
      </c>
      <c r="DJ38" s="909">
        <v>3.4375</v>
      </c>
      <c r="DK38" s="108">
        <f t="shared" si="85"/>
        <v>5</v>
      </c>
    </row>
    <row r="39" spans="2:115" x14ac:dyDescent="0.2">
      <c r="B39" s="942"/>
      <c r="C39" s="371" t="s">
        <v>1782</v>
      </c>
      <c r="D39" s="365">
        <f t="shared" si="45"/>
        <v>49</v>
      </c>
      <c r="E39" s="289" t="s">
        <v>2</v>
      </c>
      <c r="F39" s="405" t="str">
        <f t="shared" si="46"/>
        <v>445T</v>
      </c>
      <c r="G39" s="293">
        <f t="shared" si="47"/>
        <v>51.94</v>
      </c>
      <c r="H39" s="399">
        <f t="shared" si="47"/>
        <v>69.5</v>
      </c>
      <c r="I39" s="6">
        <f t="shared" si="47"/>
        <v>3</v>
      </c>
      <c r="J39" s="37">
        <f t="shared" si="47"/>
        <v>3</v>
      </c>
      <c r="K39" s="396">
        <f t="shared" si="47"/>
        <v>0.313</v>
      </c>
      <c r="L39" s="6">
        <f t="shared" si="47"/>
        <v>0.81</v>
      </c>
      <c r="M39" s="37">
        <v>0.75</v>
      </c>
      <c r="N39" s="37">
        <f t="shared" si="48"/>
        <v>44</v>
      </c>
      <c r="O39" s="37">
        <f t="shared" si="49"/>
        <v>37</v>
      </c>
      <c r="P39" s="37">
        <f t="shared" si="50"/>
        <v>12.25</v>
      </c>
      <c r="Q39" s="37">
        <f t="shared" si="51"/>
        <v>2</v>
      </c>
      <c r="R39" s="6">
        <f t="shared" si="51"/>
        <v>61.5</v>
      </c>
      <c r="S39" s="6">
        <f t="shared" si="51"/>
        <v>0.126</v>
      </c>
      <c r="T39" s="6">
        <f t="shared" si="51"/>
        <v>9.7000000000000003E-2</v>
      </c>
      <c r="U39" s="171">
        <f t="shared" si="51"/>
        <v>30.75</v>
      </c>
      <c r="V39" s="31">
        <f t="shared" si="51"/>
        <v>75.5</v>
      </c>
      <c r="W39" s="6">
        <f t="shared" si="51"/>
        <v>37.19</v>
      </c>
      <c r="X39" s="6">
        <f t="shared" si="51"/>
        <v>51.88</v>
      </c>
      <c r="Y39" s="37">
        <f t="shared" si="51"/>
        <v>38.5</v>
      </c>
      <c r="Z39" s="37">
        <f t="shared" si="52"/>
        <v>41.13</v>
      </c>
      <c r="AA39" s="37">
        <f t="shared" si="53"/>
        <v>49.44</v>
      </c>
      <c r="AB39" s="37">
        <f t="shared" si="54"/>
        <v>25.88</v>
      </c>
      <c r="AC39" s="31">
        <f t="shared" si="55"/>
        <v>3.4375</v>
      </c>
      <c r="AD39" s="122">
        <f t="shared" si="56"/>
        <v>7</v>
      </c>
      <c r="AE39" s="6">
        <f t="shared" si="57"/>
        <v>0.88</v>
      </c>
      <c r="AF39" s="108">
        <f t="shared" si="58"/>
        <v>0.44</v>
      </c>
      <c r="AG39" s="122" t="s">
        <v>519</v>
      </c>
      <c r="AH39" s="37">
        <f t="shared" si="59"/>
        <v>36.380000000000003</v>
      </c>
      <c r="AI39" s="6">
        <f t="shared" si="60"/>
        <v>25.38</v>
      </c>
      <c r="AJ39" s="173">
        <f t="shared" si="60"/>
        <v>1.38</v>
      </c>
      <c r="AK39" s="423">
        <f t="shared" si="61"/>
        <v>5.370000000000001</v>
      </c>
      <c r="AL39" s="122">
        <f t="shared" si="62"/>
        <v>55.5</v>
      </c>
      <c r="AM39" s="6">
        <f t="shared" si="63"/>
        <v>38.22</v>
      </c>
      <c r="AN39" s="31">
        <f t="shared" si="64"/>
        <v>45.175000000000004</v>
      </c>
      <c r="AO39" s="176">
        <v>1.75</v>
      </c>
      <c r="AP39" s="122">
        <f t="shared" si="65"/>
        <v>5</v>
      </c>
      <c r="AQ39" s="37">
        <v>0.5</v>
      </c>
      <c r="AR39" s="31">
        <f t="shared" si="66"/>
        <v>5.15625</v>
      </c>
      <c r="AS39" s="173">
        <f t="shared" si="67"/>
        <v>4.5</v>
      </c>
      <c r="AT39" s="108">
        <f t="shared" si="68"/>
        <v>5.28125</v>
      </c>
      <c r="AU39" s="15"/>
      <c r="AV39" s="220" t="s">
        <v>296</v>
      </c>
      <c r="AW39" s="318" t="s">
        <v>188</v>
      </c>
      <c r="AX39" s="373">
        <v>51.94</v>
      </c>
      <c r="AY39" s="24">
        <f t="shared" si="69"/>
        <v>69.5</v>
      </c>
      <c r="AZ39" s="6">
        <v>3</v>
      </c>
      <c r="BA39" s="6">
        <v>3</v>
      </c>
      <c r="BB39" s="31">
        <v>0.313</v>
      </c>
      <c r="BC39" s="6">
        <v>0.81</v>
      </c>
      <c r="BD39" s="6">
        <v>44</v>
      </c>
      <c r="BE39" s="6" t="s">
        <v>519</v>
      </c>
      <c r="BF39" s="6">
        <v>2</v>
      </c>
      <c r="BG39" s="6">
        <v>61.5</v>
      </c>
      <c r="BH39" s="31">
        <v>0.126</v>
      </c>
      <c r="BI39" s="31">
        <v>9.7000000000000003E-2</v>
      </c>
      <c r="BJ39" s="171">
        <f t="shared" si="70"/>
        <v>30.75</v>
      </c>
      <c r="BK39" s="31">
        <v>75.5</v>
      </c>
      <c r="BL39" s="6">
        <v>37.19</v>
      </c>
      <c r="BM39" s="6">
        <v>51.88</v>
      </c>
      <c r="BN39" s="6">
        <v>38.5</v>
      </c>
      <c r="BO39" s="6" t="s">
        <v>519</v>
      </c>
      <c r="BP39" s="6">
        <v>39.94</v>
      </c>
      <c r="BQ39" s="6">
        <v>41.13</v>
      </c>
      <c r="BR39" s="6">
        <v>36.380000000000003</v>
      </c>
      <c r="BS39" s="6">
        <v>7</v>
      </c>
      <c r="BT39" s="6">
        <v>0.63</v>
      </c>
      <c r="BU39" s="6">
        <v>0.88</v>
      </c>
      <c r="BV39" s="6">
        <v>0.31</v>
      </c>
      <c r="BW39" s="6">
        <v>0.44</v>
      </c>
      <c r="BX39" s="6">
        <v>25.38</v>
      </c>
      <c r="BY39" s="6">
        <v>1.38</v>
      </c>
      <c r="BZ39" s="6">
        <v>48.06</v>
      </c>
      <c r="CA39" s="6">
        <v>49.44</v>
      </c>
      <c r="CB39" s="6">
        <v>25.88</v>
      </c>
      <c r="CC39" s="909">
        <v>2.6875</v>
      </c>
      <c r="CD39" s="910">
        <v>3.4375</v>
      </c>
      <c r="CE39" s="6">
        <f t="shared" si="84"/>
        <v>4</v>
      </c>
      <c r="CF39" s="108">
        <f t="shared" si="86"/>
        <v>5</v>
      </c>
      <c r="CG39" s="23"/>
      <c r="CH39" s="220" t="s">
        <v>188</v>
      </c>
      <c r="CI39" s="37">
        <v>52.13</v>
      </c>
      <c r="CJ39" s="24">
        <f t="shared" si="73"/>
        <v>69.63</v>
      </c>
      <c r="CK39" s="6">
        <v>3</v>
      </c>
      <c r="CL39" s="6">
        <v>4</v>
      </c>
      <c r="CM39" s="31">
        <v>0.313</v>
      </c>
      <c r="CN39" s="6">
        <v>0.81</v>
      </c>
      <c r="CO39" s="6">
        <v>44</v>
      </c>
      <c r="CP39" s="6" t="s">
        <v>519</v>
      </c>
      <c r="CQ39" s="6">
        <v>2</v>
      </c>
      <c r="CR39" s="6">
        <v>61.5</v>
      </c>
      <c r="CS39" s="31">
        <v>0.17499999999999999</v>
      </c>
      <c r="CT39" s="31">
        <v>0.17499999999999999</v>
      </c>
      <c r="CU39" s="31">
        <f t="shared" si="74"/>
        <v>30.75</v>
      </c>
      <c r="CV39" s="31">
        <v>77.63</v>
      </c>
      <c r="CW39" s="6">
        <v>37.25</v>
      </c>
      <c r="CX39" s="6">
        <f>53.94-CQ39</f>
        <v>51.94</v>
      </c>
      <c r="CY39" s="6">
        <v>39</v>
      </c>
      <c r="CZ39" s="6" t="s">
        <v>519</v>
      </c>
      <c r="DA39" s="6">
        <v>41.94</v>
      </c>
      <c r="DB39" s="6">
        <v>36.94</v>
      </c>
      <c r="DC39" s="6">
        <v>9</v>
      </c>
      <c r="DD39" s="6">
        <v>1</v>
      </c>
      <c r="DE39" s="6">
        <v>0.5</v>
      </c>
      <c r="DF39" s="6">
        <v>24.88</v>
      </c>
      <c r="DG39" s="6">
        <v>1.88</v>
      </c>
      <c r="DH39" s="6">
        <v>52.31</v>
      </c>
      <c r="DI39" s="6">
        <v>25.88</v>
      </c>
      <c r="DJ39" s="909">
        <v>3.9375</v>
      </c>
      <c r="DK39" s="108">
        <f>CL39+2</f>
        <v>6</v>
      </c>
    </row>
    <row r="40" spans="2:115" x14ac:dyDescent="0.2">
      <c r="B40" s="942"/>
      <c r="C40" s="371" t="s">
        <v>1637</v>
      </c>
      <c r="D40" s="365">
        <f t="shared" si="45"/>
        <v>54.2</v>
      </c>
      <c r="E40" s="289" t="s">
        <v>2059</v>
      </c>
      <c r="F40" s="405" t="str">
        <f t="shared" si="46"/>
        <v>445T</v>
      </c>
      <c r="G40" s="293">
        <f t="shared" si="47"/>
        <v>57.38</v>
      </c>
      <c r="H40" s="399">
        <f t="shared" si="47"/>
        <v>77</v>
      </c>
      <c r="I40" s="6">
        <f t="shared" si="47"/>
        <v>3</v>
      </c>
      <c r="J40" s="37">
        <f t="shared" si="47"/>
        <v>4</v>
      </c>
      <c r="K40" s="396">
        <f t="shared" si="47"/>
        <v>0.313</v>
      </c>
      <c r="L40" s="6">
        <f t="shared" si="47"/>
        <v>0.81</v>
      </c>
      <c r="M40" s="37">
        <v>0.75</v>
      </c>
      <c r="N40" s="37">
        <f t="shared" si="48"/>
        <v>49</v>
      </c>
      <c r="O40" s="37">
        <f t="shared" si="49"/>
        <v>41.06</v>
      </c>
      <c r="P40" s="37">
        <f t="shared" si="50"/>
        <v>13.560000000000002</v>
      </c>
      <c r="Q40" s="37">
        <f t="shared" si="51"/>
        <v>2</v>
      </c>
      <c r="R40" s="6">
        <f t="shared" si="51"/>
        <v>67</v>
      </c>
      <c r="S40" s="6">
        <f t="shared" si="51"/>
        <v>0.126</v>
      </c>
      <c r="T40" s="6">
        <f t="shared" si="51"/>
        <v>9.7000000000000003E-2</v>
      </c>
      <c r="U40" s="171">
        <f t="shared" si="51"/>
        <v>33.5</v>
      </c>
      <c r="V40" s="31">
        <f t="shared" si="51"/>
        <v>85</v>
      </c>
      <c r="W40" s="6">
        <f t="shared" si="51"/>
        <v>41.19</v>
      </c>
      <c r="X40" s="6">
        <f t="shared" si="51"/>
        <v>57.31</v>
      </c>
      <c r="Y40" s="37">
        <f t="shared" si="51"/>
        <v>42.56</v>
      </c>
      <c r="Z40" s="37">
        <f t="shared" si="52"/>
        <v>44.19</v>
      </c>
      <c r="AA40" s="37">
        <f t="shared" si="53"/>
        <v>51.5</v>
      </c>
      <c r="AB40" s="37">
        <f t="shared" si="54"/>
        <v>28.63</v>
      </c>
      <c r="AC40" s="31">
        <f t="shared" si="55"/>
        <v>3.4375</v>
      </c>
      <c r="AD40" s="122">
        <f t="shared" si="56"/>
        <v>6</v>
      </c>
      <c r="AE40" s="6">
        <f t="shared" si="57"/>
        <v>0.88</v>
      </c>
      <c r="AF40" s="108">
        <f t="shared" si="58"/>
        <v>0.44</v>
      </c>
      <c r="AG40" s="122" t="s">
        <v>519</v>
      </c>
      <c r="AH40" s="37">
        <f t="shared" si="59"/>
        <v>40.630000000000003</v>
      </c>
      <c r="AI40" s="6">
        <f t="shared" si="60"/>
        <v>27.63</v>
      </c>
      <c r="AJ40" s="173">
        <f t="shared" si="60"/>
        <v>1.88</v>
      </c>
      <c r="AK40" s="423">
        <f t="shared" si="61"/>
        <v>5.870000000000001</v>
      </c>
      <c r="AL40" s="122">
        <f t="shared" si="62"/>
        <v>61</v>
      </c>
      <c r="AM40" s="6">
        <f t="shared" si="63"/>
        <v>42.276000000000003</v>
      </c>
      <c r="AN40" s="31">
        <f t="shared" si="64"/>
        <v>50.050000000000004</v>
      </c>
      <c r="AO40" s="176">
        <v>1.75</v>
      </c>
      <c r="AP40" s="122">
        <f t="shared" si="65"/>
        <v>5</v>
      </c>
      <c r="AQ40" s="37">
        <v>0.5</v>
      </c>
      <c r="AR40" s="31">
        <f t="shared" si="66"/>
        <v>5.15625</v>
      </c>
      <c r="AS40" s="173">
        <f t="shared" si="67"/>
        <v>4.5</v>
      </c>
      <c r="AT40" s="108">
        <f t="shared" si="68"/>
        <v>5.28125</v>
      </c>
      <c r="AU40" s="15"/>
      <c r="AV40" s="220" t="s">
        <v>692</v>
      </c>
      <c r="AW40" s="318" t="s">
        <v>188</v>
      </c>
      <c r="AX40" s="373">
        <v>57.38</v>
      </c>
      <c r="AY40" s="24">
        <f t="shared" si="69"/>
        <v>77</v>
      </c>
      <c r="AZ40" s="6">
        <v>3</v>
      </c>
      <c r="BA40" s="6">
        <v>4</v>
      </c>
      <c r="BB40" s="31">
        <v>0.313</v>
      </c>
      <c r="BC40" s="6">
        <v>0.81</v>
      </c>
      <c r="BD40" s="6">
        <v>49</v>
      </c>
      <c r="BE40" s="6" t="s">
        <v>519</v>
      </c>
      <c r="BF40" s="6">
        <v>2</v>
      </c>
      <c r="BG40" s="6">
        <v>67</v>
      </c>
      <c r="BH40" s="31">
        <v>0.126</v>
      </c>
      <c r="BI40" s="31">
        <v>9.7000000000000003E-2</v>
      </c>
      <c r="BJ40" s="171">
        <f t="shared" si="70"/>
        <v>33.5</v>
      </c>
      <c r="BK40" s="31">
        <v>85</v>
      </c>
      <c r="BL40" s="6">
        <v>41.19</v>
      </c>
      <c r="BM40" s="6">
        <v>57.31</v>
      </c>
      <c r="BN40" s="6">
        <v>42.56</v>
      </c>
      <c r="BO40" s="6" t="s">
        <v>519</v>
      </c>
      <c r="BP40" s="6">
        <v>43.75</v>
      </c>
      <c r="BQ40" s="6">
        <v>44.19</v>
      </c>
      <c r="BR40" s="6">
        <v>40.630000000000003</v>
      </c>
      <c r="BS40" s="6">
        <v>6</v>
      </c>
      <c r="BT40" s="6">
        <v>0.75</v>
      </c>
      <c r="BU40" s="6">
        <v>0.88</v>
      </c>
      <c r="BV40" s="6">
        <v>0.38</v>
      </c>
      <c r="BW40" s="6">
        <v>0.44</v>
      </c>
      <c r="BX40" s="6">
        <v>27.63</v>
      </c>
      <c r="BY40" s="6">
        <v>1.88</v>
      </c>
      <c r="BZ40" s="6">
        <v>51</v>
      </c>
      <c r="CA40" s="6">
        <v>51.5</v>
      </c>
      <c r="CB40" s="6">
        <v>28.63</v>
      </c>
      <c r="CC40" s="909">
        <v>2.9375</v>
      </c>
      <c r="CD40" s="910">
        <v>3.4375</v>
      </c>
      <c r="CE40" s="6">
        <f>BA40+0</f>
        <v>4</v>
      </c>
      <c r="CF40" s="108">
        <f>BA40+1</f>
        <v>5</v>
      </c>
      <c r="CG40" s="23"/>
      <c r="CH40" s="220" t="s">
        <v>188</v>
      </c>
      <c r="CI40" s="37">
        <v>57.56</v>
      </c>
      <c r="CJ40" s="24">
        <f t="shared" si="73"/>
        <v>77.13</v>
      </c>
      <c r="CK40" s="6">
        <v>3.5</v>
      </c>
      <c r="CL40" s="6">
        <v>5</v>
      </c>
      <c r="CM40" s="31">
        <v>0.5</v>
      </c>
      <c r="CN40" s="6">
        <v>0.81</v>
      </c>
      <c r="CO40" s="6">
        <v>49</v>
      </c>
      <c r="CP40" s="6" t="s">
        <v>519</v>
      </c>
      <c r="CQ40" s="6">
        <v>2.5</v>
      </c>
      <c r="CR40" s="6">
        <v>67</v>
      </c>
      <c r="CS40" s="31">
        <v>0.17499999999999999</v>
      </c>
      <c r="CT40" s="31">
        <v>0.17499999999999999</v>
      </c>
      <c r="CU40" s="31">
        <f t="shared" si="74"/>
        <v>33.5</v>
      </c>
      <c r="CV40" s="31">
        <v>87.13</v>
      </c>
      <c r="CW40" s="6">
        <v>41.25</v>
      </c>
      <c r="CX40" s="6">
        <f>59.88-CQ40</f>
        <v>57.38</v>
      </c>
      <c r="CY40" s="6">
        <v>43.06</v>
      </c>
      <c r="CZ40" s="6" t="s">
        <v>519</v>
      </c>
      <c r="DA40" s="6">
        <v>45.69</v>
      </c>
      <c r="DB40" s="6">
        <v>41.19</v>
      </c>
      <c r="DC40" s="6">
        <v>9</v>
      </c>
      <c r="DD40" s="6">
        <v>1</v>
      </c>
      <c r="DE40" s="6">
        <v>0.5</v>
      </c>
      <c r="DF40" s="6">
        <v>27.13</v>
      </c>
      <c r="DG40" s="6">
        <v>2.38</v>
      </c>
      <c r="DH40" s="6">
        <v>56.06</v>
      </c>
      <c r="DI40" s="6">
        <v>28.63</v>
      </c>
      <c r="DJ40" s="909">
        <v>3.9375</v>
      </c>
      <c r="DK40" s="108">
        <f>CL40+1</f>
        <v>6</v>
      </c>
    </row>
    <row r="41" spans="2:115" x14ac:dyDescent="0.2">
      <c r="B41" s="942"/>
      <c r="C41" s="371" t="s">
        <v>388</v>
      </c>
      <c r="D41" s="365">
        <f t="shared" si="45"/>
        <v>60</v>
      </c>
      <c r="E41" s="289" t="s">
        <v>2059</v>
      </c>
      <c r="F41" s="405" t="str">
        <f t="shared" si="46"/>
        <v>445T</v>
      </c>
      <c r="G41" s="293">
        <f t="shared" si="47"/>
        <v>63.5</v>
      </c>
      <c r="H41" s="399">
        <f t="shared" si="47"/>
        <v>85</v>
      </c>
      <c r="I41" s="6">
        <f t="shared" si="47"/>
        <v>3</v>
      </c>
      <c r="J41" s="37">
        <f t="shared" si="47"/>
        <v>4</v>
      </c>
      <c r="K41" s="396">
        <f t="shared" si="47"/>
        <v>0.313</v>
      </c>
      <c r="L41" s="6">
        <f t="shared" si="47"/>
        <v>0.81</v>
      </c>
      <c r="M41" s="37">
        <v>0.75</v>
      </c>
      <c r="N41" s="37">
        <f t="shared" si="48"/>
        <v>54</v>
      </c>
      <c r="O41" s="37">
        <f t="shared" si="49"/>
        <v>45.69</v>
      </c>
      <c r="P41" s="37">
        <f t="shared" si="50"/>
        <v>15.189999999999998</v>
      </c>
      <c r="Q41" s="37">
        <f t="shared" si="51"/>
        <v>2</v>
      </c>
      <c r="R41" s="6">
        <f t="shared" si="51"/>
        <v>73</v>
      </c>
      <c r="S41" s="6">
        <f t="shared" si="51"/>
        <v>0.126</v>
      </c>
      <c r="T41" s="6">
        <f t="shared" si="51"/>
        <v>9.7000000000000003E-2</v>
      </c>
      <c r="U41" s="171">
        <f t="shared" si="51"/>
        <v>36.5</v>
      </c>
      <c r="V41" s="31">
        <f t="shared" si="51"/>
        <v>93</v>
      </c>
      <c r="W41" s="6">
        <f t="shared" si="51"/>
        <v>45.56</v>
      </c>
      <c r="X41" s="6">
        <f t="shared" si="51"/>
        <v>63.44</v>
      </c>
      <c r="Y41" s="37">
        <f t="shared" si="51"/>
        <v>47.19</v>
      </c>
      <c r="Z41" s="37">
        <f t="shared" si="52"/>
        <v>49.63</v>
      </c>
      <c r="AA41" s="37">
        <f t="shared" si="53"/>
        <v>59</v>
      </c>
      <c r="AB41" s="37">
        <f t="shared" si="54"/>
        <v>31.69</v>
      </c>
      <c r="AC41" s="31">
        <f t="shared" si="55"/>
        <v>3.9375</v>
      </c>
      <c r="AD41" s="122">
        <f t="shared" si="56"/>
        <v>8</v>
      </c>
      <c r="AE41" s="6">
        <f t="shared" si="57"/>
        <v>1</v>
      </c>
      <c r="AF41" s="108">
        <f t="shared" si="58"/>
        <v>0.5</v>
      </c>
      <c r="AG41" s="122" t="s">
        <v>519</v>
      </c>
      <c r="AH41" s="37">
        <f t="shared" si="59"/>
        <v>44.63</v>
      </c>
      <c r="AI41" s="6">
        <f t="shared" si="60"/>
        <v>30.63</v>
      </c>
      <c r="AJ41" s="173">
        <f t="shared" si="60"/>
        <v>1.88</v>
      </c>
      <c r="AK41" s="423">
        <f t="shared" si="61"/>
        <v>5.870000000000001</v>
      </c>
      <c r="AL41" s="122">
        <f t="shared" si="62"/>
        <v>67</v>
      </c>
      <c r="AM41" s="6">
        <f t="shared" si="63"/>
        <v>46.800000000000004</v>
      </c>
      <c r="AN41" s="31">
        <f t="shared" si="64"/>
        <v>55.25</v>
      </c>
      <c r="AO41" s="173">
        <v>2</v>
      </c>
      <c r="AP41" s="122">
        <f t="shared" si="65"/>
        <v>6</v>
      </c>
      <c r="AQ41" s="37">
        <v>0.5</v>
      </c>
      <c r="AR41" s="31">
        <f t="shared" si="66"/>
        <v>5.90625</v>
      </c>
      <c r="AS41" s="173">
        <f t="shared" si="67"/>
        <v>5.5</v>
      </c>
      <c r="AT41" s="108">
        <f t="shared" si="68"/>
        <v>6.03125</v>
      </c>
      <c r="AU41" s="341"/>
      <c r="AV41" s="220" t="s">
        <v>144</v>
      </c>
      <c r="AW41" s="318" t="s">
        <v>188</v>
      </c>
      <c r="AX41" s="373">
        <v>63.5</v>
      </c>
      <c r="AY41" s="24">
        <f t="shared" si="69"/>
        <v>85</v>
      </c>
      <c r="AZ41" s="6">
        <v>3</v>
      </c>
      <c r="BA41" s="6">
        <v>4</v>
      </c>
      <c r="BB41" s="31">
        <v>0.313</v>
      </c>
      <c r="BC41" s="6">
        <v>0.81</v>
      </c>
      <c r="BD41" s="6">
        <v>54</v>
      </c>
      <c r="BE41" s="6" t="s">
        <v>519</v>
      </c>
      <c r="BF41" s="6">
        <v>2</v>
      </c>
      <c r="BG41" s="6">
        <v>73</v>
      </c>
      <c r="BH41" s="31">
        <v>0.126</v>
      </c>
      <c r="BI41" s="31">
        <v>9.7000000000000003E-2</v>
      </c>
      <c r="BJ41" s="171">
        <f t="shared" si="70"/>
        <v>36.5</v>
      </c>
      <c r="BK41" s="31">
        <v>93</v>
      </c>
      <c r="BL41" s="6">
        <v>45.56</v>
      </c>
      <c r="BM41" s="6">
        <v>63.44</v>
      </c>
      <c r="BN41" s="6">
        <v>47.19</v>
      </c>
      <c r="BO41" s="6" t="s">
        <v>519</v>
      </c>
      <c r="BP41" s="6">
        <v>48.88</v>
      </c>
      <c r="BQ41" s="6">
        <v>49.63</v>
      </c>
      <c r="BR41" s="6">
        <v>44.63</v>
      </c>
      <c r="BS41" s="6">
        <v>8</v>
      </c>
      <c r="BT41" s="6">
        <v>0.88</v>
      </c>
      <c r="BU41" s="6">
        <v>1</v>
      </c>
      <c r="BV41" s="6">
        <v>0.44</v>
      </c>
      <c r="BW41" s="6">
        <v>0.5</v>
      </c>
      <c r="BX41" s="6">
        <v>30.63</v>
      </c>
      <c r="BY41" s="6">
        <v>1.88</v>
      </c>
      <c r="BZ41" s="6">
        <v>58.19</v>
      </c>
      <c r="CA41" s="6">
        <v>59</v>
      </c>
      <c r="CB41" s="6">
        <v>31.69</v>
      </c>
      <c r="CC41" s="909">
        <v>3.4375</v>
      </c>
      <c r="CD41" s="910">
        <v>3.9375</v>
      </c>
      <c r="CE41" s="6">
        <f>BA41+1</f>
        <v>5</v>
      </c>
      <c r="CF41" s="108">
        <f>BA41+2</f>
        <v>6</v>
      </c>
      <c r="CG41" s="23"/>
      <c r="CH41" s="220" t="s">
        <v>188</v>
      </c>
      <c r="CI41" s="37">
        <v>63.69</v>
      </c>
      <c r="CJ41" s="24">
        <f t="shared" si="73"/>
        <v>85.13</v>
      </c>
      <c r="CK41" s="6">
        <v>3.5</v>
      </c>
      <c r="CL41" s="6">
        <v>5</v>
      </c>
      <c r="CM41" s="31">
        <v>0.5</v>
      </c>
      <c r="CN41" s="6">
        <v>0.81</v>
      </c>
      <c r="CO41" s="6">
        <v>54</v>
      </c>
      <c r="CP41" s="6" t="s">
        <v>519</v>
      </c>
      <c r="CQ41" s="6">
        <v>2.5</v>
      </c>
      <c r="CR41" s="6">
        <v>74</v>
      </c>
      <c r="CS41" s="31">
        <v>0.17499999999999999</v>
      </c>
      <c r="CT41" s="31">
        <v>0.17499999999999999</v>
      </c>
      <c r="CU41" s="31">
        <f t="shared" si="74"/>
        <v>37</v>
      </c>
      <c r="CV41" s="31">
        <v>95.13</v>
      </c>
      <c r="CW41" s="6">
        <v>45.63</v>
      </c>
      <c r="CX41" s="6">
        <f>66-CQ41</f>
        <v>63.5</v>
      </c>
      <c r="CY41" s="6">
        <v>47.69</v>
      </c>
      <c r="CZ41" s="6" t="s">
        <v>519</v>
      </c>
      <c r="DA41" s="6">
        <v>50.44</v>
      </c>
      <c r="DB41" s="6">
        <v>45.19</v>
      </c>
      <c r="DC41" s="6">
        <v>9.5</v>
      </c>
      <c r="DD41" s="6">
        <v>1</v>
      </c>
      <c r="DE41" s="6">
        <v>0.5</v>
      </c>
      <c r="DF41" s="6">
        <v>30.13</v>
      </c>
      <c r="DG41" s="6">
        <v>2.38</v>
      </c>
      <c r="DH41" s="6">
        <v>61.31</v>
      </c>
      <c r="DI41" s="6">
        <v>31.69</v>
      </c>
      <c r="DJ41" s="909">
        <v>4.4375</v>
      </c>
      <c r="DK41" s="108">
        <f>CL41+2</f>
        <v>7</v>
      </c>
    </row>
    <row r="42" spans="2:115" x14ac:dyDescent="0.2">
      <c r="B42" s="942"/>
      <c r="C42" s="371" t="s">
        <v>389</v>
      </c>
      <c r="D42" s="365">
        <f t="shared" si="45"/>
        <v>66</v>
      </c>
      <c r="E42" s="289" t="s">
        <v>2059</v>
      </c>
      <c r="F42" s="405" t="str">
        <f t="shared" si="46"/>
        <v>445T</v>
      </c>
      <c r="G42" s="293">
        <f t="shared" si="47"/>
        <v>69.69</v>
      </c>
      <c r="H42" s="399">
        <f t="shared" si="47"/>
        <v>93.75</v>
      </c>
      <c r="I42" s="6">
        <f t="shared" si="47"/>
        <v>3.5</v>
      </c>
      <c r="J42" s="37">
        <f t="shared" si="47"/>
        <v>5</v>
      </c>
      <c r="K42" s="396">
        <f t="shared" si="47"/>
        <v>0.5</v>
      </c>
      <c r="L42" s="6">
        <f t="shared" si="47"/>
        <v>0.81</v>
      </c>
      <c r="M42" s="37">
        <v>0.75</v>
      </c>
      <c r="N42" s="37">
        <f t="shared" si="48"/>
        <v>59</v>
      </c>
      <c r="O42" s="37">
        <f t="shared" si="49"/>
        <v>50.44</v>
      </c>
      <c r="P42" s="37">
        <f t="shared" si="50"/>
        <v>17.439999999999998</v>
      </c>
      <c r="Q42" s="37">
        <f t="shared" si="51"/>
        <v>2.5</v>
      </c>
      <c r="R42" s="6">
        <f t="shared" si="51"/>
        <v>80</v>
      </c>
      <c r="S42" s="6">
        <f t="shared" si="51"/>
        <v>0.126</v>
      </c>
      <c r="T42" s="6">
        <f t="shared" si="51"/>
        <v>9.7000000000000003E-2</v>
      </c>
      <c r="U42" s="171">
        <f t="shared" si="51"/>
        <v>40</v>
      </c>
      <c r="V42" s="31">
        <f t="shared" si="51"/>
        <v>103.75</v>
      </c>
      <c r="W42" s="6">
        <f t="shared" si="51"/>
        <v>49.94</v>
      </c>
      <c r="X42" s="6">
        <f t="shared" si="51"/>
        <v>69.63</v>
      </c>
      <c r="Y42" s="37">
        <f t="shared" si="51"/>
        <v>51.94</v>
      </c>
      <c r="Z42" s="37">
        <f t="shared" si="52"/>
        <v>54.06</v>
      </c>
      <c r="AA42" s="37">
        <f t="shared" si="53"/>
        <v>63.38</v>
      </c>
      <c r="AB42" s="37">
        <f t="shared" si="54"/>
        <v>34.75</v>
      </c>
      <c r="AC42" s="31">
        <f t="shared" si="55"/>
        <v>3.9375</v>
      </c>
      <c r="AD42" s="122">
        <f t="shared" si="56"/>
        <v>8</v>
      </c>
      <c r="AE42" s="6">
        <f t="shared" si="57"/>
        <v>1</v>
      </c>
      <c r="AF42" s="108">
        <f t="shared" si="58"/>
        <v>0.5</v>
      </c>
      <c r="AG42" s="122" t="s">
        <v>519</v>
      </c>
      <c r="AH42" s="37">
        <f t="shared" si="59"/>
        <v>49.5</v>
      </c>
      <c r="AI42" s="6">
        <f t="shared" si="60"/>
        <v>33.130000000000003</v>
      </c>
      <c r="AJ42" s="173">
        <f t="shared" si="60"/>
        <v>2.38</v>
      </c>
      <c r="AK42" s="423">
        <f t="shared" si="61"/>
        <v>6.8699999999999974</v>
      </c>
      <c r="AL42" s="122">
        <f t="shared" si="62"/>
        <v>73</v>
      </c>
      <c r="AM42" s="6">
        <f t="shared" si="63"/>
        <v>51.480000000000004</v>
      </c>
      <c r="AN42" s="31">
        <f t="shared" si="64"/>
        <v>60.9375</v>
      </c>
      <c r="AO42" s="173">
        <v>2</v>
      </c>
      <c r="AP42" s="122">
        <f t="shared" si="65"/>
        <v>6</v>
      </c>
      <c r="AQ42" s="37">
        <v>0.5</v>
      </c>
      <c r="AR42" s="31">
        <f t="shared" si="66"/>
        <v>5.90625</v>
      </c>
      <c r="AS42" s="173">
        <f t="shared" si="67"/>
        <v>5.5</v>
      </c>
      <c r="AT42" s="108">
        <f t="shared" si="68"/>
        <v>6.03125</v>
      </c>
      <c r="AU42" s="341"/>
      <c r="AV42" s="220" t="s">
        <v>144</v>
      </c>
      <c r="AW42" s="318" t="s">
        <v>188</v>
      </c>
      <c r="AX42" s="373">
        <v>69.69</v>
      </c>
      <c r="AY42" s="24">
        <f t="shared" si="69"/>
        <v>93.75</v>
      </c>
      <c r="AZ42" s="6">
        <v>3.5</v>
      </c>
      <c r="BA42" s="6">
        <v>5</v>
      </c>
      <c r="BB42" s="31">
        <v>0.5</v>
      </c>
      <c r="BC42" s="6">
        <v>0.81</v>
      </c>
      <c r="BD42" s="6">
        <v>59</v>
      </c>
      <c r="BE42" s="6" t="s">
        <v>519</v>
      </c>
      <c r="BF42" s="6">
        <v>2.5</v>
      </c>
      <c r="BG42" s="6">
        <v>80</v>
      </c>
      <c r="BH42" s="31">
        <v>0.126</v>
      </c>
      <c r="BI42" s="31">
        <v>9.7000000000000003E-2</v>
      </c>
      <c r="BJ42" s="171">
        <f t="shared" si="70"/>
        <v>40</v>
      </c>
      <c r="BK42" s="31">
        <v>103.75</v>
      </c>
      <c r="BL42" s="6">
        <v>49.94</v>
      </c>
      <c r="BM42" s="6">
        <v>69.63</v>
      </c>
      <c r="BN42" s="6">
        <v>51.94</v>
      </c>
      <c r="BO42" s="6" t="s">
        <v>519</v>
      </c>
      <c r="BP42" s="6">
        <v>53.25</v>
      </c>
      <c r="BQ42" s="6">
        <v>54.06</v>
      </c>
      <c r="BR42" s="6">
        <v>49.5</v>
      </c>
      <c r="BS42" s="6">
        <v>8</v>
      </c>
      <c r="BT42" s="6">
        <v>0.88</v>
      </c>
      <c r="BU42" s="6">
        <v>1</v>
      </c>
      <c r="BV42" s="6">
        <v>0.44</v>
      </c>
      <c r="BW42" s="6">
        <v>0.5</v>
      </c>
      <c r="BX42" s="6">
        <v>33.130000000000003</v>
      </c>
      <c r="BY42" s="6">
        <v>2.38</v>
      </c>
      <c r="BZ42" s="6">
        <v>62.56</v>
      </c>
      <c r="CA42" s="6">
        <v>63.38</v>
      </c>
      <c r="CB42" s="6">
        <v>34.75</v>
      </c>
      <c r="CC42" s="909">
        <v>3.4375</v>
      </c>
      <c r="CD42" s="910">
        <v>3.9375</v>
      </c>
      <c r="CE42" s="6">
        <f>BA42+0</f>
        <v>5</v>
      </c>
      <c r="CF42" s="108">
        <f t="shared" ref="CF42:CF43" si="87">BA42+1</f>
        <v>6</v>
      </c>
      <c r="CG42" s="23"/>
      <c r="CH42" s="220" t="s">
        <v>188</v>
      </c>
      <c r="CI42" s="37">
        <v>69.88</v>
      </c>
      <c r="CJ42" s="24">
        <f t="shared" si="73"/>
        <v>93.88</v>
      </c>
      <c r="CK42" s="6">
        <v>4</v>
      </c>
      <c r="CL42" s="6">
        <v>6</v>
      </c>
      <c r="CM42" s="31">
        <v>0.5</v>
      </c>
      <c r="CN42" s="6">
        <v>0.81</v>
      </c>
      <c r="CO42" s="6">
        <v>59</v>
      </c>
      <c r="CP42" s="6" t="s">
        <v>519</v>
      </c>
      <c r="CQ42" s="6">
        <v>2.5</v>
      </c>
      <c r="CR42" s="6">
        <v>80</v>
      </c>
      <c r="CS42" s="31">
        <v>0.17499999999999999</v>
      </c>
      <c r="CT42" s="31">
        <v>0.17499999999999999</v>
      </c>
      <c r="CU42" s="31">
        <f t="shared" si="74"/>
        <v>40</v>
      </c>
      <c r="CV42" s="31">
        <v>105.88</v>
      </c>
      <c r="CW42" s="6">
        <v>50</v>
      </c>
      <c r="CX42" s="6">
        <f>72.19-CQ42</f>
        <v>69.69</v>
      </c>
      <c r="CY42" s="6">
        <v>52.44</v>
      </c>
      <c r="CZ42" s="6" t="s">
        <v>519</v>
      </c>
      <c r="DA42" s="6">
        <v>55.12</v>
      </c>
      <c r="DB42" s="6">
        <v>50.06</v>
      </c>
      <c r="DC42" s="6">
        <v>10</v>
      </c>
      <c r="DD42" s="6">
        <v>1.25</v>
      </c>
      <c r="DE42" s="6">
        <v>0.63</v>
      </c>
      <c r="DF42" s="6">
        <v>32.630000000000003</v>
      </c>
      <c r="DG42" s="6">
        <v>2.88</v>
      </c>
      <c r="DH42" s="6">
        <v>66.63</v>
      </c>
      <c r="DI42" s="6">
        <v>34.75</v>
      </c>
      <c r="DJ42" s="909">
        <v>4.9375</v>
      </c>
      <c r="DK42" s="108">
        <f t="shared" ref="DK42:DK43" si="88">CL42+1</f>
        <v>7</v>
      </c>
    </row>
    <row r="43" spans="2:115" ht="13.5" thickBot="1" x14ac:dyDescent="0.25">
      <c r="B43" s="944"/>
      <c r="C43" s="290" t="s">
        <v>1364</v>
      </c>
      <c r="D43" s="406">
        <f t="shared" si="45"/>
        <v>73</v>
      </c>
      <c r="E43" s="355" t="s">
        <v>2059</v>
      </c>
      <c r="F43" s="424" t="str">
        <f t="shared" si="46"/>
        <v>445T</v>
      </c>
      <c r="G43" s="369">
        <f t="shared" si="47"/>
        <v>77.25</v>
      </c>
      <c r="H43" s="401">
        <f t="shared" si="47"/>
        <v>103.375</v>
      </c>
      <c r="I43" s="1">
        <f t="shared" si="47"/>
        <v>3.5</v>
      </c>
      <c r="J43" s="40">
        <f t="shared" si="47"/>
        <v>5</v>
      </c>
      <c r="K43" s="335">
        <f t="shared" si="47"/>
        <v>0.5</v>
      </c>
      <c r="L43" s="1">
        <f t="shared" si="47"/>
        <v>0.81</v>
      </c>
      <c r="M43" s="40">
        <v>0.75</v>
      </c>
      <c r="N43" s="40">
        <f t="shared" si="48"/>
        <v>64.5</v>
      </c>
      <c r="O43" s="40">
        <f t="shared" si="49"/>
        <v>56</v>
      </c>
      <c r="P43" s="40">
        <f t="shared" si="50"/>
        <v>19</v>
      </c>
      <c r="Q43" s="40">
        <f t="shared" si="51"/>
        <v>2.5</v>
      </c>
      <c r="R43" s="1">
        <f t="shared" si="51"/>
        <v>88</v>
      </c>
      <c r="S43" s="1">
        <f t="shared" si="51"/>
        <v>0.126</v>
      </c>
      <c r="T43" s="1">
        <f t="shared" si="51"/>
        <v>0.126</v>
      </c>
      <c r="U43" s="168">
        <f t="shared" si="51"/>
        <v>44</v>
      </c>
      <c r="V43" s="26">
        <f t="shared" si="51"/>
        <v>113.375</v>
      </c>
      <c r="W43" s="1">
        <f t="shared" si="51"/>
        <v>55.38</v>
      </c>
      <c r="X43" s="1">
        <f t="shared" si="51"/>
        <v>77.13</v>
      </c>
      <c r="Y43" s="40">
        <f t="shared" si="51"/>
        <v>57.5</v>
      </c>
      <c r="Z43" s="40">
        <f t="shared" si="52"/>
        <v>58.81</v>
      </c>
      <c r="AA43" s="40">
        <f t="shared" si="53"/>
        <v>69.19</v>
      </c>
      <c r="AB43" s="40">
        <f t="shared" si="54"/>
        <v>38.5</v>
      </c>
      <c r="AC43" s="26">
        <f t="shared" si="55"/>
        <v>3.9375</v>
      </c>
      <c r="AD43" s="112">
        <f t="shared" si="56"/>
        <v>9</v>
      </c>
      <c r="AE43" s="1">
        <f t="shared" si="57"/>
        <v>1</v>
      </c>
      <c r="AF43" s="128">
        <f t="shared" si="58"/>
        <v>0.5</v>
      </c>
      <c r="AG43" s="112" t="s">
        <v>519</v>
      </c>
      <c r="AH43" s="40">
        <f t="shared" si="59"/>
        <v>54.31</v>
      </c>
      <c r="AI43" s="1">
        <f t="shared" si="60"/>
        <v>37.130000000000003</v>
      </c>
      <c r="AJ43" s="177">
        <f t="shared" si="60"/>
        <v>2.38</v>
      </c>
      <c r="AK43" s="420">
        <f t="shared" si="61"/>
        <v>6.8699999999999974</v>
      </c>
      <c r="AL43" s="112">
        <f t="shared" si="62"/>
        <v>81</v>
      </c>
      <c r="AM43" s="1">
        <f t="shared" si="63"/>
        <v>56.940000000000005</v>
      </c>
      <c r="AN43" s="26">
        <f t="shared" si="64"/>
        <v>67.193750000000009</v>
      </c>
      <c r="AO43" s="177">
        <v>2</v>
      </c>
      <c r="AP43" s="112">
        <f t="shared" si="65"/>
        <v>6</v>
      </c>
      <c r="AQ43" s="40">
        <v>0.5</v>
      </c>
      <c r="AR43" s="26">
        <f t="shared" si="66"/>
        <v>5.90625</v>
      </c>
      <c r="AS43" s="177">
        <f t="shared" si="67"/>
        <v>5.5</v>
      </c>
      <c r="AT43" s="128">
        <f t="shared" si="68"/>
        <v>6.03125</v>
      </c>
      <c r="AU43" s="341"/>
      <c r="AV43" s="223" t="s">
        <v>188</v>
      </c>
      <c r="AW43" s="392" t="s">
        <v>188</v>
      </c>
      <c r="AX43" s="348">
        <v>77.25</v>
      </c>
      <c r="AY43" s="381">
        <f t="shared" si="69"/>
        <v>103.375</v>
      </c>
      <c r="AZ43" s="1">
        <v>3.5</v>
      </c>
      <c r="BA43" s="1">
        <v>5</v>
      </c>
      <c r="BB43" s="26">
        <v>0.5</v>
      </c>
      <c r="BC43" s="1">
        <v>0.81</v>
      </c>
      <c r="BD43" s="1">
        <v>64.5</v>
      </c>
      <c r="BE43" s="1" t="s">
        <v>519</v>
      </c>
      <c r="BF43" s="1">
        <v>2.5</v>
      </c>
      <c r="BG43" s="1">
        <v>88</v>
      </c>
      <c r="BH43" s="26">
        <v>0.126</v>
      </c>
      <c r="BI43" s="26">
        <v>0.126</v>
      </c>
      <c r="BJ43" s="168">
        <f t="shared" si="70"/>
        <v>44</v>
      </c>
      <c r="BK43" s="26">
        <v>113.375</v>
      </c>
      <c r="BL43" s="1">
        <v>55.38</v>
      </c>
      <c r="BM43" s="1">
        <v>77.13</v>
      </c>
      <c r="BN43" s="1">
        <v>57.5</v>
      </c>
      <c r="BO43" s="1" t="s">
        <v>519</v>
      </c>
      <c r="BP43" s="1">
        <v>58.81</v>
      </c>
      <c r="BQ43" s="1">
        <v>58.81</v>
      </c>
      <c r="BR43" s="1">
        <v>54.31</v>
      </c>
      <c r="BS43" s="1">
        <v>9</v>
      </c>
      <c r="BT43" s="1">
        <v>1</v>
      </c>
      <c r="BU43" s="1">
        <v>1</v>
      </c>
      <c r="BV43" s="1">
        <v>0.5</v>
      </c>
      <c r="BW43" s="1">
        <v>0.5</v>
      </c>
      <c r="BX43" s="1">
        <v>37.130000000000003</v>
      </c>
      <c r="BY43" s="1">
        <v>2.38</v>
      </c>
      <c r="BZ43" s="1">
        <v>69.19</v>
      </c>
      <c r="CA43" s="1">
        <v>69.19</v>
      </c>
      <c r="CB43" s="1">
        <v>38.5</v>
      </c>
      <c r="CC43" s="911">
        <v>3.9375</v>
      </c>
      <c r="CD43" s="912">
        <v>3.9375</v>
      </c>
      <c r="CE43" s="1">
        <f>BA43+1</f>
        <v>6</v>
      </c>
      <c r="CF43" s="128">
        <f t="shared" si="87"/>
        <v>6</v>
      </c>
      <c r="CG43" s="23"/>
      <c r="CH43" s="223" t="s">
        <v>188</v>
      </c>
      <c r="CI43" s="40">
        <v>77.38</v>
      </c>
      <c r="CJ43" s="26">
        <f t="shared" si="73"/>
        <v>103.5</v>
      </c>
      <c r="CK43" s="1">
        <v>4</v>
      </c>
      <c r="CL43" s="1">
        <v>6</v>
      </c>
      <c r="CM43" s="26">
        <v>0.5</v>
      </c>
      <c r="CN43" s="1">
        <v>0.81</v>
      </c>
      <c r="CO43" s="1">
        <v>64.5</v>
      </c>
      <c r="CP43" s="1" t="s">
        <v>519</v>
      </c>
      <c r="CQ43" s="1">
        <v>2.5</v>
      </c>
      <c r="CR43" s="1">
        <v>88</v>
      </c>
      <c r="CS43" s="26">
        <v>0.17499999999999999</v>
      </c>
      <c r="CT43" s="26">
        <v>0.17499999999999999</v>
      </c>
      <c r="CU43" s="26">
        <f t="shared" si="74"/>
        <v>44</v>
      </c>
      <c r="CV43" s="26">
        <v>115.5</v>
      </c>
      <c r="CW43" s="1">
        <v>55.44</v>
      </c>
      <c r="CX43" s="1">
        <f>79.69-CQ43</f>
        <v>77.19</v>
      </c>
      <c r="CY43" s="1">
        <v>58</v>
      </c>
      <c r="CZ43" s="1" t="s">
        <v>519</v>
      </c>
      <c r="DA43" s="1">
        <v>59.94</v>
      </c>
      <c r="DB43" s="1">
        <v>54.88</v>
      </c>
      <c r="DC43" s="1">
        <v>10</v>
      </c>
      <c r="DD43" s="1">
        <v>1.25</v>
      </c>
      <c r="DE43" s="1">
        <v>0.63</v>
      </c>
      <c r="DF43" s="1">
        <v>36.630000000000003</v>
      </c>
      <c r="DG43" s="1">
        <v>2.88</v>
      </c>
      <c r="DH43" s="1">
        <v>71.44</v>
      </c>
      <c r="DI43" s="1">
        <v>38.5</v>
      </c>
      <c r="DJ43" s="911">
        <v>4.9375</v>
      </c>
      <c r="DK43" s="128">
        <f t="shared" si="88"/>
        <v>7</v>
      </c>
    </row>
    <row r="44" spans="2:115" ht="13.5" thickBot="1" x14ac:dyDescent="0.25">
      <c r="AY44" s="201"/>
      <c r="BK44" s="201"/>
      <c r="CC44" s="913"/>
      <c r="CD44" s="913"/>
      <c r="CG44" s="23"/>
      <c r="CJ44" s="201"/>
      <c r="CV44" s="201"/>
      <c r="DJ44" s="913"/>
    </row>
    <row r="45" spans="2:115" ht="24" thickBot="1" x14ac:dyDescent="0.25">
      <c r="C45" s="961" t="s">
        <v>786</v>
      </c>
      <c r="D45" s="962"/>
      <c r="E45" s="962"/>
      <c r="F45" s="962"/>
      <c r="G45" s="962"/>
      <c r="H45" s="962"/>
      <c r="I45" s="962"/>
      <c r="J45" s="962"/>
      <c r="K45" s="962"/>
      <c r="L45" s="962"/>
      <c r="M45" s="962"/>
      <c r="N45" s="962"/>
      <c r="O45" s="962"/>
      <c r="P45" s="962"/>
      <c r="Q45" s="962"/>
      <c r="R45" s="962"/>
      <c r="S45" s="962"/>
      <c r="T45" s="962"/>
      <c r="U45" s="962"/>
      <c r="V45" s="962"/>
      <c r="W45" s="962"/>
      <c r="X45" s="962"/>
      <c r="Y45" s="963"/>
      <c r="Z45" s="963"/>
      <c r="AA45" s="963"/>
      <c r="AB45" s="963"/>
      <c r="AC45" s="964"/>
      <c r="AY45" s="201"/>
      <c r="BK45" s="201"/>
      <c r="CC45" s="913"/>
      <c r="CD45" s="913"/>
      <c r="CG45" s="23"/>
      <c r="CJ45" s="201"/>
      <c r="CV45" s="201"/>
      <c r="DJ45" s="913"/>
    </row>
    <row r="46" spans="2:115" x14ac:dyDescent="0.2">
      <c r="B46" s="940" t="s">
        <v>1611</v>
      </c>
      <c r="C46" s="294" t="s">
        <v>928</v>
      </c>
      <c r="D46" s="417">
        <f t="shared" ref="D46:D64" si="89">LEFT(C46,3)/10</f>
        <v>12.2</v>
      </c>
      <c r="E46" s="321" t="s">
        <v>1668</v>
      </c>
      <c r="F46" s="434" t="str">
        <f t="shared" ref="F46:F64" si="90">IF(FANCLASS=1,AV46,IF(FANCLASS=2,AW46, IF(FANCLASS=3,CH46)))</f>
        <v>254T</v>
      </c>
      <c r="G46" s="330">
        <f t="shared" ref="G46:L64" si="91">IF(OR(FANCLASS=1,FANCLASS=2),AX46, IF(FANCLASS=3,CI46))</f>
        <v>13</v>
      </c>
      <c r="H46" s="215">
        <f t="shared" si="91"/>
        <v>17.5</v>
      </c>
      <c r="I46" s="172">
        <f t="shared" si="91"/>
        <v>1.5</v>
      </c>
      <c r="J46" s="172">
        <f t="shared" si="91"/>
        <v>1.5</v>
      </c>
      <c r="K46" s="215">
        <f t="shared" si="91"/>
        <v>0.188</v>
      </c>
      <c r="L46" s="172">
        <f t="shared" si="91"/>
        <v>0.44</v>
      </c>
      <c r="M46" s="27">
        <v>0.375</v>
      </c>
      <c r="N46" s="27">
        <f t="shared" ref="N46:N64" si="92">IF(OR(FANCLASS=1,FANCLASS=2),BE46, IF(FANCLASS=3,CP46))</f>
        <v>9.75</v>
      </c>
      <c r="O46" s="27">
        <f t="shared" ref="O46:O64" si="93">IF(OR(FANDISCHARGELOC="F",FANDISCHARGELOC="R",FANDISCHARGELOC="T",FANDISCHARGELOC="TI"),Y46-1.5,IF(OR(FANDISCHARGELOC="B",FANDISCHARGELOC="BI",FANDISCHARGELOC="FI",FANDISCHARGELOC="RI"),Y46-((TAN(60*PI()/180))*(W46-R46/2))-3))</f>
        <v>9.06</v>
      </c>
      <c r="P46" s="27">
        <f t="shared" ref="P46:P64" si="94">IF(OR(FANDISCHARGELOC="F",FANDISCHARGELOC="R"),O46-AL46/2+I46,IF(OR(FANDISCHARGELOC="FI",FANDISCHARGELOC="RI"),O46-(AR46+0.5),IF(OR(FANDISCHARGELOC="T",FANDISCHARGELOC="TI",FANDISCHARGELOC="B",FANDISCHARGELOC="BI"),O46-(AR46+2))))</f>
        <v>2.1850000000000005</v>
      </c>
      <c r="Q46" s="27">
        <f t="shared" ref="Q46:X64" si="95">IF(OR(FANCLASS=1,FANCLASS=2),BF46, IF(FANCLASS=3,CQ46))</f>
        <v>1</v>
      </c>
      <c r="R46" s="27">
        <f t="shared" si="95"/>
        <v>19.75</v>
      </c>
      <c r="S46" s="27">
        <f t="shared" si="95"/>
        <v>7.0000000000000007E-2</v>
      </c>
      <c r="T46" s="27">
        <f t="shared" si="95"/>
        <v>7.0000000000000007E-2</v>
      </c>
      <c r="U46" s="212">
        <f t="shared" si="95"/>
        <v>9.875</v>
      </c>
      <c r="V46" s="212">
        <f t="shared" si="95"/>
        <v>20.5</v>
      </c>
      <c r="W46" s="27">
        <f t="shared" si="95"/>
        <v>9.31</v>
      </c>
      <c r="X46" s="27">
        <f t="shared" si="95"/>
        <v>13.44</v>
      </c>
      <c r="Y46" s="27">
        <f t="shared" ref="Y46:Y64" si="96">IF(OR(FANCLASS=1,FANCLASS=2),BO46, IF(FANCLASS=3,CZ46))</f>
        <v>10.56</v>
      </c>
      <c r="Z46" s="27">
        <f t="shared" ref="Z46:Z64" si="97">IF(FANCLASS=1,BP46,IF(FANCLASS=2,BQ46, IF(FANCLASS=3,DA46)))</f>
        <v>12.38</v>
      </c>
      <c r="AA46" s="27">
        <f t="shared" ref="AA46:AA64" si="98">IF(FANCLASS=1,BZ46,IF(FANCLASS=2,CA46, IF(FANCLASS=3,DH46)))</f>
        <v>16.25</v>
      </c>
      <c r="AB46" s="27">
        <f t="shared" ref="AB46:AB64" si="99">IF(OR(FANCLASS=1,FANCLASS=2),CB46, IF(FANCLASS=3,DI46))</f>
        <v>6.44</v>
      </c>
      <c r="AC46" s="35">
        <f t="shared" ref="AC46:AC64" si="100">IF(FANCLASS=1,CC46,IF(FANCLASS=2,CD46, IF(FANCLASS=3,DJ46)))</f>
        <v>1.4375</v>
      </c>
      <c r="AD46" s="133">
        <f t="shared" ref="AD46:AD64" si="101">IF(OR(FANCLASS=1,FANCLASS=2),BS46, IF(FANCLASS=3,DC46))</f>
        <v>3</v>
      </c>
      <c r="AE46" s="8">
        <f t="shared" ref="AE46:AE64" si="102">IF(FANCLASS=1,BT46,IF(FANCLASS=2,BU46, IF(FANCLASS=3,DD46)))</f>
        <v>0.38</v>
      </c>
      <c r="AF46" s="145">
        <f t="shared" ref="AF46:AF64" si="103">IF(FANCLASS=1,BV46,IF(FANCLASS=2,BW46, IF(FANCLASS=3,DE46)))</f>
        <v>0.19</v>
      </c>
      <c r="AG46" s="133" t="s">
        <v>519</v>
      </c>
      <c r="AH46" s="27">
        <f t="shared" ref="AH46:AH64" si="104">IF(OR(FANCLASS=1,FANCLASS=2),BR46, IF(FANCLASS=3,DB46))</f>
        <v>9.6300000000000008</v>
      </c>
      <c r="AI46" s="8">
        <f t="shared" ref="AI46:AJ64" si="105">IF(OR(FANCLASS=1,FANCLASS=2),BX46, IF(FANCLASS=3,DF46))</f>
        <v>6.75</v>
      </c>
      <c r="AJ46" s="8">
        <f t="shared" si="105"/>
        <v>0.63</v>
      </c>
      <c r="AK46" s="385">
        <f t="shared" ref="AK46:AK64" si="106">U46-AI46</f>
        <v>3.125</v>
      </c>
      <c r="AL46" s="133">
        <f t="shared" ref="AL46:AL64" si="107">R46-I46*2</f>
        <v>16.75</v>
      </c>
      <c r="AM46" s="8">
        <f t="shared" ref="AM46:AM64" si="108">D46*0.78</f>
        <v>9.516</v>
      </c>
      <c r="AN46" s="35">
        <f t="shared" ref="AN46:AN64" si="109">H46*0.65</f>
        <v>11.375</v>
      </c>
      <c r="AO46" s="265">
        <f>1.25</f>
        <v>1.25</v>
      </c>
      <c r="AP46" s="133">
        <f t="shared" ref="AP46:AP64" si="110">IF(FANCLASS=1,CE46,IF(FANCLASS=2,CF46, IF(FANCLASS=3,DK46)))</f>
        <v>2.5</v>
      </c>
      <c r="AQ46" s="27">
        <v>0.375</v>
      </c>
      <c r="AR46" s="35">
        <f t="shared" ref="AR46:AR64" si="111">AC46*1.5</f>
        <v>2.15625</v>
      </c>
      <c r="AS46" s="265">
        <f t="shared" ref="AS46:AS64" si="112">AP46-0.5</f>
        <v>2</v>
      </c>
      <c r="AT46" s="145">
        <f t="shared" ref="AT46:AT64" si="113">AR46+0.125</f>
        <v>2.28125</v>
      </c>
      <c r="AU46" s="23"/>
      <c r="AV46" s="235" t="s">
        <v>423</v>
      </c>
      <c r="AW46" s="297" t="s">
        <v>2059</v>
      </c>
      <c r="AX46" s="246">
        <v>13</v>
      </c>
      <c r="AY46" s="35">
        <f t="shared" ref="AY46:AY64" si="114">BK46-BA46*2</f>
        <v>17.5</v>
      </c>
      <c r="AZ46" s="8">
        <v>1.5</v>
      </c>
      <c r="BA46" s="8">
        <v>1.5</v>
      </c>
      <c r="BB46" s="35">
        <v>0.188</v>
      </c>
      <c r="BC46" s="8">
        <v>0.44</v>
      </c>
      <c r="BD46" s="8" t="s">
        <v>519</v>
      </c>
      <c r="BE46" s="8">
        <v>9.75</v>
      </c>
      <c r="BF46" s="8">
        <v>1</v>
      </c>
      <c r="BG46" s="8">
        <v>19.75</v>
      </c>
      <c r="BH46" s="35">
        <v>7.0000000000000007E-2</v>
      </c>
      <c r="BI46" s="35">
        <v>7.0000000000000007E-2</v>
      </c>
      <c r="BJ46" s="221">
        <f t="shared" ref="BJ46:BJ64" si="115">BG46/2</f>
        <v>9.875</v>
      </c>
      <c r="BK46" s="35">
        <v>20.5</v>
      </c>
      <c r="BL46" s="8">
        <v>9.31</v>
      </c>
      <c r="BM46" s="8">
        <f>14.44-BF46</f>
        <v>13.44</v>
      </c>
      <c r="BN46" s="8" t="s">
        <v>519</v>
      </c>
      <c r="BO46" s="8">
        <v>10.56</v>
      </c>
      <c r="BP46" s="8">
        <v>11.44</v>
      </c>
      <c r="BQ46" s="8">
        <v>12.38</v>
      </c>
      <c r="BR46" s="8">
        <v>9.6300000000000008</v>
      </c>
      <c r="BS46" s="8">
        <v>3</v>
      </c>
      <c r="BT46" s="8">
        <v>0.25</v>
      </c>
      <c r="BU46" s="8">
        <v>0.38</v>
      </c>
      <c r="BV46" s="8">
        <v>0.13</v>
      </c>
      <c r="BW46" s="8">
        <v>0.19</v>
      </c>
      <c r="BX46" s="8">
        <v>6.75</v>
      </c>
      <c r="BY46" s="8">
        <v>0.63</v>
      </c>
      <c r="BZ46" s="8">
        <v>15.25</v>
      </c>
      <c r="CA46" s="8">
        <v>16.25</v>
      </c>
      <c r="CB46" s="8">
        <v>6.44</v>
      </c>
      <c r="CC46" s="893">
        <v>1.1875</v>
      </c>
      <c r="CD46" s="894">
        <v>1.4375</v>
      </c>
      <c r="CE46" s="8">
        <f t="shared" ref="CE46:CE48" si="116">BA46+1</f>
        <v>2.5</v>
      </c>
      <c r="CF46" s="145">
        <f t="shared" ref="CF46:CF50" si="117">BA46+1</f>
        <v>2.5</v>
      </c>
      <c r="CG46" s="23"/>
      <c r="CH46" s="235" t="s">
        <v>2059</v>
      </c>
      <c r="CI46" s="246">
        <v>13.13</v>
      </c>
      <c r="CJ46" s="35">
        <f t="shared" ref="CJ46:CJ64" si="118">CV46-CL46*2</f>
        <v>17.63</v>
      </c>
      <c r="CK46" s="8">
        <v>1.5</v>
      </c>
      <c r="CL46" s="8">
        <v>2</v>
      </c>
      <c r="CM46" s="35">
        <v>0.188</v>
      </c>
      <c r="CN46" s="8">
        <v>0.44</v>
      </c>
      <c r="CO46" s="8" t="s">
        <v>519</v>
      </c>
      <c r="CP46" s="8">
        <v>9.75</v>
      </c>
      <c r="CQ46" s="8">
        <v>1.25</v>
      </c>
      <c r="CR46" s="8">
        <v>19.75</v>
      </c>
      <c r="CS46" s="35">
        <v>0.126</v>
      </c>
      <c r="CT46" s="35">
        <v>0.126</v>
      </c>
      <c r="CU46" s="35">
        <f t="shared" ref="CU46:CU64" si="119">CR46/2</f>
        <v>9.875</v>
      </c>
      <c r="CV46" s="35">
        <v>21.63</v>
      </c>
      <c r="CW46" s="8">
        <v>9.3800000000000008</v>
      </c>
      <c r="CX46" s="8">
        <f>15-CQ46</f>
        <v>13.75</v>
      </c>
      <c r="CY46" s="8" t="s">
        <v>519</v>
      </c>
      <c r="CZ46" s="8">
        <v>10.63</v>
      </c>
      <c r="DA46" s="8">
        <v>12.56</v>
      </c>
      <c r="DB46" s="8">
        <v>9.94</v>
      </c>
      <c r="DC46" s="8">
        <v>3.5</v>
      </c>
      <c r="DD46" s="8">
        <v>0.5</v>
      </c>
      <c r="DE46" s="8">
        <v>0.25</v>
      </c>
      <c r="DF46" s="8">
        <v>6.5</v>
      </c>
      <c r="DG46" s="8">
        <v>0.88</v>
      </c>
      <c r="DH46" s="8">
        <v>17.059999999999999</v>
      </c>
      <c r="DI46" s="8">
        <v>6.44</v>
      </c>
      <c r="DJ46" s="893">
        <v>1.9375</v>
      </c>
      <c r="DK46" s="145">
        <f t="shared" ref="DK46:DK47" si="120">CL46+1</f>
        <v>3</v>
      </c>
    </row>
    <row r="47" spans="2:115" x14ac:dyDescent="0.2">
      <c r="B47" s="941"/>
      <c r="C47" s="403" t="s">
        <v>391</v>
      </c>
      <c r="D47" s="439">
        <f t="shared" si="89"/>
        <v>13.5</v>
      </c>
      <c r="E47" s="364" t="s">
        <v>1668</v>
      </c>
      <c r="F47" s="331" t="str">
        <f t="shared" si="90"/>
        <v>254T</v>
      </c>
      <c r="G47" s="361">
        <f t="shared" si="91"/>
        <v>14.31</v>
      </c>
      <c r="H47" s="339">
        <f t="shared" si="91"/>
        <v>19.5</v>
      </c>
      <c r="I47" s="3">
        <f t="shared" si="91"/>
        <v>1.5</v>
      </c>
      <c r="J47" s="50">
        <f t="shared" si="91"/>
        <v>1.5</v>
      </c>
      <c r="K47" s="418">
        <f t="shared" si="91"/>
        <v>0.188</v>
      </c>
      <c r="L47" s="3">
        <f t="shared" si="91"/>
        <v>0.44</v>
      </c>
      <c r="M47" s="50">
        <v>0.375</v>
      </c>
      <c r="N47" s="50">
        <f t="shared" si="92"/>
        <v>10.75</v>
      </c>
      <c r="O47" s="50">
        <f t="shared" si="93"/>
        <v>10.130000000000001</v>
      </c>
      <c r="P47" s="50">
        <f t="shared" si="94"/>
        <v>2.6300000000000008</v>
      </c>
      <c r="Q47" s="50">
        <f t="shared" si="95"/>
        <v>1</v>
      </c>
      <c r="R47" s="3">
        <f t="shared" si="95"/>
        <v>21</v>
      </c>
      <c r="S47" s="3">
        <f t="shared" si="95"/>
        <v>7.0000000000000007E-2</v>
      </c>
      <c r="T47" s="3">
        <f t="shared" si="95"/>
        <v>7.0000000000000007E-2</v>
      </c>
      <c r="U47" s="181">
        <f t="shared" si="95"/>
        <v>10.5</v>
      </c>
      <c r="V47" s="22">
        <f t="shared" si="95"/>
        <v>22.5</v>
      </c>
      <c r="W47" s="3">
        <f t="shared" si="95"/>
        <v>10.25</v>
      </c>
      <c r="X47" s="3">
        <f t="shared" si="95"/>
        <v>14.75</v>
      </c>
      <c r="Y47" s="50">
        <f t="shared" si="96"/>
        <v>11.63</v>
      </c>
      <c r="Z47" s="50">
        <f t="shared" si="97"/>
        <v>13.38</v>
      </c>
      <c r="AA47" s="50">
        <f t="shared" si="98"/>
        <v>17.25</v>
      </c>
      <c r="AB47" s="50">
        <f t="shared" si="99"/>
        <v>7.13</v>
      </c>
      <c r="AC47" s="22">
        <f t="shared" si="100"/>
        <v>1.6875</v>
      </c>
      <c r="AD47" s="118">
        <f t="shared" si="101"/>
        <v>3</v>
      </c>
      <c r="AE47" s="3">
        <f t="shared" si="102"/>
        <v>3.8</v>
      </c>
      <c r="AF47" s="116">
        <f t="shared" si="103"/>
        <v>0.19</v>
      </c>
      <c r="AG47" s="118" t="s">
        <v>519</v>
      </c>
      <c r="AH47" s="50">
        <f t="shared" si="104"/>
        <v>10.63</v>
      </c>
      <c r="AI47" s="3">
        <f t="shared" si="105"/>
        <v>7.38</v>
      </c>
      <c r="AJ47" s="157">
        <f t="shared" si="105"/>
        <v>0.63</v>
      </c>
      <c r="AK47" s="286">
        <f t="shared" si="106"/>
        <v>3.12</v>
      </c>
      <c r="AL47" s="118">
        <f t="shared" si="107"/>
        <v>18</v>
      </c>
      <c r="AM47" s="3">
        <f t="shared" si="108"/>
        <v>10.530000000000001</v>
      </c>
      <c r="AN47" s="22">
        <f t="shared" si="109"/>
        <v>12.675000000000001</v>
      </c>
      <c r="AO47" s="157">
        <v>1.25</v>
      </c>
      <c r="AP47" s="118">
        <f t="shared" si="110"/>
        <v>2.5</v>
      </c>
      <c r="AQ47" s="50">
        <v>0.375</v>
      </c>
      <c r="AR47" s="22">
        <f t="shared" si="111"/>
        <v>2.53125</v>
      </c>
      <c r="AS47" s="157">
        <f t="shared" si="112"/>
        <v>2</v>
      </c>
      <c r="AT47" s="116">
        <f t="shared" si="113"/>
        <v>2.65625</v>
      </c>
      <c r="AU47" s="23"/>
      <c r="AV47" s="210" t="s">
        <v>423</v>
      </c>
      <c r="AW47" s="326" t="s">
        <v>2059</v>
      </c>
      <c r="AX47" s="234">
        <v>14.31</v>
      </c>
      <c r="AY47" s="22">
        <f t="shared" si="114"/>
        <v>19.5</v>
      </c>
      <c r="AZ47" s="3">
        <v>1.5</v>
      </c>
      <c r="BA47" s="3">
        <v>1.5</v>
      </c>
      <c r="BB47" s="22">
        <v>0.188</v>
      </c>
      <c r="BC47" s="3">
        <v>0.44</v>
      </c>
      <c r="BD47" s="3" t="s">
        <v>519</v>
      </c>
      <c r="BE47" s="3">
        <v>10.75</v>
      </c>
      <c r="BF47" s="3">
        <v>1</v>
      </c>
      <c r="BG47" s="3">
        <v>21</v>
      </c>
      <c r="BH47" s="22">
        <v>7.0000000000000007E-2</v>
      </c>
      <c r="BI47" s="22">
        <v>7.0000000000000007E-2</v>
      </c>
      <c r="BJ47" s="181">
        <f t="shared" si="115"/>
        <v>10.5</v>
      </c>
      <c r="BK47" s="22">
        <v>22.5</v>
      </c>
      <c r="BL47" s="3">
        <v>10.25</v>
      </c>
      <c r="BM47" s="3">
        <f>15.75-BF47</f>
        <v>14.75</v>
      </c>
      <c r="BN47" s="3" t="s">
        <v>519</v>
      </c>
      <c r="BO47" s="3">
        <v>11.63</v>
      </c>
      <c r="BP47" s="3">
        <v>12.44</v>
      </c>
      <c r="BQ47" s="3">
        <v>13.38</v>
      </c>
      <c r="BR47" s="3">
        <v>10.63</v>
      </c>
      <c r="BS47" s="3">
        <v>3</v>
      </c>
      <c r="BT47" s="3">
        <v>0.25</v>
      </c>
      <c r="BU47" s="3">
        <v>3.8</v>
      </c>
      <c r="BV47" s="3">
        <v>0.13</v>
      </c>
      <c r="BW47" s="3">
        <v>0.19</v>
      </c>
      <c r="BX47" s="3">
        <v>7.38</v>
      </c>
      <c r="BY47" s="3">
        <v>0.63</v>
      </c>
      <c r="BZ47" s="3">
        <v>16.25</v>
      </c>
      <c r="CA47" s="3">
        <v>17.25</v>
      </c>
      <c r="CB47" s="3">
        <v>7.13</v>
      </c>
      <c r="CC47" s="895">
        <v>1.1875</v>
      </c>
      <c r="CD47" s="896">
        <v>1.6875</v>
      </c>
      <c r="CE47" s="3">
        <f t="shared" si="116"/>
        <v>2.5</v>
      </c>
      <c r="CF47" s="116">
        <f t="shared" si="117"/>
        <v>2.5</v>
      </c>
      <c r="CG47" s="23"/>
      <c r="CH47" s="210" t="s">
        <v>2059</v>
      </c>
      <c r="CI47" s="234">
        <v>14.44</v>
      </c>
      <c r="CJ47" s="22">
        <f t="shared" si="118"/>
        <v>19.63</v>
      </c>
      <c r="CK47" s="3">
        <v>1.5</v>
      </c>
      <c r="CL47" s="3">
        <v>2</v>
      </c>
      <c r="CM47" s="22">
        <v>0.188</v>
      </c>
      <c r="CN47" s="3">
        <v>0.44</v>
      </c>
      <c r="CO47" s="3" t="s">
        <v>519</v>
      </c>
      <c r="CP47" s="3">
        <v>10.75</v>
      </c>
      <c r="CQ47" s="3">
        <v>1.25</v>
      </c>
      <c r="CR47" s="3">
        <v>21</v>
      </c>
      <c r="CS47" s="22">
        <v>0.126</v>
      </c>
      <c r="CT47" s="22">
        <v>0.126</v>
      </c>
      <c r="CU47" s="22">
        <f t="shared" si="119"/>
        <v>10.5</v>
      </c>
      <c r="CV47" s="22">
        <v>23.63</v>
      </c>
      <c r="CW47" s="3">
        <v>10.31</v>
      </c>
      <c r="CX47" s="3">
        <f>16.31-CQ47</f>
        <v>15.059999999999999</v>
      </c>
      <c r="CY47" s="3" t="s">
        <v>519</v>
      </c>
      <c r="CZ47" s="3">
        <v>11.69</v>
      </c>
      <c r="DA47" s="3">
        <v>13.56</v>
      </c>
      <c r="DB47" s="3">
        <v>10.94</v>
      </c>
      <c r="DC47" s="3">
        <v>4</v>
      </c>
      <c r="DD47" s="3">
        <v>0.5</v>
      </c>
      <c r="DE47" s="3">
        <v>0.25</v>
      </c>
      <c r="DF47" s="3">
        <v>7.13</v>
      </c>
      <c r="DG47" s="3">
        <v>0.88</v>
      </c>
      <c r="DH47" s="3">
        <v>18.559999999999999</v>
      </c>
      <c r="DI47" s="3">
        <v>7.13</v>
      </c>
      <c r="DJ47" s="895">
        <v>1.9375</v>
      </c>
      <c r="DK47" s="116">
        <f t="shared" si="120"/>
        <v>3</v>
      </c>
    </row>
    <row r="48" spans="2:115" x14ac:dyDescent="0.2">
      <c r="B48" s="942"/>
      <c r="C48" s="298" t="s">
        <v>929</v>
      </c>
      <c r="D48" s="438">
        <f t="shared" si="89"/>
        <v>15</v>
      </c>
      <c r="E48" s="315" t="s">
        <v>1668</v>
      </c>
      <c r="F48" s="366" t="str">
        <f t="shared" si="90"/>
        <v>256T</v>
      </c>
      <c r="G48" s="320">
        <f t="shared" si="91"/>
        <v>15.88</v>
      </c>
      <c r="H48" s="300">
        <f t="shared" si="91"/>
        <v>21.5</v>
      </c>
      <c r="I48" s="7">
        <f t="shared" si="91"/>
        <v>1.5</v>
      </c>
      <c r="J48" s="44">
        <f t="shared" si="91"/>
        <v>1.5</v>
      </c>
      <c r="K48" s="345">
        <f t="shared" si="91"/>
        <v>0.188</v>
      </c>
      <c r="L48" s="7">
        <f t="shared" si="91"/>
        <v>0.44</v>
      </c>
      <c r="M48" s="44">
        <v>0.375</v>
      </c>
      <c r="N48" s="44">
        <f t="shared" si="92"/>
        <v>11.94</v>
      </c>
      <c r="O48" s="44">
        <f t="shared" si="93"/>
        <v>11.38</v>
      </c>
      <c r="P48" s="44">
        <f t="shared" si="94"/>
        <v>3.0050000000000008</v>
      </c>
      <c r="Q48" s="44">
        <f t="shared" si="95"/>
        <v>1</v>
      </c>
      <c r="R48" s="7">
        <f t="shared" si="95"/>
        <v>22.75</v>
      </c>
      <c r="S48" s="7">
        <f t="shared" si="95"/>
        <v>7.0000000000000007E-2</v>
      </c>
      <c r="T48" s="7">
        <f t="shared" si="95"/>
        <v>7.0000000000000007E-2</v>
      </c>
      <c r="U48" s="180">
        <f t="shared" si="95"/>
        <v>11.375</v>
      </c>
      <c r="V48" s="25">
        <f t="shared" si="95"/>
        <v>24.5</v>
      </c>
      <c r="W48" s="7">
        <f t="shared" si="95"/>
        <v>11.38</v>
      </c>
      <c r="X48" s="7">
        <f t="shared" si="95"/>
        <v>16.309999999999999</v>
      </c>
      <c r="Y48" s="44">
        <f t="shared" si="96"/>
        <v>12.88</v>
      </c>
      <c r="Z48" s="44">
        <f t="shared" si="97"/>
        <v>14.38</v>
      </c>
      <c r="AA48" s="44">
        <f t="shared" si="98"/>
        <v>18.75</v>
      </c>
      <c r="AB48" s="44">
        <f t="shared" si="99"/>
        <v>7.88</v>
      </c>
      <c r="AC48" s="25">
        <f t="shared" si="100"/>
        <v>1.6875</v>
      </c>
      <c r="AD48" s="130">
        <f t="shared" si="101"/>
        <v>3.5</v>
      </c>
      <c r="AE48" s="7">
        <f t="shared" si="102"/>
        <v>0.38</v>
      </c>
      <c r="AF48" s="117">
        <f t="shared" si="103"/>
        <v>0.19</v>
      </c>
      <c r="AG48" s="130" t="s">
        <v>519</v>
      </c>
      <c r="AH48" s="44">
        <f t="shared" si="104"/>
        <v>11.63</v>
      </c>
      <c r="AI48" s="7">
        <f t="shared" si="105"/>
        <v>8.25</v>
      </c>
      <c r="AJ48" s="158">
        <f t="shared" si="105"/>
        <v>0.63</v>
      </c>
      <c r="AK48" s="382">
        <f t="shared" si="106"/>
        <v>3.125</v>
      </c>
      <c r="AL48" s="130">
        <f t="shared" si="107"/>
        <v>19.75</v>
      </c>
      <c r="AM48" s="7">
        <f t="shared" si="108"/>
        <v>11.700000000000001</v>
      </c>
      <c r="AN48" s="25">
        <f t="shared" si="109"/>
        <v>13.975</v>
      </c>
      <c r="AO48" s="158">
        <v>1.25</v>
      </c>
      <c r="AP48" s="130">
        <f t="shared" si="110"/>
        <v>2.5</v>
      </c>
      <c r="AQ48" s="44">
        <v>0.375</v>
      </c>
      <c r="AR48" s="25">
        <f t="shared" si="111"/>
        <v>2.53125</v>
      </c>
      <c r="AS48" s="158">
        <f t="shared" si="112"/>
        <v>2</v>
      </c>
      <c r="AT48" s="117">
        <f t="shared" si="113"/>
        <v>2.65625</v>
      </c>
      <c r="AU48" s="23"/>
      <c r="AV48" s="210" t="s">
        <v>1521</v>
      </c>
      <c r="AW48" s="326" t="s">
        <v>1100</v>
      </c>
      <c r="AX48" s="217">
        <v>15.88</v>
      </c>
      <c r="AY48" s="22">
        <f t="shared" si="114"/>
        <v>21.5</v>
      </c>
      <c r="AZ48" s="7">
        <v>1.5</v>
      </c>
      <c r="BA48" s="7">
        <v>1.5</v>
      </c>
      <c r="BB48" s="25">
        <v>0.188</v>
      </c>
      <c r="BC48" s="7">
        <v>0.44</v>
      </c>
      <c r="BD48" s="3" t="s">
        <v>519</v>
      </c>
      <c r="BE48" s="3">
        <v>11.94</v>
      </c>
      <c r="BF48" s="3">
        <v>1</v>
      </c>
      <c r="BG48" s="7">
        <v>22.75</v>
      </c>
      <c r="BH48" s="25">
        <v>7.0000000000000007E-2</v>
      </c>
      <c r="BI48" s="25">
        <v>7.0000000000000007E-2</v>
      </c>
      <c r="BJ48" s="180">
        <f t="shared" si="115"/>
        <v>11.375</v>
      </c>
      <c r="BK48" s="25">
        <v>24.5</v>
      </c>
      <c r="BL48" s="7">
        <v>11.38</v>
      </c>
      <c r="BM48" s="7">
        <f>17.31-BF48</f>
        <v>16.309999999999999</v>
      </c>
      <c r="BN48" s="7" t="s">
        <v>519</v>
      </c>
      <c r="BO48" s="7">
        <v>12.88</v>
      </c>
      <c r="BP48" s="7">
        <v>14.38</v>
      </c>
      <c r="BQ48" s="7">
        <v>14.38</v>
      </c>
      <c r="BR48" s="7">
        <v>11.63</v>
      </c>
      <c r="BS48" s="7">
        <v>3.5</v>
      </c>
      <c r="BT48" s="7">
        <v>0.38</v>
      </c>
      <c r="BU48" s="7">
        <v>0.38</v>
      </c>
      <c r="BV48" s="7">
        <v>0.19</v>
      </c>
      <c r="BW48" s="7">
        <v>0.19</v>
      </c>
      <c r="BX48" s="7">
        <v>8.25</v>
      </c>
      <c r="BY48" s="7">
        <v>0.63</v>
      </c>
      <c r="BZ48" s="7">
        <v>18.75</v>
      </c>
      <c r="CA48" s="7">
        <v>18.75</v>
      </c>
      <c r="CB48" s="7">
        <v>7.88</v>
      </c>
      <c r="CC48" s="897">
        <v>1.4375</v>
      </c>
      <c r="CD48" s="898">
        <v>1.6875</v>
      </c>
      <c r="CE48" s="7">
        <f t="shared" si="116"/>
        <v>2.5</v>
      </c>
      <c r="CF48" s="117">
        <f t="shared" si="117"/>
        <v>2.5</v>
      </c>
      <c r="CG48" s="23"/>
      <c r="CH48" s="210" t="s">
        <v>1100</v>
      </c>
      <c r="CI48" s="217">
        <v>16</v>
      </c>
      <c r="CJ48" s="25">
        <f t="shared" si="118"/>
        <v>21.63</v>
      </c>
      <c r="CK48" s="7">
        <v>1.5</v>
      </c>
      <c r="CL48" s="7">
        <v>2</v>
      </c>
      <c r="CM48" s="25">
        <v>0.188</v>
      </c>
      <c r="CN48" s="7">
        <v>0.44</v>
      </c>
      <c r="CO48" s="7" t="s">
        <v>519</v>
      </c>
      <c r="CP48" s="7">
        <v>11.94</v>
      </c>
      <c r="CQ48" s="7">
        <v>1.25</v>
      </c>
      <c r="CR48" s="7">
        <v>22.75</v>
      </c>
      <c r="CS48" s="25">
        <v>0.126</v>
      </c>
      <c r="CT48" s="25">
        <v>0.126</v>
      </c>
      <c r="CU48" s="25">
        <f t="shared" si="119"/>
        <v>11.375</v>
      </c>
      <c r="CV48" s="25">
        <v>25.63</v>
      </c>
      <c r="CW48" s="7">
        <v>11.44</v>
      </c>
      <c r="CX48" s="7">
        <f>17.88-CQ48</f>
        <v>16.63</v>
      </c>
      <c r="CY48" s="7" t="s">
        <v>519</v>
      </c>
      <c r="CZ48" s="7">
        <v>12.94</v>
      </c>
      <c r="DA48" s="7">
        <v>15.13</v>
      </c>
      <c r="DB48" s="7">
        <v>11.94</v>
      </c>
      <c r="DC48" s="7">
        <v>4</v>
      </c>
      <c r="DD48" s="7">
        <v>0.5</v>
      </c>
      <c r="DE48" s="7">
        <v>0.25</v>
      </c>
      <c r="DF48" s="7">
        <v>8</v>
      </c>
      <c r="DG48" s="7">
        <v>0.88</v>
      </c>
      <c r="DH48" s="7">
        <v>20.13</v>
      </c>
      <c r="DI48" s="7">
        <v>7.88</v>
      </c>
      <c r="DJ48" s="897">
        <v>2.1875</v>
      </c>
      <c r="DK48" s="117">
        <f t="shared" ref="DK48:DK51" si="121">CL48+1.5</f>
        <v>3.5</v>
      </c>
    </row>
    <row r="49" spans="2:115" x14ac:dyDescent="0.2">
      <c r="B49" s="942"/>
      <c r="C49" s="298" t="s">
        <v>1638</v>
      </c>
      <c r="D49" s="438">
        <f t="shared" si="89"/>
        <v>16.5</v>
      </c>
      <c r="E49" s="315" t="s">
        <v>1668</v>
      </c>
      <c r="F49" s="366" t="str">
        <f t="shared" si="90"/>
        <v>256T</v>
      </c>
      <c r="G49" s="320">
        <f t="shared" si="91"/>
        <v>17.440000000000001</v>
      </c>
      <c r="H49" s="300">
        <f t="shared" si="91"/>
        <v>23.625</v>
      </c>
      <c r="I49" s="7">
        <f t="shared" si="91"/>
        <v>1.5</v>
      </c>
      <c r="J49" s="44">
        <f t="shared" si="91"/>
        <v>2</v>
      </c>
      <c r="K49" s="345">
        <f t="shared" si="91"/>
        <v>0.188</v>
      </c>
      <c r="L49" s="7">
        <f t="shared" si="91"/>
        <v>0.44</v>
      </c>
      <c r="M49" s="44">
        <v>0.375</v>
      </c>
      <c r="N49" s="44">
        <f t="shared" si="92"/>
        <v>13.13</v>
      </c>
      <c r="O49" s="44">
        <f t="shared" si="93"/>
        <v>12.63</v>
      </c>
      <c r="P49" s="44">
        <f t="shared" si="94"/>
        <v>3.5050000000000008</v>
      </c>
      <c r="Q49" s="44">
        <f t="shared" si="95"/>
        <v>1</v>
      </c>
      <c r="R49" s="7">
        <f t="shared" si="95"/>
        <v>24.25</v>
      </c>
      <c r="S49" s="7">
        <f t="shared" si="95"/>
        <v>7.0000000000000007E-2</v>
      </c>
      <c r="T49" s="7">
        <f t="shared" si="95"/>
        <v>7.0000000000000007E-2</v>
      </c>
      <c r="U49" s="180">
        <f t="shared" si="95"/>
        <v>12.125</v>
      </c>
      <c r="V49" s="25">
        <f t="shared" si="95"/>
        <v>27.625</v>
      </c>
      <c r="W49" s="7">
        <f t="shared" si="95"/>
        <v>12.5</v>
      </c>
      <c r="X49" s="7">
        <f t="shared" si="95"/>
        <v>18.38</v>
      </c>
      <c r="Y49" s="44">
        <f t="shared" si="96"/>
        <v>14.13</v>
      </c>
      <c r="Z49" s="44">
        <f t="shared" si="97"/>
        <v>15.56</v>
      </c>
      <c r="AA49" s="44">
        <f t="shared" si="98"/>
        <v>20.059999999999999</v>
      </c>
      <c r="AB49" s="44">
        <f t="shared" si="99"/>
        <v>8.69</v>
      </c>
      <c r="AC49" s="25">
        <f t="shared" si="100"/>
        <v>1.9375</v>
      </c>
      <c r="AD49" s="130">
        <f t="shared" si="101"/>
        <v>3.5</v>
      </c>
      <c r="AE49" s="7">
        <f t="shared" si="102"/>
        <v>0.5</v>
      </c>
      <c r="AF49" s="117">
        <f t="shared" si="103"/>
        <v>0.25</v>
      </c>
      <c r="AG49" s="130" t="s">
        <v>519</v>
      </c>
      <c r="AH49" s="44">
        <f t="shared" si="104"/>
        <v>12.94</v>
      </c>
      <c r="AI49" s="7">
        <f t="shared" si="105"/>
        <v>8.75</v>
      </c>
      <c r="AJ49" s="158">
        <f t="shared" si="105"/>
        <v>0.88</v>
      </c>
      <c r="AK49" s="382">
        <f t="shared" si="106"/>
        <v>3.375</v>
      </c>
      <c r="AL49" s="130">
        <f t="shared" si="107"/>
        <v>21.25</v>
      </c>
      <c r="AM49" s="7">
        <f t="shared" si="108"/>
        <v>12.870000000000001</v>
      </c>
      <c r="AN49" s="25">
        <f t="shared" si="109"/>
        <v>15.356250000000001</v>
      </c>
      <c r="AO49" s="158">
        <v>1.25</v>
      </c>
      <c r="AP49" s="130">
        <f t="shared" si="110"/>
        <v>3</v>
      </c>
      <c r="AQ49" s="44">
        <v>0.375</v>
      </c>
      <c r="AR49" s="25">
        <f t="shared" si="111"/>
        <v>2.90625</v>
      </c>
      <c r="AS49" s="158">
        <f t="shared" si="112"/>
        <v>2.5</v>
      </c>
      <c r="AT49" s="117">
        <f t="shared" si="113"/>
        <v>3.03125</v>
      </c>
      <c r="AU49" s="23"/>
      <c r="AV49" s="210" t="s">
        <v>1521</v>
      </c>
      <c r="AW49" s="326" t="s">
        <v>1100</v>
      </c>
      <c r="AX49" s="217">
        <v>17.440000000000001</v>
      </c>
      <c r="AY49" s="22">
        <f t="shared" si="114"/>
        <v>23.625</v>
      </c>
      <c r="AZ49" s="7">
        <v>1.5</v>
      </c>
      <c r="BA49" s="7">
        <v>2</v>
      </c>
      <c r="BB49" s="25">
        <v>0.188</v>
      </c>
      <c r="BC49" s="7">
        <v>0.44</v>
      </c>
      <c r="BD49" s="3" t="s">
        <v>519</v>
      </c>
      <c r="BE49" s="3">
        <v>13.13</v>
      </c>
      <c r="BF49" s="3">
        <v>1</v>
      </c>
      <c r="BG49" s="7">
        <v>24.25</v>
      </c>
      <c r="BH49" s="25">
        <v>7.0000000000000007E-2</v>
      </c>
      <c r="BI49" s="25">
        <v>7.0000000000000007E-2</v>
      </c>
      <c r="BJ49" s="180">
        <f t="shared" si="115"/>
        <v>12.125</v>
      </c>
      <c r="BK49" s="25">
        <v>27.625</v>
      </c>
      <c r="BL49" s="7">
        <v>12.5</v>
      </c>
      <c r="BM49" s="7">
        <f>19.38-BF49</f>
        <v>18.38</v>
      </c>
      <c r="BN49" s="7" t="s">
        <v>519</v>
      </c>
      <c r="BO49" s="7">
        <v>14.13</v>
      </c>
      <c r="BP49" s="7">
        <v>15.44</v>
      </c>
      <c r="BQ49" s="7">
        <v>15.56</v>
      </c>
      <c r="BR49" s="7">
        <v>12.94</v>
      </c>
      <c r="BS49" s="7">
        <v>3.5</v>
      </c>
      <c r="BT49" s="7">
        <v>0.38</v>
      </c>
      <c r="BU49" s="7">
        <v>0.5</v>
      </c>
      <c r="BV49" s="7">
        <v>0.19</v>
      </c>
      <c r="BW49" s="7">
        <v>0.25</v>
      </c>
      <c r="BX49" s="7">
        <v>8.75</v>
      </c>
      <c r="BY49" s="7">
        <v>0.88</v>
      </c>
      <c r="BZ49" s="7">
        <v>19.809999999999999</v>
      </c>
      <c r="CA49" s="7">
        <v>20.059999999999999</v>
      </c>
      <c r="CB49" s="7">
        <v>8.69</v>
      </c>
      <c r="CC49" s="897">
        <v>1.4375</v>
      </c>
      <c r="CD49" s="898">
        <v>1.9375</v>
      </c>
      <c r="CE49" s="7">
        <f t="shared" ref="CE49:CE51" si="122">BA49+0.5</f>
        <v>2.5</v>
      </c>
      <c r="CF49" s="117">
        <f t="shared" si="117"/>
        <v>3</v>
      </c>
      <c r="CG49" s="23"/>
      <c r="CH49" s="210" t="s">
        <v>1100</v>
      </c>
      <c r="CI49" s="217">
        <v>17.559999999999999</v>
      </c>
      <c r="CJ49" s="25">
        <f t="shared" si="118"/>
        <v>23.75</v>
      </c>
      <c r="CK49" s="7">
        <v>1.5</v>
      </c>
      <c r="CL49" s="7">
        <v>2</v>
      </c>
      <c r="CM49" s="25">
        <v>0.188</v>
      </c>
      <c r="CN49" s="7">
        <v>0.44</v>
      </c>
      <c r="CO49" s="7" t="s">
        <v>519</v>
      </c>
      <c r="CP49" s="7">
        <v>13.13</v>
      </c>
      <c r="CQ49" s="7">
        <v>1.25</v>
      </c>
      <c r="CR49" s="7">
        <v>24.25</v>
      </c>
      <c r="CS49" s="25">
        <v>0.126</v>
      </c>
      <c r="CT49" s="25">
        <v>0.126</v>
      </c>
      <c r="CU49" s="25">
        <f t="shared" si="119"/>
        <v>12.125</v>
      </c>
      <c r="CV49" s="25">
        <v>27.75</v>
      </c>
      <c r="CW49" s="7">
        <v>12.56</v>
      </c>
      <c r="CX49" s="7">
        <f>19.44-CQ49</f>
        <v>18.190000000000001</v>
      </c>
      <c r="CY49" s="7" t="s">
        <v>519</v>
      </c>
      <c r="CZ49" s="7">
        <v>14.19</v>
      </c>
      <c r="DA49" s="7">
        <v>16.190000000000001</v>
      </c>
      <c r="DB49" s="7">
        <v>13</v>
      </c>
      <c r="DC49" s="7">
        <v>4.5</v>
      </c>
      <c r="DD49" s="7">
        <v>0.5</v>
      </c>
      <c r="DE49" s="7">
        <v>0.25</v>
      </c>
      <c r="DF49" s="7">
        <v>8.75</v>
      </c>
      <c r="DG49" s="7">
        <v>0.88</v>
      </c>
      <c r="DH49" s="7">
        <v>21.69</v>
      </c>
      <c r="DI49" s="7">
        <v>8.69</v>
      </c>
      <c r="DJ49" s="897">
        <v>2.1875</v>
      </c>
      <c r="DK49" s="117">
        <f t="shared" si="121"/>
        <v>3.5</v>
      </c>
    </row>
    <row r="50" spans="2:115" x14ac:dyDescent="0.2">
      <c r="B50" s="942"/>
      <c r="C50" s="298" t="s">
        <v>930</v>
      </c>
      <c r="D50" s="438">
        <f t="shared" si="89"/>
        <v>18.2</v>
      </c>
      <c r="E50" s="315" t="s">
        <v>556</v>
      </c>
      <c r="F50" s="366" t="str">
        <f t="shared" si="90"/>
        <v>284T</v>
      </c>
      <c r="G50" s="320">
        <f t="shared" si="91"/>
        <v>19.38</v>
      </c>
      <c r="H50" s="300">
        <f t="shared" si="91"/>
        <v>26</v>
      </c>
      <c r="I50" s="7">
        <f t="shared" si="91"/>
        <v>1.5</v>
      </c>
      <c r="J50" s="44">
        <f t="shared" si="91"/>
        <v>2</v>
      </c>
      <c r="K50" s="345">
        <f t="shared" si="91"/>
        <v>0.188</v>
      </c>
      <c r="L50" s="7">
        <f t="shared" si="91"/>
        <v>0.44</v>
      </c>
      <c r="M50" s="44">
        <v>0.375</v>
      </c>
      <c r="N50" s="44">
        <f t="shared" si="92"/>
        <v>14.5</v>
      </c>
      <c r="O50" s="44">
        <f t="shared" si="93"/>
        <v>14.19</v>
      </c>
      <c r="P50" s="44">
        <f t="shared" si="94"/>
        <v>4.1899999999999995</v>
      </c>
      <c r="Q50" s="44">
        <f t="shared" si="95"/>
        <v>1.25</v>
      </c>
      <c r="R50" s="7">
        <f t="shared" si="95"/>
        <v>26</v>
      </c>
      <c r="S50" s="7">
        <f t="shared" si="95"/>
        <v>9.7000000000000003E-2</v>
      </c>
      <c r="T50" s="7">
        <f t="shared" si="95"/>
        <v>7.0000000000000007E-2</v>
      </c>
      <c r="U50" s="180">
        <f t="shared" si="95"/>
        <v>13</v>
      </c>
      <c r="V50" s="25">
        <f t="shared" si="95"/>
        <v>30</v>
      </c>
      <c r="W50" s="7">
        <f t="shared" si="95"/>
        <v>13.81</v>
      </c>
      <c r="X50" s="7">
        <f t="shared" si="95"/>
        <v>20.059999999999999</v>
      </c>
      <c r="Y50" s="44">
        <f t="shared" si="96"/>
        <v>15.69</v>
      </c>
      <c r="Z50" s="44">
        <f t="shared" si="97"/>
        <v>16.75</v>
      </c>
      <c r="AA50" s="44">
        <f t="shared" si="98"/>
        <v>21.75</v>
      </c>
      <c r="AB50" s="44">
        <f t="shared" si="99"/>
        <v>9.6300000000000008</v>
      </c>
      <c r="AC50" s="25">
        <f t="shared" si="100"/>
        <v>1.9375</v>
      </c>
      <c r="AD50" s="130">
        <f t="shared" si="101"/>
        <v>4</v>
      </c>
      <c r="AE50" s="7">
        <f t="shared" si="102"/>
        <v>0.5</v>
      </c>
      <c r="AF50" s="117">
        <f t="shared" si="103"/>
        <v>0.25</v>
      </c>
      <c r="AG50" s="130" t="s">
        <v>519</v>
      </c>
      <c r="AH50" s="44">
        <f t="shared" si="104"/>
        <v>14.13</v>
      </c>
      <c r="AI50" s="7">
        <f t="shared" si="105"/>
        <v>9.6300000000000008</v>
      </c>
      <c r="AJ50" s="158">
        <f t="shared" si="105"/>
        <v>0.88</v>
      </c>
      <c r="AK50" s="382">
        <f t="shared" si="106"/>
        <v>3.3699999999999992</v>
      </c>
      <c r="AL50" s="130">
        <f t="shared" si="107"/>
        <v>23</v>
      </c>
      <c r="AM50" s="7">
        <f t="shared" si="108"/>
        <v>14.196</v>
      </c>
      <c r="AN50" s="25">
        <f t="shared" si="109"/>
        <v>16.900000000000002</v>
      </c>
      <c r="AO50" s="158">
        <v>1.25</v>
      </c>
      <c r="AP50" s="130">
        <f t="shared" si="110"/>
        <v>3</v>
      </c>
      <c r="AQ50" s="44">
        <v>0.375</v>
      </c>
      <c r="AR50" s="25">
        <f t="shared" si="111"/>
        <v>2.90625</v>
      </c>
      <c r="AS50" s="158">
        <f t="shared" si="112"/>
        <v>2.5</v>
      </c>
      <c r="AT50" s="117">
        <f t="shared" si="113"/>
        <v>3.03125</v>
      </c>
      <c r="AU50" s="23"/>
      <c r="AV50" s="210" t="s">
        <v>2059</v>
      </c>
      <c r="AW50" s="326" t="s">
        <v>958</v>
      </c>
      <c r="AX50" s="217">
        <v>19.38</v>
      </c>
      <c r="AY50" s="22">
        <f t="shared" si="114"/>
        <v>26</v>
      </c>
      <c r="AZ50" s="7">
        <v>1.5</v>
      </c>
      <c r="BA50" s="7">
        <v>2</v>
      </c>
      <c r="BB50" s="25">
        <v>0.188</v>
      </c>
      <c r="BC50" s="7">
        <v>0.44</v>
      </c>
      <c r="BD50" s="3" t="s">
        <v>519</v>
      </c>
      <c r="BE50" s="3">
        <v>14.5</v>
      </c>
      <c r="BF50" s="3">
        <v>1.25</v>
      </c>
      <c r="BG50" s="7">
        <v>26</v>
      </c>
      <c r="BH50" s="25">
        <v>9.7000000000000003E-2</v>
      </c>
      <c r="BI50" s="25">
        <v>7.0000000000000007E-2</v>
      </c>
      <c r="BJ50" s="180">
        <f t="shared" si="115"/>
        <v>13</v>
      </c>
      <c r="BK50" s="25">
        <v>30</v>
      </c>
      <c r="BL50" s="7">
        <v>13.81</v>
      </c>
      <c r="BM50" s="7">
        <f>21.31-BF50</f>
        <v>20.059999999999999</v>
      </c>
      <c r="BN50" s="7" t="s">
        <v>519</v>
      </c>
      <c r="BO50" s="7">
        <v>15.69</v>
      </c>
      <c r="BP50" s="7">
        <v>16.63</v>
      </c>
      <c r="BQ50" s="7">
        <v>16.75</v>
      </c>
      <c r="BR50" s="7">
        <v>14.13</v>
      </c>
      <c r="BS50" s="7">
        <v>4</v>
      </c>
      <c r="BT50" s="7">
        <v>0.38</v>
      </c>
      <c r="BU50" s="7">
        <v>0.5</v>
      </c>
      <c r="BV50" s="7">
        <v>0.19</v>
      </c>
      <c r="BW50" s="7">
        <v>0.25</v>
      </c>
      <c r="BX50" s="7">
        <v>9.6300000000000008</v>
      </c>
      <c r="BY50" s="7">
        <v>0.88</v>
      </c>
      <c r="BZ50" s="7">
        <v>21.5</v>
      </c>
      <c r="CA50" s="7">
        <v>21.75</v>
      </c>
      <c r="CB50" s="7">
        <v>9.6300000000000008</v>
      </c>
      <c r="CC50" s="897">
        <v>1.6875</v>
      </c>
      <c r="CD50" s="898">
        <v>1.9375</v>
      </c>
      <c r="CE50" s="7">
        <f t="shared" si="122"/>
        <v>2.5</v>
      </c>
      <c r="CF50" s="117">
        <f t="shared" si="117"/>
        <v>3</v>
      </c>
      <c r="CG50" s="23"/>
      <c r="CH50" s="210" t="s">
        <v>958</v>
      </c>
      <c r="CI50" s="44">
        <v>19.5</v>
      </c>
      <c r="CJ50" s="22">
        <f t="shared" si="118"/>
        <v>26.13</v>
      </c>
      <c r="CK50" s="7">
        <v>2</v>
      </c>
      <c r="CL50" s="7">
        <v>2</v>
      </c>
      <c r="CM50" s="25">
        <v>0.25</v>
      </c>
      <c r="CN50" s="7">
        <v>0.56000000000000005</v>
      </c>
      <c r="CO50" s="7" t="s">
        <v>519</v>
      </c>
      <c r="CP50" s="7">
        <v>14.5</v>
      </c>
      <c r="CQ50" s="7">
        <v>1.25</v>
      </c>
      <c r="CR50" s="7">
        <v>27</v>
      </c>
      <c r="CS50" s="25">
        <v>0.126</v>
      </c>
      <c r="CT50" s="25">
        <v>0.126</v>
      </c>
      <c r="CU50" s="25">
        <f t="shared" si="119"/>
        <v>13.5</v>
      </c>
      <c r="CV50" s="25">
        <v>30.13</v>
      </c>
      <c r="CW50" s="7">
        <v>13.88</v>
      </c>
      <c r="CX50" s="7">
        <f>21.38-CQ50</f>
        <v>20.13</v>
      </c>
      <c r="CY50" s="7" t="s">
        <v>519</v>
      </c>
      <c r="CZ50" s="7">
        <v>15.75</v>
      </c>
      <c r="DA50" s="7">
        <v>17.38</v>
      </c>
      <c r="DB50" s="7">
        <v>14.19</v>
      </c>
      <c r="DC50" s="7">
        <v>4.5</v>
      </c>
      <c r="DD50" s="7">
        <v>0.5</v>
      </c>
      <c r="DE50" s="7">
        <v>0.25</v>
      </c>
      <c r="DF50" s="7">
        <v>9.6300000000000008</v>
      </c>
      <c r="DG50" s="7">
        <v>0.88</v>
      </c>
      <c r="DH50" s="7">
        <v>22.88</v>
      </c>
      <c r="DI50" s="7">
        <v>9.6300000000000008</v>
      </c>
      <c r="DJ50" s="897">
        <v>2.1875</v>
      </c>
      <c r="DK50" s="117">
        <f t="shared" si="121"/>
        <v>3.5</v>
      </c>
    </row>
    <row r="51" spans="2:115" x14ac:dyDescent="0.2">
      <c r="B51" s="942"/>
      <c r="C51" s="298" t="s">
        <v>1783</v>
      </c>
      <c r="D51" s="438">
        <f t="shared" si="89"/>
        <v>20</v>
      </c>
      <c r="E51" s="315" t="s">
        <v>556</v>
      </c>
      <c r="F51" s="366" t="str">
        <f t="shared" si="90"/>
        <v>286T</v>
      </c>
      <c r="G51" s="320">
        <f t="shared" si="91"/>
        <v>21.19</v>
      </c>
      <c r="H51" s="300">
        <f t="shared" si="91"/>
        <v>28.5</v>
      </c>
      <c r="I51" s="7">
        <f t="shared" si="91"/>
        <v>1.5</v>
      </c>
      <c r="J51" s="44">
        <f t="shared" si="91"/>
        <v>2</v>
      </c>
      <c r="K51" s="345">
        <f t="shared" si="91"/>
        <v>0.188</v>
      </c>
      <c r="L51" s="7">
        <f t="shared" si="91"/>
        <v>0.56000000000000005</v>
      </c>
      <c r="M51" s="44">
        <v>0.5</v>
      </c>
      <c r="N51" s="44">
        <f t="shared" si="92"/>
        <v>15.81</v>
      </c>
      <c r="O51" s="44">
        <f t="shared" si="93"/>
        <v>15.809999999999999</v>
      </c>
      <c r="P51" s="44">
        <f t="shared" si="94"/>
        <v>4.8099999999999987</v>
      </c>
      <c r="Q51" s="44">
        <f t="shared" si="95"/>
        <v>1.25</v>
      </c>
      <c r="R51" s="7">
        <f t="shared" si="95"/>
        <v>28</v>
      </c>
      <c r="S51" s="7">
        <f t="shared" si="95"/>
        <v>9.7000000000000003E-2</v>
      </c>
      <c r="T51" s="7">
        <f t="shared" si="95"/>
        <v>7.0000000000000007E-2</v>
      </c>
      <c r="U51" s="180">
        <f t="shared" si="95"/>
        <v>14</v>
      </c>
      <c r="V51" s="25">
        <f t="shared" si="95"/>
        <v>32.5</v>
      </c>
      <c r="W51" s="7">
        <f t="shared" si="95"/>
        <v>15.19</v>
      </c>
      <c r="X51" s="7">
        <f t="shared" si="95"/>
        <v>21.88</v>
      </c>
      <c r="Y51" s="44">
        <f t="shared" si="96"/>
        <v>17.309999999999999</v>
      </c>
      <c r="Z51" s="44">
        <f t="shared" si="97"/>
        <v>18.559999999999999</v>
      </c>
      <c r="AA51" s="44">
        <f t="shared" si="98"/>
        <v>23.56</v>
      </c>
      <c r="AB51" s="44">
        <f t="shared" si="99"/>
        <v>10.56</v>
      </c>
      <c r="AC51" s="25">
        <f t="shared" si="100"/>
        <v>2.1875</v>
      </c>
      <c r="AD51" s="130">
        <f t="shared" si="101"/>
        <v>4</v>
      </c>
      <c r="AE51" s="7">
        <f t="shared" si="102"/>
        <v>0.5</v>
      </c>
      <c r="AF51" s="117">
        <f t="shared" si="103"/>
        <v>0.25</v>
      </c>
      <c r="AG51" s="130" t="s">
        <v>519</v>
      </c>
      <c r="AH51" s="44">
        <f t="shared" si="104"/>
        <v>15.38</v>
      </c>
      <c r="AI51" s="7">
        <f t="shared" si="105"/>
        <v>10.63</v>
      </c>
      <c r="AJ51" s="158">
        <f t="shared" si="105"/>
        <v>0.88</v>
      </c>
      <c r="AK51" s="382">
        <f t="shared" si="106"/>
        <v>3.3699999999999992</v>
      </c>
      <c r="AL51" s="130">
        <f t="shared" si="107"/>
        <v>25</v>
      </c>
      <c r="AM51" s="7">
        <f t="shared" si="108"/>
        <v>15.600000000000001</v>
      </c>
      <c r="AN51" s="25">
        <f t="shared" si="109"/>
        <v>18.525000000000002</v>
      </c>
      <c r="AO51" s="158">
        <v>1.25</v>
      </c>
      <c r="AP51" s="130">
        <f t="shared" si="110"/>
        <v>3.5</v>
      </c>
      <c r="AQ51" s="44">
        <v>0.375</v>
      </c>
      <c r="AR51" s="25">
        <f t="shared" si="111"/>
        <v>3.28125</v>
      </c>
      <c r="AS51" s="158">
        <f t="shared" si="112"/>
        <v>3</v>
      </c>
      <c r="AT51" s="117">
        <f t="shared" si="113"/>
        <v>3.40625</v>
      </c>
      <c r="AU51" s="23"/>
      <c r="AV51" s="210" t="s">
        <v>2059</v>
      </c>
      <c r="AW51" s="326" t="s">
        <v>1</v>
      </c>
      <c r="AX51" s="217">
        <v>21.19</v>
      </c>
      <c r="AY51" s="22">
        <f t="shared" si="114"/>
        <v>28.5</v>
      </c>
      <c r="AZ51" s="7">
        <v>1.5</v>
      </c>
      <c r="BA51" s="7">
        <v>2</v>
      </c>
      <c r="BB51" s="25">
        <v>0.188</v>
      </c>
      <c r="BC51" s="7">
        <v>0.56000000000000005</v>
      </c>
      <c r="BD51" s="3" t="s">
        <v>519</v>
      </c>
      <c r="BE51" s="3">
        <v>15.81</v>
      </c>
      <c r="BF51" s="3">
        <v>1.25</v>
      </c>
      <c r="BG51" s="7">
        <v>28</v>
      </c>
      <c r="BH51" s="25">
        <v>9.7000000000000003E-2</v>
      </c>
      <c r="BI51" s="25">
        <v>7.0000000000000007E-2</v>
      </c>
      <c r="BJ51" s="180">
        <f t="shared" si="115"/>
        <v>14</v>
      </c>
      <c r="BK51" s="25">
        <v>32.5</v>
      </c>
      <c r="BL51" s="7">
        <v>15.19</v>
      </c>
      <c r="BM51" s="7">
        <f>23.13-BF51</f>
        <v>21.88</v>
      </c>
      <c r="BN51" s="7" t="s">
        <v>519</v>
      </c>
      <c r="BO51" s="7">
        <v>17.309999999999999</v>
      </c>
      <c r="BP51" s="7">
        <v>17.88</v>
      </c>
      <c r="BQ51" s="7">
        <v>18.559999999999999</v>
      </c>
      <c r="BR51" s="7">
        <v>15.38</v>
      </c>
      <c r="BS51" s="7">
        <v>4</v>
      </c>
      <c r="BT51" s="7">
        <v>0.38</v>
      </c>
      <c r="BU51" s="7">
        <v>0.5</v>
      </c>
      <c r="BV51" s="7">
        <v>0.19</v>
      </c>
      <c r="BW51" s="7">
        <v>0.25</v>
      </c>
      <c r="BX51" s="7">
        <v>10.63</v>
      </c>
      <c r="BY51" s="7">
        <v>0.88</v>
      </c>
      <c r="BZ51" s="7">
        <v>22.75</v>
      </c>
      <c r="CA51" s="7">
        <v>23.56</v>
      </c>
      <c r="CB51" s="7">
        <v>10.56</v>
      </c>
      <c r="CC51" s="897">
        <v>1.6875</v>
      </c>
      <c r="CD51" s="898">
        <v>2.1875</v>
      </c>
      <c r="CE51" s="7">
        <f t="shared" si="122"/>
        <v>2.5</v>
      </c>
      <c r="CF51" s="117">
        <f t="shared" ref="CF51:CF53" si="123">BA51+1.5</f>
        <v>3.5</v>
      </c>
      <c r="CG51" s="23"/>
      <c r="CH51" s="210" t="s">
        <v>1</v>
      </c>
      <c r="CI51" s="44">
        <v>21.31</v>
      </c>
      <c r="CJ51" s="22">
        <f t="shared" si="118"/>
        <v>28.630000000000003</v>
      </c>
      <c r="CK51" s="7">
        <v>2</v>
      </c>
      <c r="CL51" s="7">
        <v>2</v>
      </c>
      <c r="CM51" s="25">
        <v>0.25</v>
      </c>
      <c r="CN51" s="7">
        <v>0.56000000000000005</v>
      </c>
      <c r="CO51" s="7" t="s">
        <v>519</v>
      </c>
      <c r="CP51" s="7">
        <v>15.81</v>
      </c>
      <c r="CQ51" s="7">
        <v>1.25</v>
      </c>
      <c r="CR51" s="7">
        <v>29</v>
      </c>
      <c r="CS51" s="25">
        <v>0.126</v>
      </c>
      <c r="CT51" s="25">
        <v>0.126</v>
      </c>
      <c r="CU51" s="25">
        <f t="shared" si="119"/>
        <v>14.5</v>
      </c>
      <c r="CV51" s="25">
        <v>32.630000000000003</v>
      </c>
      <c r="CW51" s="7">
        <v>15.25</v>
      </c>
      <c r="CX51" s="7">
        <f>23.19-CQ51</f>
        <v>21.94</v>
      </c>
      <c r="CY51" s="7" t="s">
        <v>519</v>
      </c>
      <c r="CZ51" s="7">
        <v>17.38</v>
      </c>
      <c r="DA51" s="7">
        <v>19.13</v>
      </c>
      <c r="DB51" s="7">
        <v>15.44</v>
      </c>
      <c r="DC51" s="7">
        <v>5</v>
      </c>
      <c r="DD51" s="7">
        <v>0.63</v>
      </c>
      <c r="DE51" s="7">
        <v>0.31</v>
      </c>
      <c r="DF51" s="7">
        <v>10.63</v>
      </c>
      <c r="DG51" s="7">
        <v>0.88</v>
      </c>
      <c r="DH51" s="7">
        <v>25.25</v>
      </c>
      <c r="DI51" s="7">
        <v>10.56</v>
      </c>
      <c r="DJ51" s="897">
        <v>2.4375</v>
      </c>
      <c r="DK51" s="117">
        <f t="shared" si="121"/>
        <v>3.5</v>
      </c>
    </row>
    <row r="52" spans="2:115" ht="13.5" thickBot="1" x14ac:dyDescent="0.25">
      <c r="B52" s="943"/>
      <c r="C52" s="299" t="s">
        <v>798</v>
      </c>
      <c r="D52" s="302">
        <f t="shared" si="89"/>
        <v>22.2</v>
      </c>
      <c r="E52" s="402" t="s">
        <v>556</v>
      </c>
      <c r="F52" s="366" t="str">
        <f t="shared" si="90"/>
        <v>324T</v>
      </c>
      <c r="G52" s="408">
        <f t="shared" si="91"/>
        <v>23.56</v>
      </c>
      <c r="H52" s="304">
        <f t="shared" si="91"/>
        <v>31.625</v>
      </c>
      <c r="I52" s="10">
        <f t="shared" si="91"/>
        <v>2</v>
      </c>
      <c r="J52" s="42">
        <f t="shared" si="91"/>
        <v>2</v>
      </c>
      <c r="K52" s="386">
        <f t="shared" si="91"/>
        <v>0.25</v>
      </c>
      <c r="L52" s="10">
        <f t="shared" si="91"/>
        <v>0.56000000000000005</v>
      </c>
      <c r="M52" s="42">
        <v>0.5</v>
      </c>
      <c r="N52" s="42">
        <f t="shared" si="92"/>
        <v>17.690000000000001</v>
      </c>
      <c r="O52" s="42">
        <f t="shared" si="93"/>
        <v>17.559999999999999</v>
      </c>
      <c r="P52" s="42">
        <f t="shared" si="94"/>
        <v>5.9349999999999987</v>
      </c>
      <c r="Q52" s="42">
        <f t="shared" si="95"/>
        <v>1.25</v>
      </c>
      <c r="R52" s="10">
        <f t="shared" si="95"/>
        <v>31.25</v>
      </c>
      <c r="S52" s="10">
        <f t="shared" si="95"/>
        <v>9.7000000000000003E-2</v>
      </c>
      <c r="T52" s="10">
        <f t="shared" si="95"/>
        <v>7.0000000000000007E-2</v>
      </c>
      <c r="U52" s="166">
        <f t="shared" si="95"/>
        <v>15.625</v>
      </c>
      <c r="V52" s="57">
        <f t="shared" si="95"/>
        <v>35.625</v>
      </c>
      <c r="W52" s="10">
        <f t="shared" si="95"/>
        <v>16.809999999999999</v>
      </c>
      <c r="X52" s="10">
        <f t="shared" si="95"/>
        <v>24.25</v>
      </c>
      <c r="Y52" s="42">
        <f t="shared" si="96"/>
        <v>19.059999999999999</v>
      </c>
      <c r="Z52" s="42">
        <f t="shared" si="97"/>
        <v>20.63</v>
      </c>
      <c r="AA52" s="42">
        <f t="shared" si="98"/>
        <v>26.25</v>
      </c>
      <c r="AB52" s="42">
        <f t="shared" si="99"/>
        <v>11.75</v>
      </c>
      <c r="AC52" s="57">
        <f t="shared" si="100"/>
        <v>2.4375</v>
      </c>
      <c r="AD52" s="111">
        <f t="shared" si="101"/>
        <v>4.5</v>
      </c>
      <c r="AE52" s="10">
        <f t="shared" si="102"/>
        <v>0.63</v>
      </c>
      <c r="AF52" s="109">
        <f t="shared" si="103"/>
        <v>0.31</v>
      </c>
      <c r="AG52" s="111" t="s">
        <v>519</v>
      </c>
      <c r="AH52" s="42">
        <f t="shared" si="104"/>
        <v>16.940000000000001</v>
      </c>
      <c r="AI52" s="10">
        <f t="shared" si="105"/>
        <v>11.75</v>
      </c>
      <c r="AJ52" s="213">
        <f t="shared" si="105"/>
        <v>0.88</v>
      </c>
      <c r="AK52" s="404">
        <f t="shared" si="106"/>
        <v>3.875</v>
      </c>
      <c r="AL52" s="111">
        <f t="shared" si="107"/>
        <v>27.25</v>
      </c>
      <c r="AM52" s="10">
        <f t="shared" si="108"/>
        <v>17.315999999999999</v>
      </c>
      <c r="AN52" s="57">
        <f t="shared" si="109"/>
        <v>20.556250000000002</v>
      </c>
      <c r="AO52" s="158">
        <v>1.25</v>
      </c>
      <c r="AP52" s="111">
        <f t="shared" si="110"/>
        <v>3.5</v>
      </c>
      <c r="AQ52" s="42">
        <v>0.375</v>
      </c>
      <c r="AR52" s="57">
        <f t="shared" si="111"/>
        <v>3.65625</v>
      </c>
      <c r="AS52" s="213">
        <f t="shared" si="112"/>
        <v>3</v>
      </c>
      <c r="AT52" s="109">
        <f t="shared" si="113"/>
        <v>3.78125</v>
      </c>
      <c r="AU52" s="23"/>
      <c r="AV52" s="209" t="s">
        <v>1100</v>
      </c>
      <c r="AW52" s="323" t="s">
        <v>828</v>
      </c>
      <c r="AX52" s="307">
        <v>23.56</v>
      </c>
      <c r="AY52" s="358">
        <f t="shared" si="114"/>
        <v>31.625</v>
      </c>
      <c r="AZ52" s="16">
        <v>2</v>
      </c>
      <c r="BA52" s="16">
        <v>2</v>
      </c>
      <c r="BB52" s="92">
        <v>0.25</v>
      </c>
      <c r="BC52" s="16">
        <v>0.56000000000000005</v>
      </c>
      <c r="BD52" s="16" t="s">
        <v>519</v>
      </c>
      <c r="BE52" s="16">
        <v>17.690000000000001</v>
      </c>
      <c r="BF52" s="16">
        <v>1.25</v>
      </c>
      <c r="BG52" s="10">
        <v>31.25</v>
      </c>
      <c r="BH52" s="92">
        <v>9.7000000000000003E-2</v>
      </c>
      <c r="BI52" s="92">
        <v>7.0000000000000007E-2</v>
      </c>
      <c r="BJ52" s="166">
        <f t="shared" si="115"/>
        <v>15.625</v>
      </c>
      <c r="BK52" s="92">
        <v>35.625</v>
      </c>
      <c r="BL52" s="16">
        <v>16.809999999999999</v>
      </c>
      <c r="BM52" s="16">
        <f>25.5-BF52</f>
        <v>24.25</v>
      </c>
      <c r="BN52" s="16" t="s">
        <v>519</v>
      </c>
      <c r="BO52" s="16">
        <v>19.059999999999999</v>
      </c>
      <c r="BP52" s="16">
        <v>19.559999999999999</v>
      </c>
      <c r="BQ52" s="16">
        <v>20.63</v>
      </c>
      <c r="BR52" s="16">
        <v>16.940000000000001</v>
      </c>
      <c r="BS52" s="16">
        <v>4.5</v>
      </c>
      <c r="BT52" s="16">
        <v>0.5</v>
      </c>
      <c r="BU52" s="16">
        <v>0.63</v>
      </c>
      <c r="BV52" s="16">
        <v>0.25</v>
      </c>
      <c r="BW52" s="16">
        <v>0.31</v>
      </c>
      <c r="BX52" s="16">
        <v>11.75</v>
      </c>
      <c r="BY52" s="16">
        <v>0.88</v>
      </c>
      <c r="BZ52" s="16">
        <v>25.06</v>
      </c>
      <c r="CA52" s="16">
        <v>26.25</v>
      </c>
      <c r="CB52" s="16">
        <v>11.75</v>
      </c>
      <c r="CC52" s="899">
        <v>1.9375</v>
      </c>
      <c r="CD52" s="900">
        <v>2.4375</v>
      </c>
      <c r="CE52" s="10">
        <f>BA52+1</f>
        <v>3</v>
      </c>
      <c r="CF52" s="109">
        <f t="shared" si="123"/>
        <v>3.5</v>
      </c>
      <c r="CG52" s="23"/>
      <c r="CH52" s="209" t="s">
        <v>828</v>
      </c>
      <c r="CI52" s="42">
        <v>23.69</v>
      </c>
      <c r="CJ52" s="306">
        <f t="shared" si="118"/>
        <v>31.75</v>
      </c>
      <c r="CK52" s="10">
        <v>2.5</v>
      </c>
      <c r="CL52" s="10">
        <v>2.5</v>
      </c>
      <c r="CM52" s="57">
        <v>0.25</v>
      </c>
      <c r="CN52" s="10">
        <v>0.56000000000000005</v>
      </c>
      <c r="CO52" s="10" t="s">
        <v>519</v>
      </c>
      <c r="CP52" s="10">
        <v>17.690000000000001</v>
      </c>
      <c r="CQ52" s="10">
        <v>1.25</v>
      </c>
      <c r="CR52" s="10">
        <v>32.25</v>
      </c>
      <c r="CS52" s="57">
        <v>0.126</v>
      </c>
      <c r="CT52" s="57">
        <v>0.126</v>
      </c>
      <c r="CU52" s="57">
        <f t="shared" si="119"/>
        <v>16.125</v>
      </c>
      <c r="CV52" s="57">
        <v>36.75</v>
      </c>
      <c r="CW52" s="10">
        <v>16.88</v>
      </c>
      <c r="CX52" s="10">
        <f>26.06-CQ52</f>
        <v>24.81</v>
      </c>
      <c r="CY52" s="10" t="s">
        <v>519</v>
      </c>
      <c r="CZ52" s="10">
        <v>19.13</v>
      </c>
      <c r="DA52" s="10">
        <v>20.69</v>
      </c>
      <c r="DB52" s="10">
        <v>17.25</v>
      </c>
      <c r="DC52" s="10">
        <v>5</v>
      </c>
      <c r="DD52" s="10">
        <v>0.63</v>
      </c>
      <c r="DE52" s="10">
        <v>0.31</v>
      </c>
      <c r="DF52" s="10">
        <v>11.5</v>
      </c>
      <c r="DG52" s="10">
        <v>1.1299999999999999</v>
      </c>
      <c r="DH52" s="10">
        <v>26.81</v>
      </c>
      <c r="DI52" s="10">
        <v>11.75</v>
      </c>
      <c r="DJ52" s="914">
        <v>2.4375</v>
      </c>
      <c r="DK52" s="109">
        <f t="shared" ref="DK52:DK53" si="124">CL52+1</f>
        <v>3.5</v>
      </c>
    </row>
    <row r="53" spans="2:115" x14ac:dyDescent="0.2">
      <c r="B53" s="940" t="s">
        <v>2138</v>
      </c>
      <c r="C53" s="432" t="s">
        <v>1366</v>
      </c>
      <c r="D53" s="350">
        <f t="shared" si="89"/>
        <v>24.5</v>
      </c>
      <c r="E53" s="336" t="s">
        <v>1668</v>
      </c>
      <c r="F53" s="324" t="str">
        <f t="shared" si="90"/>
        <v>326T</v>
      </c>
      <c r="G53" s="379">
        <f t="shared" si="91"/>
        <v>25.94</v>
      </c>
      <c r="H53" s="308">
        <f t="shared" si="91"/>
        <v>34.875</v>
      </c>
      <c r="I53" s="11">
        <f t="shared" si="91"/>
        <v>2</v>
      </c>
      <c r="J53" s="38">
        <f t="shared" si="91"/>
        <v>2</v>
      </c>
      <c r="K53" s="372">
        <f t="shared" si="91"/>
        <v>0.25</v>
      </c>
      <c r="L53" s="11">
        <f t="shared" si="91"/>
        <v>0.56000000000000005</v>
      </c>
      <c r="M53" s="38">
        <v>0.5</v>
      </c>
      <c r="N53" s="38">
        <f t="shared" si="92"/>
        <v>19.5</v>
      </c>
      <c r="O53" s="38">
        <f t="shared" si="93"/>
        <v>19.5</v>
      </c>
      <c r="P53" s="38">
        <f t="shared" si="94"/>
        <v>6.75</v>
      </c>
      <c r="Q53" s="38">
        <f t="shared" si="95"/>
        <v>1.25</v>
      </c>
      <c r="R53" s="11">
        <f t="shared" si="95"/>
        <v>33.5</v>
      </c>
      <c r="S53" s="11">
        <f t="shared" si="95"/>
        <v>9.7000000000000003E-2</v>
      </c>
      <c r="T53" s="11">
        <f t="shared" si="95"/>
        <v>7.0000000000000007E-2</v>
      </c>
      <c r="U53" s="178">
        <f t="shared" si="95"/>
        <v>16.75</v>
      </c>
      <c r="V53" s="53">
        <f t="shared" si="95"/>
        <v>38.875</v>
      </c>
      <c r="W53" s="11">
        <f t="shared" si="95"/>
        <v>18.5</v>
      </c>
      <c r="X53" s="11">
        <f t="shared" si="95"/>
        <v>26.63</v>
      </c>
      <c r="Y53" s="38">
        <f t="shared" si="96"/>
        <v>21</v>
      </c>
      <c r="Z53" s="38">
        <f t="shared" si="97"/>
        <v>22.31</v>
      </c>
      <c r="AA53" s="38">
        <f t="shared" si="98"/>
        <v>28.44</v>
      </c>
      <c r="AB53" s="38">
        <f t="shared" si="99"/>
        <v>12.94</v>
      </c>
      <c r="AC53" s="53">
        <f t="shared" si="100"/>
        <v>2.4375</v>
      </c>
      <c r="AD53" s="115">
        <f t="shared" si="101"/>
        <v>5</v>
      </c>
      <c r="AE53" s="11">
        <f t="shared" si="102"/>
        <v>0.63</v>
      </c>
      <c r="AF53" s="129">
        <f t="shared" si="103"/>
        <v>0.31</v>
      </c>
      <c r="AG53" s="115" t="s">
        <v>519</v>
      </c>
      <c r="AH53" s="38">
        <f t="shared" si="104"/>
        <v>18.559999999999999</v>
      </c>
      <c r="AI53" s="11">
        <f t="shared" si="105"/>
        <v>12.88</v>
      </c>
      <c r="AJ53" s="163">
        <f t="shared" si="105"/>
        <v>0.88</v>
      </c>
      <c r="AK53" s="440">
        <f t="shared" si="106"/>
        <v>3.8699999999999992</v>
      </c>
      <c r="AL53" s="115">
        <f t="shared" si="107"/>
        <v>29.5</v>
      </c>
      <c r="AM53" s="11">
        <f t="shared" si="108"/>
        <v>19.11</v>
      </c>
      <c r="AN53" s="53">
        <f t="shared" si="109"/>
        <v>22.668749999999999</v>
      </c>
      <c r="AO53" s="163">
        <v>1.5</v>
      </c>
      <c r="AP53" s="115">
        <f t="shared" si="110"/>
        <v>3.5</v>
      </c>
      <c r="AQ53" s="38">
        <v>0.375</v>
      </c>
      <c r="AR53" s="53">
        <f t="shared" si="111"/>
        <v>3.65625</v>
      </c>
      <c r="AS53" s="163">
        <f t="shared" si="112"/>
        <v>3</v>
      </c>
      <c r="AT53" s="129">
        <f t="shared" si="113"/>
        <v>3.78125</v>
      </c>
      <c r="AU53" s="23"/>
      <c r="AV53" s="233" t="s">
        <v>958</v>
      </c>
      <c r="AW53" s="319" t="s">
        <v>1942</v>
      </c>
      <c r="AX53" s="317">
        <v>25.94</v>
      </c>
      <c r="AY53" s="55">
        <f t="shared" si="114"/>
        <v>34.875</v>
      </c>
      <c r="AZ53" s="9">
        <v>2</v>
      </c>
      <c r="BA53" s="9">
        <v>2</v>
      </c>
      <c r="BB53" s="55">
        <v>0.25</v>
      </c>
      <c r="BC53" s="9">
        <v>0.56000000000000005</v>
      </c>
      <c r="BD53" s="9" t="s">
        <v>519</v>
      </c>
      <c r="BE53" s="9">
        <v>19.5</v>
      </c>
      <c r="BF53" s="9">
        <v>1.25</v>
      </c>
      <c r="BG53" s="11">
        <v>33.5</v>
      </c>
      <c r="BH53" s="55">
        <v>9.7000000000000003E-2</v>
      </c>
      <c r="BI53" s="55">
        <v>7.0000000000000007E-2</v>
      </c>
      <c r="BJ53" s="178">
        <f t="shared" si="115"/>
        <v>16.75</v>
      </c>
      <c r="BK53" s="55">
        <v>38.875</v>
      </c>
      <c r="BL53" s="9">
        <v>18.5</v>
      </c>
      <c r="BM53" s="9">
        <f>27.88-BF53</f>
        <v>26.63</v>
      </c>
      <c r="BN53" s="9" t="s">
        <v>519</v>
      </c>
      <c r="BO53" s="9">
        <v>21</v>
      </c>
      <c r="BP53" s="9">
        <v>21.81</v>
      </c>
      <c r="BQ53" s="9">
        <v>22.31</v>
      </c>
      <c r="BR53" s="9">
        <v>18.559999999999999</v>
      </c>
      <c r="BS53" s="9">
        <v>5</v>
      </c>
      <c r="BT53" s="9">
        <v>0.5</v>
      </c>
      <c r="BU53" s="9">
        <v>0.63</v>
      </c>
      <c r="BV53" s="9">
        <v>0.25</v>
      </c>
      <c r="BW53" s="9">
        <v>0.31</v>
      </c>
      <c r="BX53" s="9">
        <v>12.88</v>
      </c>
      <c r="BY53" s="9">
        <v>0.88</v>
      </c>
      <c r="BZ53" s="9">
        <v>27.81</v>
      </c>
      <c r="CA53" s="9">
        <v>28.44</v>
      </c>
      <c r="CB53" s="9">
        <v>12.94</v>
      </c>
      <c r="CC53" s="901">
        <v>2.1875</v>
      </c>
      <c r="CD53" s="902">
        <v>2.4375</v>
      </c>
      <c r="CE53" s="11">
        <f t="shared" ref="CE53:CE54" si="125">BA53+1.5</f>
        <v>3.5</v>
      </c>
      <c r="CF53" s="129">
        <f t="shared" si="123"/>
        <v>3.5</v>
      </c>
      <c r="CG53" s="23"/>
      <c r="CH53" s="233" t="s">
        <v>1942</v>
      </c>
      <c r="CI53" s="38">
        <v>26.19</v>
      </c>
      <c r="CJ53" s="53">
        <f t="shared" si="118"/>
        <v>35</v>
      </c>
      <c r="CK53" s="11">
        <v>2.5</v>
      </c>
      <c r="CL53" s="11">
        <v>2.5</v>
      </c>
      <c r="CM53" s="53">
        <v>0.25</v>
      </c>
      <c r="CN53" s="11">
        <v>0.56000000000000005</v>
      </c>
      <c r="CO53" s="11" t="s">
        <v>519</v>
      </c>
      <c r="CP53" s="11">
        <v>19.5</v>
      </c>
      <c r="CQ53" s="11">
        <v>1.5</v>
      </c>
      <c r="CR53" s="11">
        <v>34.5</v>
      </c>
      <c r="CS53" s="53">
        <v>0.17499999999999999</v>
      </c>
      <c r="CT53" s="53">
        <v>0.17499999999999999</v>
      </c>
      <c r="CU53" s="53">
        <f t="shared" si="119"/>
        <v>17.25</v>
      </c>
      <c r="CV53" s="53">
        <v>40</v>
      </c>
      <c r="CW53" s="11">
        <v>18.63</v>
      </c>
      <c r="CX53" s="11">
        <f>28.5-CQ53</f>
        <v>27</v>
      </c>
      <c r="CY53" s="11" t="s">
        <v>519</v>
      </c>
      <c r="CZ53" s="11">
        <v>21.13</v>
      </c>
      <c r="DA53" s="11">
        <v>22.38</v>
      </c>
      <c r="DB53" s="11">
        <v>18.88</v>
      </c>
      <c r="DC53" s="11">
        <v>6</v>
      </c>
      <c r="DD53" s="11">
        <v>0.63</v>
      </c>
      <c r="DE53" s="11">
        <v>0.31</v>
      </c>
      <c r="DF53" s="11">
        <v>12.63</v>
      </c>
      <c r="DG53" s="11">
        <v>1.1299999999999999</v>
      </c>
      <c r="DH53" s="11">
        <v>29.5</v>
      </c>
      <c r="DI53" s="11">
        <v>12.94</v>
      </c>
      <c r="DJ53" s="915">
        <v>2.4375</v>
      </c>
      <c r="DK53" s="129">
        <f t="shared" si="124"/>
        <v>3.5</v>
      </c>
    </row>
    <row r="54" spans="2:115" x14ac:dyDescent="0.2">
      <c r="B54" s="942"/>
      <c r="C54" s="301" t="s">
        <v>799</v>
      </c>
      <c r="D54" s="393">
        <f t="shared" si="89"/>
        <v>27</v>
      </c>
      <c r="E54" s="342" t="s">
        <v>556</v>
      </c>
      <c r="F54" s="419" t="str">
        <f t="shared" si="90"/>
        <v>326T</v>
      </c>
      <c r="G54" s="412">
        <f t="shared" si="91"/>
        <v>28.63</v>
      </c>
      <c r="H54" s="426">
        <f t="shared" si="91"/>
        <v>38.25</v>
      </c>
      <c r="I54" s="9">
        <f t="shared" si="91"/>
        <v>2</v>
      </c>
      <c r="J54" s="54">
        <f t="shared" si="91"/>
        <v>2</v>
      </c>
      <c r="K54" s="398">
        <f t="shared" si="91"/>
        <v>0.25</v>
      </c>
      <c r="L54" s="9">
        <f t="shared" si="91"/>
        <v>0.56000000000000005</v>
      </c>
      <c r="M54" s="43">
        <v>0.5</v>
      </c>
      <c r="N54" s="54">
        <f t="shared" si="92"/>
        <v>21.44</v>
      </c>
      <c r="O54" s="54">
        <f t="shared" si="93"/>
        <v>21.69</v>
      </c>
      <c r="P54" s="54">
        <f t="shared" si="94"/>
        <v>7.6900000000000013</v>
      </c>
      <c r="Q54" s="54">
        <f t="shared" si="95"/>
        <v>1.5</v>
      </c>
      <c r="R54" s="9">
        <f t="shared" si="95"/>
        <v>36</v>
      </c>
      <c r="S54" s="9">
        <f t="shared" si="95"/>
        <v>9.7000000000000003E-2</v>
      </c>
      <c r="T54" s="9">
        <f t="shared" si="95"/>
        <v>7.0000000000000007E-2</v>
      </c>
      <c r="U54" s="236">
        <f t="shared" si="95"/>
        <v>18</v>
      </c>
      <c r="V54" s="55">
        <f t="shared" si="95"/>
        <v>42.25</v>
      </c>
      <c r="W54" s="9">
        <f t="shared" si="95"/>
        <v>20.440000000000001</v>
      </c>
      <c r="X54" s="5">
        <f t="shared" si="95"/>
        <v>29.06</v>
      </c>
      <c r="Y54" s="54">
        <f t="shared" si="96"/>
        <v>23.19</v>
      </c>
      <c r="Z54" s="54">
        <f t="shared" si="97"/>
        <v>24.31</v>
      </c>
      <c r="AA54" s="54">
        <f t="shared" si="98"/>
        <v>30.44</v>
      </c>
      <c r="AB54" s="54">
        <f t="shared" si="99"/>
        <v>14.25</v>
      </c>
      <c r="AC54" s="55">
        <f t="shared" si="100"/>
        <v>2.6875</v>
      </c>
      <c r="AD54" s="175">
        <f t="shared" si="101"/>
        <v>5</v>
      </c>
      <c r="AE54" s="9">
        <f t="shared" si="102"/>
        <v>0.63</v>
      </c>
      <c r="AF54" s="230">
        <f t="shared" si="103"/>
        <v>0.31</v>
      </c>
      <c r="AG54" s="121" t="s">
        <v>519</v>
      </c>
      <c r="AH54" s="54">
        <f t="shared" si="104"/>
        <v>20.25</v>
      </c>
      <c r="AI54" s="9">
        <f t="shared" si="105"/>
        <v>14.13</v>
      </c>
      <c r="AJ54" s="160">
        <f t="shared" si="105"/>
        <v>0.88</v>
      </c>
      <c r="AK54" s="352">
        <f t="shared" si="106"/>
        <v>3.8699999999999992</v>
      </c>
      <c r="AL54" s="175">
        <f t="shared" si="107"/>
        <v>32</v>
      </c>
      <c r="AM54" s="9">
        <f t="shared" si="108"/>
        <v>21.060000000000002</v>
      </c>
      <c r="AN54" s="55">
        <f t="shared" si="109"/>
        <v>24.862500000000001</v>
      </c>
      <c r="AO54" s="160">
        <v>1.5</v>
      </c>
      <c r="AP54" s="175">
        <f t="shared" si="110"/>
        <v>4</v>
      </c>
      <c r="AQ54" s="54">
        <v>0.5</v>
      </c>
      <c r="AR54" s="55">
        <f t="shared" si="111"/>
        <v>4.03125</v>
      </c>
      <c r="AS54" s="160">
        <f t="shared" si="112"/>
        <v>3.5</v>
      </c>
      <c r="AT54" s="230">
        <f t="shared" si="113"/>
        <v>4.15625</v>
      </c>
      <c r="AU54" s="15"/>
      <c r="AV54" s="219" t="s">
        <v>958</v>
      </c>
      <c r="AW54" s="357" t="s">
        <v>1942</v>
      </c>
      <c r="AX54" s="409">
        <v>28.63</v>
      </c>
      <c r="AY54" s="55">
        <f t="shared" si="114"/>
        <v>38.25</v>
      </c>
      <c r="AZ54" s="5">
        <v>2</v>
      </c>
      <c r="BA54" s="5">
        <v>2</v>
      </c>
      <c r="BB54" s="32">
        <v>0.25</v>
      </c>
      <c r="BC54" s="5">
        <v>0.56000000000000005</v>
      </c>
      <c r="BD54" s="5" t="s">
        <v>519</v>
      </c>
      <c r="BE54" s="9">
        <v>21.44</v>
      </c>
      <c r="BF54" s="9">
        <v>1.5</v>
      </c>
      <c r="BG54" s="9">
        <v>36</v>
      </c>
      <c r="BH54" s="32">
        <v>9.7000000000000003E-2</v>
      </c>
      <c r="BI54" s="32">
        <v>7.0000000000000007E-2</v>
      </c>
      <c r="BJ54" s="236">
        <f t="shared" si="115"/>
        <v>18</v>
      </c>
      <c r="BK54" s="32">
        <v>42.25</v>
      </c>
      <c r="BL54" s="5">
        <v>20.440000000000001</v>
      </c>
      <c r="BM54" s="5">
        <f>30.56-BF54</f>
        <v>29.06</v>
      </c>
      <c r="BN54" s="5" t="s">
        <v>519</v>
      </c>
      <c r="BO54" s="5">
        <v>23.19</v>
      </c>
      <c r="BP54" s="5">
        <v>23.5</v>
      </c>
      <c r="BQ54" s="5">
        <v>24.31</v>
      </c>
      <c r="BR54" s="5">
        <v>20.25</v>
      </c>
      <c r="BS54" s="5">
        <v>5</v>
      </c>
      <c r="BT54" s="5">
        <v>0.5</v>
      </c>
      <c r="BU54" s="5">
        <v>0.63</v>
      </c>
      <c r="BV54" s="5">
        <v>0.25</v>
      </c>
      <c r="BW54" s="5">
        <v>0.31</v>
      </c>
      <c r="BX54" s="5">
        <v>14.13</v>
      </c>
      <c r="BY54" s="5">
        <v>0.88</v>
      </c>
      <c r="BZ54" s="5">
        <v>29.5</v>
      </c>
      <c r="CA54" s="5">
        <v>30.44</v>
      </c>
      <c r="CB54" s="5">
        <v>14.25</v>
      </c>
      <c r="CC54" s="903">
        <v>2.1875</v>
      </c>
      <c r="CD54" s="904">
        <v>2.6875</v>
      </c>
      <c r="CE54" s="5">
        <f t="shared" si="125"/>
        <v>3.5</v>
      </c>
      <c r="CF54" s="132">
        <f>BA54+2</f>
        <v>4</v>
      </c>
      <c r="CG54" s="23"/>
      <c r="CH54" s="219" t="s">
        <v>1942</v>
      </c>
      <c r="CI54" s="43">
        <v>28.88</v>
      </c>
      <c r="CJ54" s="55">
        <f t="shared" si="118"/>
        <v>38.5</v>
      </c>
      <c r="CK54" s="5">
        <v>2.5</v>
      </c>
      <c r="CL54" s="5">
        <v>2.5</v>
      </c>
      <c r="CM54" s="32">
        <v>0.25</v>
      </c>
      <c r="CN54" s="5">
        <v>0.56000000000000005</v>
      </c>
      <c r="CO54" s="5" t="s">
        <v>519</v>
      </c>
      <c r="CP54" s="5">
        <v>21.44</v>
      </c>
      <c r="CQ54" s="5">
        <v>1.5</v>
      </c>
      <c r="CR54" s="5">
        <v>37</v>
      </c>
      <c r="CS54" s="32">
        <v>0.17499999999999999</v>
      </c>
      <c r="CT54" s="32">
        <v>0.17499999999999999</v>
      </c>
      <c r="CU54" s="32">
        <f t="shared" si="119"/>
        <v>18.5</v>
      </c>
      <c r="CV54" s="32">
        <v>43.5</v>
      </c>
      <c r="CW54" s="5">
        <v>20.56</v>
      </c>
      <c r="CX54" s="5">
        <f>31.19-CQ54</f>
        <v>29.69</v>
      </c>
      <c r="CY54" s="5" t="s">
        <v>519</v>
      </c>
      <c r="CZ54" s="5">
        <v>23.31</v>
      </c>
      <c r="DA54" s="5">
        <v>24.44</v>
      </c>
      <c r="DB54" s="5">
        <v>20.63</v>
      </c>
      <c r="DC54" s="5">
        <v>6</v>
      </c>
      <c r="DD54" s="5">
        <v>0.63</v>
      </c>
      <c r="DE54" s="5">
        <v>0.31</v>
      </c>
      <c r="DF54" s="5">
        <v>13.88</v>
      </c>
      <c r="DG54" s="5">
        <v>1.1299999999999999</v>
      </c>
      <c r="DH54" s="5">
        <v>31.56</v>
      </c>
      <c r="DI54" s="5">
        <v>14.25</v>
      </c>
      <c r="DJ54" s="903">
        <v>2.6875</v>
      </c>
      <c r="DK54" s="132">
        <f>CL54+1.5</f>
        <v>4</v>
      </c>
    </row>
    <row r="55" spans="2:115" x14ac:dyDescent="0.2">
      <c r="B55" s="942"/>
      <c r="C55" s="431" t="s">
        <v>1639</v>
      </c>
      <c r="D55" s="390">
        <f t="shared" si="89"/>
        <v>30</v>
      </c>
      <c r="E55" s="342" t="s">
        <v>1668</v>
      </c>
      <c r="F55" s="419" t="str">
        <f t="shared" si="90"/>
        <v>364T</v>
      </c>
      <c r="G55" s="337">
        <f t="shared" si="91"/>
        <v>31.81</v>
      </c>
      <c r="H55" s="363">
        <f t="shared" si="91"/>
        <v>42.75</v>
      </c>
      <c r="I55" s="5">
        <f t="shared" si="91"/>
        <v>2.5</v>
      </c>
      <c r="J55" s="43">
        <f t="shared" si="91"/>
        <v>2.5</v>
      </c>
      <c r="K55" s="311">
        <f t="shared" si="91"/>
        <v>0.25</v>
      </c>
      <c r="L55" s="5">
        <f t="shared" si="91"/>
        <v>0.56000000000000005</v>
      </c>
      <c r="M55" s="43">
        <v>0.5</v>
      </c>
      <c r="N55" s="43">
        <f t="shared" si="92"/>
        <v>23.81</v>
      </c>
      <c r="O55" s="43">
        <f t="shared" si="93"/>
        <v>24.25</v>
      </c>
      <c r="P55" s="43">
        <f t="shared" si="94"/>
        <v>8.75</v>
      </c>
      <c r="Q55" s="43">
        <f t="shared" si="95"/>
        <v>1.5</v>
      </c>
      <c r="R55" s="5">
        <f t="shared" si="95"/>
        <v>41</v>
      </c>
      <c r="S55" s="5">
        <f t="shared" si="95"/>
        <v>0.126</v>
      </c>
      <c r="T55" s="5">
        <f t="shared" si="95"/>
        <v>9.7000000000000003E-2</v>
      </c>
      <c r="U55" s="155">
        <f t="shared" si="95"/>
        <v>20.5</v>
      </c>
      <c r="V55" s="32">
        <f t="shared" si="95"/>
        <v>47.75</v>
      </c>
      <c r="W55" s="5">
        <f t="shared" si="95"/>
        <v>22.75</v>
      </c>
      <c r="X55" s="5">
        <f t="shared" si="95"/>
        <v>32.75</v>
      </c>
      <c r="Y55" s="43">
        <f t="shared" si="96"/>
        <v>25.75</v>
      </c>
      <c r="Z55" s="43">
        <f t="shared" si="97"/>
        <v>26.25</v>
      </c>
      <c r="AA55" s="43">
        <f t="shared" si="98"/>
        <v>32.880000000000003</v>
      </c>
      <c r="AB55" s="43">
        <f t="shared" si="99"/>
        <v>15.81</v>
      </c>
      <c r="AC55" s="32">
        <f t="shared" si="100"/>
        <v>2.4375</v>
      </c>
      <c r="AD55" s="121">
        <f t="shared" si="101"/>
        <v>5.5</v>
      </c>
      <c r="AE55" s="5">
        <f t="shared" si="102"/>
        <v>0.63</v>
      </c>
      <c r="AF55" s="132">
        <f t="shared" si="103"/>
        <v>0.31</v>
      </c>
      <c r="AG55" s="121" t="s">
        <v>519</v>
      </c>
      <c r="AH55" s="43">
        <f t="shared" si="104"/>
        <v>22.75</v>
      </c>
      <c r="AI55" s="5">
        <f t="shared" si="105"/>
        <v>15.88</v>
      </c>
      <c r="AJ55" s="170">
        <f t="shared" si="105"/>
        <v>1.1299999999999999</v>
      </c>
      <c r="AK55" s="333">
        <f t="shared" si="106"/>
        <v>4.6199999999999992</v>
      </c>
      <c r="AL55" s="121">
        <f t="shared" si="107"/>
        <v>36</v>
      </c>
      <c r="AM55" s="5">
        <f t="shared" si="108"/>
        <v>23.400000000000002</v>
      </c>
      <c r="AN55" s="32">
        <f t="shared" si="109"/>
        <v>27.787500000000001</v>
      </c>
      <c r="AO55" s="170">
        <v>1.5</v>
      </c>
      <c r="AP55" s="121">
        <f t="shared" si="110"/>
        <v>3.5</v>
      </c>
      <c r="AQ55" s="43">
        <v>0.375</v>
      </c>
      <c r="AR55" s="32">
        <f t="shared" si="111"/>
        <v>3.65625</v>
      </c>
      <c r="AS55" s="170">
        <f t="shared" si="112"/>
        <v>3</v>
      </c>
      <c r="AT55" s="132">
        <f t="shared" si="113"/>
        <v>3.78125</v>
      </c>
      <c r="AU55" s="15"/>
      <c r="AV55" s="219" t="s">
        <v>1</v>
      </c>
      <c r="AW55" s="357" t="s">
        <v>827</v>
      </c>
      <c r="AX55" s="409">
        <v>31.81</v>
      </c>
      <c r="AY55" s="55">
        <f t="shared" si="114"/>
        <v>42.75</v>
      </c>
      <c r="AZ55" s="5">
        <v>2.5</v>
      </c>
      <c r="BA55" s="5">
        <v>2.5</v>
      </c>
      <c r="BB55" s="32">
        <v>0.25</v>
      </c>
      <c r="BC55" s="5">
        <v>0.56000000000000005</v>
      </c>
      <c r="BD55" s="5" t="s">
        <v>519</v>
      </c>
      <c r="BE55" s="5">
        <v>23.81</v>
      </c>
      <c r="BF55" s="5">
        <v>1.5</v>
      </c>
      <c r="BG55" s="5">
        <v>41</v>
      </c>
      <c r="BH55" s="32">
        <v>0.126</v>
      </c>
      <c r="BI55" s="32">
        <v>9.7000000000000003E-2</v>
      </c>
      <c r="BJ55" s="155">
        <f t="shared" si="115"/>
        <v>20.5</v>
      </c>
      <c r="BK55" s="32">
        <v>47.75</v>
      </c>
      <c r="BL55" s="5">
        <v>22.75</v>
      </c>
      <c r="BM55" s="5">
        <f>34.25-BF55</f>
        <v>32.75</v>
      </c>
      <c r="BN55" s="5" t="s">
        <v>519</v>
      </c>
      <c r="BO55" s="5">
        <v>25.75</v>
      </c>
      <c r="BP55" s="5">
        <v>26.25</v>
      </c>
      <c r="BQ55" s="5">
        <v>26.25</v>
      </c>
      <c r="BR55" s="5">
        <v>22.75</v>
      </c>
      <c r="BS55" s="5">
        <v>5.5</v>
      </c>
      <c r="BT55" s="5">
        <v>0.63</v>
      </c>
      <c r="BU55" s="5">
        <v>0.63</v>
      </c>
      <c r="BV55" s="5">
        <v>0.31</v>
      </c>
      <c r="BW55" s="5">
        <v>0.31</v>
      </c>
      <c r="BX55" s="5">
        <v>15.88</v>
      </c>
      <c r="BY55" s="5">
        <v>1.1299999999999999</v>
      </c>
      <c r="BZ55" s="5">
        <v>32.880000000000003</v>
      </c>
      <c r="CA55" s="5">
        <v>32.880000000000003</v>
      </c>
      <c r="CB55" s="5">
        <v>15.81</v>
      </c>
      <c r="CC55" s="903">
        <v>2.4375</v>
      </c>
      <c r="CD55" s="904">
        <v>2.4375</v>
      </c>
      <c r="CE55" s="5">
        <f t="shared" ref="CE55:CE56" si="126">BA55+1</f>
        <v>3.5</v>
      </c>
      <c r="CF55" s="132">
        <f>BA55+1</f>
        <v>3.5</v>
      </c>
      <c r="CG55" s="23"/>
      <c r="CH55" s="219" t="s">
        <v>827</v>
      </c>
      <c r="CI55" s="43">
        <v>32</v>
      </c>
      <c r="CJ55" s="55">
        <f t="shared" si="118"/>
        <v>42.88</v>
      </c>
      <c r="CK55" s="5">
        <v>3</v>
      </c>
      <c r="CL55" s="5">
        <v>3</v>
      </c>
      <c r="CM55" s="32">
        <v>0.313</v>
      </c>
      <c r="CN55" s="5">
        <v>0.81</v>
      </c>
      <c r="CO55" s="5" t="s">
        <v>519</v>
      </c>
      <c r="CP55" s="5">
        <v>23.81</v>
      </c>
      <c r="CQ55" s="5">
        <v>1.5</v>
      </c>
      <c r="CR55" s="5">
        <v>42</v>
      </c>
      <c r="CS55" s="32">
        <v>0.17499999999999999</v>
      </c>
      <c r="CT55" s="32">
        <v>0.17499999999999999</v>
      </c>
      <c r="CU55" s="32">
        <f t="shared" si="119"/>
        <v>21</v>
      </c>
      <c r="CV55" s="32">
        <v>48.88</v>
      </c>
      <c r="CW55" s="5">
        <v>22.81</v>
      </c>
      <c r="CX55" s="5">
        <f>34.81-CQ55</f>
        <v>33.31</v>
      </c>
      <c r="CY55" s="5" t="s">
        <v>519</v>
      </c>
      <c r="CZ55" s="5">
        <v>25.81</v>
      </c>
      <c r="DA55" s="5">
        <v>26.63</v>
      </c>
      <c r="DB55" s="5">
        <v>23.06</v>
      </c>
      <c r="DC55" s="5">
        <v>7</v>
      </c>
      <c r="DD55" s="5">
        <v>0.63</v>
      </c>
      <c r="DE55" s="5">
        <v>0.31</v>
      </c>
      <c r="DF55" s="5">
        <v>15.63</v>
      </c>
      <c r="DG55" s="5">
        <v>1.38</v>
      </c>
      <c r="DH55" s="5">
        <v>34.75</v>
      </c>
      <c r="DI55" s="5">
        <v>15.81</v>
      </c>
      <c r="DJ55" s="903">
        <v>2.6875</v>
      </c>
      <c r="DK55" s="132">
        <f t="shared" ref="DK55:DK56" si="127">CL55+1</f>
        <v>4</v>
      </c>
    </row>
    <row r="56" spans="2:115" x14ac:dyDescent="0.2">
      <c r="B56" s="942"/>
      <c r="C56" s="431" t="s">
        <v>522</v>
      </c>
      <c r="D56" s="390">
        <f t="shared" si="89"/>
        <v>33</v>
      </c>
      <c r="E56" s="342" t="s">
        <v>1668</v>
      </c>
      <c r="F56" s="419" t="str">
        <f t="shared" si="90"/>
        <v>365T</v>
      </c>
      <c r="G56" s="337">
        <f t="shared" si="91"/>
        <v>35.130000000000003</v>
      </c>
      <c r="H56" s="363">
        <f t="shared" si="91"/>
        <v>46.75</v>
      </c>
      <c r="I56" s="5">
        <f t="shared" si="91"/>
        <v>2.5</v>
      </c>
      <c r="J56" s="43">
        <f t="shared" si="91"/>
        <v>2.5</v>
      </c>
      <c r="K56" s="311">
        <f t="shared" si="91"/>
        <v>0.25</v>
      </c>
      <c r="L56" s="5">
        <f t="shared" si="91"/>
        <v>0.56000000000000005</v>
      </c>
      <c r="M56" s="43">
        <v>0.5</v>
      </c>
      <c r="N56" s="43">
        <f t="shared" si="92"/>
        <v>26.25</v>
      </c>
      <c r="O56" s="43">
        <f t="shared" si="93"/>
        <v>26.88</v>
      </c>
      <c r="P56" s="43">
        <f t="shared" si="94"/>
        <v>9.879999999999999</v>
      </c>
      <c r="Q56" s="43">
        <f t="shared" si="95"/>
        <v>1.5</v>
      </c>
      <c r="R56" s="5">
        <f t="shared" si="95"/>
        <v>44</v>
      </c>
      <c r="S56" s="5">
        <f t="shared" si="95"/>
        <v>0.126</v>
      </c>
      <c r="T56" s="5">
        <f t="shared" si="95"/>
        <v>9.7000000000000003E-2</v>
      </c>
      <c r="U56" s="155">
        <f t="shared" si="95"/>
        <v>22</v>
      </c>
      <c r="V56" s="32">
        <f t="shared" si="95"/>
        <v>51.75</v>
      </c>
      <c r="W56" s="5">
        <f t="shared" si="95"/>
        <v>25</v>
      </c>
      <c r="X56" s="5">
        <f t="shared" si="95"/>
        <v>36.06</v>
      </c>
      <c r="Y56" s="43">
        <f t="shared" si="96"/>
        <v>28.38</v>
      </c>
      <c r="Z56" s="43">
        <f t="shared" si="97"/>
        <v>28.25</v>
      </c>
      <c r="AA56" s="43">
        <f t="shared" si="98"/>
        <v>34.880000000000003</v>
      </c>
      <c r="AB56" s="43">
        <f t="shared" si="99"/>
        <v>17.5</v>
      </c>
      <c r="AC56" s="32">
        <f t="shared" si="100"/>
        <v>2.4375</v>
      </c>
      <c r="AD56" s="121">
        <f t="shared" si="101"/>
        <v>5.5</v>
      </c>
      <c r="AE56" s="5">
        <f t="shared" si="102"/>
        <v>0.63</v>
      </c>
      <c r="AF56" s="132">
        <f t="shared" si="103"/>
        <v>0.31</v>
      </c>
      <c r="AG56" s="121" t="s">
        <v>519</v>
      </c>
      <c r="AH56" s="43">
        <f t="shared" si="104"/>
        <v>24.75</v>
      </c>
      <c r="AI56" s="5">
        <f t="shared" si="105"/>
        <v>17.38</v>
      </c>
      <c r="AJ56" s="170">
        <f t="shared" si="105"/>
        <v>1.1299999999999999</v>
      </c>
      <c r="AK56" s="333">
        <f t="shared" si="106"/>
        <v>4.620000000000001</v>
      </c>
      <c r="AL56" s="121">
        <f t="shared" si="107"/>
        <v>39</v>
      </c>
      <c r="AM56" s="5">
        <f t="shared" si="108"/>
        <v>25.740000000000002</v>
      </c>
      <c r="AN56" s="32">
        <f t="shared" si="109"/>
        <v>30.387499999999999</v>
      </c>
      <c r="AO56" s="170">
        <v>1.5</v>
      </c>
      <c r="AP56" s="121">
        <f t="shared" si="110"/>
        <v>4</v>
      </c>
      <c r="AQ56" s="43">
        <v>0.5</v>
      </c>
      <c r="AR56" s="32">
        <f t="shared" si="111"/>
        <v>3.65625</v>
      </c>
      <c r="AS56" s="170">
        <f t="shared" si="112"/>
        <v>3.5</v>
      </c>
      <c r="AT56" s="132">
        <f t="shared" si="113"/>
        <v>3.78125</v>
      </c>
      <c r="AU56" s="15"/>
      <c r="AV56" s="219" t="s">
        <v>828</v>
      </c>
      <c r="AW56" s="357" t="s">
        <v>296</v>
      </c>
      <c r="AX56" s="409">
        <v>35.130000000000003</v>
      </c>
      <c r="AY56" s="55">
        <f t="shared" si="114"/>
        <v>46.75</v>
      </c>
      <c r="AZ56" s="5">
        <v>2.5</v>
      </c>
      <c r="BA56" s="5">
        <v>2.5</v>
      </c>
      <c r="BB56" s="32">
        <v>0.25</v>
      </c>
      <c r="BC56" s="5">
        <v>0.56000000000000005</v>
      </c>
      <c r="BD56" s="5" t="s">
        <v>519</v>
      </c>
      <c r="BE56" s="5">
        <v>26.25</v>
      </c>
      <c r="BF56" s="5">
        <v>1.5</v>
      </c>
      <c r="BG56" s="5">
        <v>44</v>
      </c>
      <c r="BH56" s="32">
        <v>0.126</v>
      </c>
      <c r="BI56" s="32">
        <v>9.7000000000000003E-2</v>
      </c>
      <c r="BJ56" s="155">
        <f t="shared" si="115"/>
        <v>22</v>
      </c>
      <c r="BK56" s="32">
        <v>51.75</v>
      </c>
      <c r="BL56" s="5">
        <v>25</v>
      </c>
      <c r="BM56" s="5">
        <f>37.56-BF56</f>
        <v>36.06</v>
      </c>
      <c r="BN56" s="5" t="s">
        <v>519</v>
      </c>
      <c r="BO56" s="5">
        <v>28.38</v>
      </c>
      <c r="BP56" s="5">
        <v>28.25</v>
      </c>
      <c r="BQ56" s="5">
        <v>28.25</v>
      </c>
      <c r="BR56" s="5">
        <v>24.75</v>
      </c>
      <c r="BS56" s="5">
        <v>5.5</v>
      </c>
      <c r="BT56" s="5">
        <v>0.63</v>
      </c>
      <c r="BU56" s="5">
        <v>0.63</v>
      </c>
      <c r="BV56" s="5">
        <v>0.31</v>
      </c>
      <c r="BW56" s="5">
        <v>0.31</v>
      </c>
      <c r="BX56" s="5">
        <v>17.38</v>
      </c>
      <c r="BY56" s="5">
        <v>1.1299999999999999</v>
      </c>
      <c r="BZ56" s="5">
        <v>34.880000000000003</v>
      </c>
      <c r="CA56" s="5">
        <v>34.880000000000003</v>
      </c>
      <c r="CB56" s="5">
        <v>17.5</v>
      </c>
      <c r="CC56" s="903">
        <v>2.4375</v>
      </c>
      <c r="CD56" s="904">
        <v>2.4375</v>
      </c>
      <c r="CE56" s="5">
        <f t="shared" si="126"/>
        <v>3.5</v>
      </c>
      <c r="CF56" s="132">
        <f t="shared" ref="CF56:CF57" si="128">BA56+1.5</f>
        <v>4</v>
      </c>
      <c r="CG56" s="23"/>
      <c r="CH56" s="219" t="s">
        <v>296</v>
      </c>
      <c r="CI56" s="43">
        <v>35.31</v>
      </c>
      <c r="CJ56" s="55">
        <f t="shared" si="118"/>
        <v>46.88</v>
      </c>
      <c r="CK56" s="5">
        <v>3</v>
      </c>
      <c r="CL56" s="5">
        <v>3</v>
      </c>
      <c r="CM56" s="32">
        <v>0.313</v>
      </c>
      <c r="CN56" s="5">
        <v>0.81</v>
      </c>
      <c r="CO56" s="5" t="s">
        <v>519</v>
      </c>
      <c r="CP56" s="5">
        <v>26.25</v>
      </c>
      <c r="CQ56" s="5">
        <v>1.5</v>
      </c>
      <c r="CR56" s="5">
        <v>45</v>
      </c>
      <c r="CS56" s="32">
        <v>0.17499999999999999</v>
      </c>
      <c r="CT56" s="32">
        <v>0.17499999999999999</v>
      </c>
      <c r="CU56" s="32">
        <f t="shared" si="119"/>
        <v>22.5</v>
      </c>
      <c r="CV56" s="32">
        <v>52.88</v>
      </c>
      <c r="CW56" s="5">
        <v>25.06</v>
      </c>
      <c r="CX56" s="5">
        <f>38.13-CQ56</f>
        <v>36.630000000000003</v>
      </c>
      <c r="CY56" s="5" t="s">
        <v>519</v>
      </c>
      <c r="CZ56" s="5">
        <v>28.44</v>
      </c>
      <c r="DA56" s="5">
        <v>28.44</v>
      </c>
      <c r="DB56" s="5">
        <v>25.06</v>
      </c>
      <c r="DC56" s="5">
        <v>7</v>
      </c>
      <c r="DD56" s="5">
        <v>0.75</v>
      </c>
      <c r="DE56" s="5">
        <v>0.38</v>
      </c>
      <c r="DF56" s="5">
        <v>17.13</v>
      </c>
      <c r="DG56" s="5">
        <v>1.38</v>
      </c>
      <c r="DH56" s="5">
        <v>36.69</v>
      </c>
      <c r="DI56" s="5">
        <v>17.5</v>
      </c>
      <c r="DJ56" s="903">
        <v>2.9375</v>
      </c>
      <c r="DK56" s="132">
        <f t="shared" si="127"/>
        <v>4</v>
      </c>
    </row>
    <row r="57" spans="2:115" ht="13.5" thickBot="1" x14ac:dyDescent="0.25">
      <c r="B57" s="944"/>
      <c r="C57" s="340" t="s">
        <v>1213</v>
      </c>
      <c r="D57" s="370">
        <f t="shared" si="89"/>
        <v>36.5</v>
      </c>
      <c r="E57" s="389" t="s">
        <v>1668</v>
      </c>
      <c r="F57" s="378" t="str">
        <f t="shared" si="90"/>
        <v>404T</v>
      </c>
      <c r="G57" s="327">
        <f t="shared" si="91"/>
        <v>38.69</v>
      </c>
      <c r="H57" s="329">
        <f t="shared" si="91"/>
        <v>51.875</v>
      </c>
      <c r="I57" s="2">
        <f t="shared" si="91"/>
        <v>2.5</v>
      </c>
      <c r="J57" s="39">
        <f t="shared" si="91"/>
        <v>2.5</v>
      </c>
      <c r="K57" s="292">
        <f t="shared" si="91"/>
        <v>0.25</v>
      </c>
      <c r="L57" s="2">
        <f t="shared" si="91"/>
        <v>0.56000000000000005</v>
      </c>
      <c r="M57" s="39">
        <v>0.5</v>
      </c>
      <c r="N57" s="39">
        <f t="shared" si="92"/>
        <v>29</v>
      </c>
      <c r="O57" s="39">
        <f t="shared" si="93"/>
        <v>30</v>
      </c>
      <c r="P57" s="39">
        <f t="shared" si="94"/>
        <v>11</v>
      </c>
      <c r="Q57" s="39">
        <f t="shared" si="95"/>
        <v>1.5</v>
      </c>
      <c r="R57" s="2">
        <f t="shared" si="95"/>
        <v>48</v>
      </c>
      <c r="S57" s="2">
        <f t="shared" si="95"/>
        <v>0.126</v>
      </c>
      <c r="T57" s="2">
        <f t="shared" si="95"/>
        <v>9.7000000000000003E-2</v>
      </c>
      <c r="U57" s="162">
        <f t="shared" si="95"/>
        <v>24</v>
      </c>
      <c r="V57" s="30">
        <f t="shared" si="95"/>
        <v>56.875</v>
      </c>
      <c r="W57" s="2">
        <f t="shared" si="95"/>
        <v>27.75</v>
      </c>
      <c r="X57" s="2">
        <f t="shared" si="95"/>
        <v>39.630000000000003</v>
      </c>
      <c r="Y57" s="39">
        <f t="shared" si="96"/>
        <v>31.5</v>
      </c>
      <c r="Z57" s="39">
        <f t="shared" si="97"/>
        <v>31.13</v>
      </c>
      <c r="AA57" s="39">
        <f t="shared" si="98"/>
        <v>37.75</v>
      </c>
      <c r="AB57" s="39">
        <f t="shared" si="99"/>
        <v>19.25</v>
      </c>
      <c r="AC57" s="30">
        <f t="shared" si="100"/>
        <v>2.6875</v>
      </c>
      <c r="AD57" s="131">
        <f t="shared" si="101"/>
        <v>5.5</v>
      </c>
      <c r="AE57" s="2">
        <f t="shared" si="102"/>
        <v>0.63</v>
      </c>
      <c r="AF57" s="126">
        <f t="shared" si="103"/>
        <v>0.31</v>
      </c>
      <c r="AG57" s="131" t="s">
        <v>519</v>
      </c>
      <c r="AH57" s="39">
        <f t="shared" si="104"/>
        <v>27.31</v>
      </c>
      <c r="AI57" s="2">
        <f t="shared" si="105"/>
        <v>18.88</v>
      </c>
      <c r="AJ57" s="174">
        <f t="shared" si="105"/>
        <v>1.1299999999999999</v>
      </c>
      <c r="AK57" s="349">
        <f t="shared" si="106"/>
        <v>5.120000000000001</v>
      </c>
      <c r="AL57" s="131">
        <f t="shared" si="107"/>
        <v>43</v>
      </c>
      <c r="AM57" s="2">
        <f t="shared" si="108"/>
        <v>28.470000000000002</v>
      </c>
      <c r="AN57" s="30">
        <f t="shared" si="109"/>
        <v>33.71875</v>
      </c>
      <c r="AO57" s="174">
        <v>1.5</v>
      </c>
      <c r="AP57" s="131">
        <f t="shared" si="110"/>
        <v>4</v>
      </c>
      <c r="AQ57" s="39">
        <v>0.5</v>
      </c>
      <c r="AR57" s="30">
        <f t="shared" si="111"/>
        <v>4.03125</v>
      </c>
      <c r="AS57" s="174">
        <f t="shared" si="112"/>
        <v>3.5</v>
      </c>
      <c r="AT57" s="126">
        <f t="shared" si="113"/>
        <v>4.15625</v>
      </c>
      <c r="AU57" s="15"/>
      <c r="AV57" s="232" t="s">
        <v>828</v>
      </c>
      <c r="AW57" s="360" t="s">
        <v>692</v>
      </c>
      <c r="AX57" s="295">
        <v>38.69</v>
      </c>
      <c r="AY57" s="227">
        <f t="shared" si="114"/>
        <v>51.875</v>
      </c>
      <c r="AZ57" s="2">
        <v>2.5</v>
      </c>
      <c r="BA57" s="2">
        <v>2.5</v>
      </c>
      <c r="BB57" s="30">
        <v>0.25</v>
      </c>
      <c r="BC57" s="2">
        <v>0.56000000000000005</v>
      </c>
      <c r="BD57" s="2" t="s">
        <v>519</v>
      </c>
      <c r="BE57" s="2">
        <v>29</v>
      </c>
      <c r="BF57" s="2">
        <v>1.5</v>
      </c>
      <c r="BG57" s="2">
        <v>48</v>
      </c>
      <c r="BH57" s="30">
        <v>0.126</v>
      </c>
      <c r="BI57" s="30">
        <v>9.7000000000000003E-2</v>
      </c>
      <c r="BJ57" s="162">
        <f t="shared" si="115"/>
        <v>24</v>
      </c>
      <c r="BK57" s="30">
        <v>56.875</v>
      </c>
      <c r="BL57" s="2">
        <v>27.75</v>
      </c>
      <c r="BM57" s="2">
        <f>41.13-BF57</f>
        <v>39.630000000000003</v>
      </c>
      <c r="BN57" s="2" t="s">
        <v>519</v>
      </c>
      <c r="BO57" s="2">
        <v>31.5</v>
      </c>
      <c r="BP57" s="2">
        <v>31.13</v>
      </c>
      <c r="BQ57" s="2">
        <v>31.13</v>
      </c>
      <c r="BR57" s="2">
        <v>27.31</v>
      </c>
      <c r="BS57" s="2">
        <v>5.5</v>
      </c>
      <c r="BT57" s="2">
        <v>0.63</v>
      </c>
      <c r="BU57" s="2">
        <v>0.63</v>
      </c>
      <c r="BV57" s="2">
        <v>0.31</v>
      </c>
      <c r="BW57" s="2">
        <v>0.31</v>
      </c>
      <c r="BX57" s="2">
        <v>18.88</v>
      </c>
      <c r="BY57" s="2">
        <v>1.1299999999999999</v>
      </c>
      <c r="BZ57" s="2">
        <v>37.75</v>
      </c>
      <c r="CA57" s="2">
        <v>37.75</v>
      </c>
      <c r="CB57" s="2">
        <v>19.25</v>
      </c>
      <c r="CC57" s="905">
        <v>2.6875</v>
      </c>
      <c r="CD57" s="906">
        <v>2.6875</v>
      </c>
      <c r="CE57" s="2">
        <f>BA57+1.5</f>
        <v>4</v>
      </c>
      <c r="CF57" s="126">
        <f t="shared" si="128"/>
        <v>4</v>
      </c>
      <c r="CG57" s="23"/>
      <c r="CH57" s="232" t="s">
        <v>692</v>
      </c>
      <c r="CI57" s="39">
        <v>38.880000000000003</v>
      </c>
      <c r="CJ57" s="227">
        <f t="shared" si="118"/>
        <v>52</v>
      </c>
      <c r="CK57" s="2">
        <v>3</v>
      </c>
      <c r="CL57" s="2">
        <v>3</v>
      </c>
      <c r="CM57" s="30">
        <v>0.313</v>
      </c>
      <c r="CN57" s="2">
        <v>0.81</v>
      </c>
      <c r="CO57" s="2" t="s">
        <v>519</v>
      </c>
      <c r="CP57" s="2">
        <v>29</v>
      </c>
      <c r="CQ57" s="2">
        <v>1.5</v>
      </c>
      <c r="CR57" s="2">
        <v>49</v>
      </c>
      <c r="CS57" s="30">
        <v>0.17499999999999999</v>
      </c>
      <c r="CT57" s="30">
        <v>0.17499999999999999</v>
      </c>
      <c r="CU57" s="30">
        <f t="shared" si="119"/>
        <v>24.5</v>
      </c>
      <c r="CV57" s="30">
        <v>58</v>
      </c>
      <c r="CW57" s="2">
        <v>27.81</v>
      </c>
      <c r="CX57" s="2">
        <f>41.69-CQ57</f>
        <v>40.19</v>
      </c>
      <c r="CY57" s="2" t="s">
        <v>519</v>
      </c>
      <c r="CZ57" s="2">
        <v>31.56</v>
      </c>
      <c r="DA57" s="2">
        <v>31</v>
      </c>
      <c r="DB57" s="2">
        <v>27.63</v>
      </c>
      <c r="DC57" s="2">
        <v>7</v>
      </c>
      <c r="DD57" s="2">
        <v>0.75</v>
      </c>
      <c r="DE57" s="2">
        <v>0.38</v>
      </c>
      <c r="DF57" s="2">
        <v>18.63</v>
      </c>
      <c r="DG57" s="2">
        <v>1.38</v>
      </c>
      <c r="DH57" s="2">
        <v>39.25</v>
      </c>
      <c r="DI57" s="2">
        <v>19.25</v>
      </c>
      <c r="DJ57" s="905">
        <v>2.9375</v>
      </c>
      <c r="DK57" s="126">
        <f>CL57+2</f>
        <v>5</v>
      </c>
    </row>
    <row r="58" spans="2:115" x14ac:dyDescent="0.2">
      <c r="B58" s="941" t="s">
        <v>502</v>
      </c>
      <c r="C58" s="376" t="s">
        <v>392</v>
      </c>
      <c r="D58" s="316">
        <f t="shared" si="89"/>
        <v>40.200000000000003</v>
      </c>
      <c r="E58" s="416" t="s">
        <v>556</v>
      </c>
      <c r="F58" s="425" t="str">
        <f t="shared" si="90"/>
        <v>404T</v>
      </c>
      <c r="G58" s="291">
        <f t="shared" si="91"/>
        <v>42.63</v>
      </c>
      <c r="H58" s="310">
        <f t="shared" si="91"/>
        <v>57.25</v>
      </c>
      <c r="I58" s="4">
        <f t="shared" si="91"/>
        <v>3</v>
      </c>
      <c r="J58" s="41">
        <f t="shared" si="91"/>
        <v>3</v>
      </c>
      <c r="K58" s="325">
        <f t="shared" si="91"/>
        <v>0.313</v>
      </c>
      <c r="L58" s="4">
        <f t="shared" si="91"/>
        <v>0.81</v>
      </c>
      <c r="M58" s="41">
        <v>0.75</v>
      </c>
      <c r="N58" s="41">
        <f t="shared" si="92"/>
        <v>32</v>
      </c>
      <c r="O58" s="41">
        <f t="shared" si="93"/>
        <v>33.19</v>
      </c>
      <c r="P58" s="41">
        <f t="shared" si="94"/>
        <v>12.939999999999998</v>
      </c>
      <c r="Q58" s="41">
        <f t="shared" si="95"/>
        <v>1.5</v>
      </c>
      <c r="R58" s="4">
        <f t="shared" si="95"/>
        <v>52.5</v>
      </c>
      <c r="S58" s="4">
        <f t="shared" si="95"/>
        <v>0.126</v>
      </c>
      <c r="T58" s="4">
        <f t="shared" si="95"/>
        <v>9.7000000000000003E-2</v>
      </c>
      <c r="U58" s="156">
        <f t="shared" si="95"/>
        <v>26.25</v>
      </c>
      <c r="V58" s="24">
        <f t="shared" si="95"/>
        <v>63.25</v>
      </c>
      <c r="W58" s="4">
        <f t="shared" si="95"/>
        <v>30.56</v>
      </c>
      <c r="X58" s="4">
        <f t="shared" si="95"/>
        <v>44.06</v>
      </c>
      <c r="Y58" s="41">
        <f t="shared" si="96"/>
        <v>34.69</v>
      </c>
      <c r="Z58" s="41">
        <f t="shared" si="97"/>
        <v>33.81</v>
      </c>
      <c r="AA58" s="41">
        <f t="shared" si="98"/>
        <v>40.94</v>
      </c>
      <c r="AB58" s="41">
        <f t="shared" si="99"/>
        <v>21.25</v>
      </c>
      <c r="AC58" s="24">
        <f t="shared" si="100"/>
        <v>2.6875</v>
      </c>
      <c r="AD58" s="120">
        <f t="shared" si="101"/>
        <v>6</v>
      </c>
      <c r="AE58" s="4">
        <f t="shared" si="102"/>
        <v>0.63</v>
      </c>
      <c r="AF58" s="127">
        <f t="shared" si="103"/>
        <v>0.31</v>
      </c>
      <c r="AG58" s="120" t="s">
        <v>519</v>
      </c>
      <c r="AH58" s="41">
        <f t="shared" si="104"/>
        <v>30.25</v>
      </c>
      <c r="AI58" s="4">
        <f t="shared" si="105"/>
        <v>20.88</v>
      </c>
      <c r="AJ58" s="176">
        <f t="shared" si="105"/>
        <v>1.38</v>
      </c>
      <c r="AK58" s="383">
        <f t="shared" si="106"/>
        <v>5.370000000000001</v>
      </c>
      <c r="AL58" s="120">
        <f t="shared" si="107"/>
        <v>46.5</v>
      </c>
      <c r="AM58" s="4">
        <f t="shared" si="108"/>
        <v>31.356000000000002</v>
      </c>
      <c r="AN58" s="24">
        <f t="shared" si="109"/>
        <v>37.212499999999999</v>
      </c>
      <c r="AO58" s="176">
        <v>1.75</v>
      </c>
      <c r="AP58" s="120">
        <f t="shared" si="110"/>
        <v>4</v>
      </c>
      <c r="AQ58" s="41">
        <v>0.5</v>
      </c>
      <c r="AR58" s="24">
        <f t="shared" si="111"/>
        <v>4.03125</v>
      </c>
      <c r="AS58" s="176">
        <f t="shared" si="112"/>
        <v>3.5</v>
      </c>
      <c r="AT58" s="127">
        <f t="shared" si="113"/>
        <v>4.15625</v>
      </c>
      <c r="AU58" s="15"/>
      <c r="AV58" s="214" t="s">
        <v>1942</v>
      </c>
      <c r="AW58" s="305" t="s">
        <v>692</v>
      </c>
      <c r="AX58" s="429">
        <v>42.63</v>
      </c>
      <c r="AY58" s="24">
        <f t="shared" si="114"/>
        <v>57.25</v>
      </c>
      <c r="AZ58" s="4">
        <v>3</v>
      </c>
      <c r="BA58" s="4">
        <v>3</v>
      </c>
      <c r="BB58" s="24">
        <v>0.313</v>
      </c>
      <c r="BC58" s="4">
        <v>0.81</v>
      </c>
      <c r="BD58" s="4" t="s">
        <v>519</v>
      </c>
      <c r="BE58" s="4">
        <v>32</v>
      </c>
      <c r="BF58" s="4">
        <v>1.5</v>
      </c>
      <c r="BG58" s="4">
        <v>52.5</v>
      </c>
      <c r="BH58" s="24">
        <v>0.126</v>
      </c>
      <c r="BI58" s="24">
        <v>9.7000000000000003E-2</v>
      </c>
      <c r="BJ58" s="156">
        <f t="shared" si="115"/>
        <v>26.25</v>
      </c>
      <c r="BK58" s="24">
        <v>63.25</v>
      </c>
      <c r="BL58" s="4">
        <v>30.56</v>
      </c>
      <c r="BM58" s="4">
        <f>45.56-BF58</f>
        <v>44.06</v>
      </c>
      <c r="BN58" s="4" t="s">
        <v>519</v>
      </c>
      <c r="BO58" s="4">
        <v>34.69</v>
      </c>
      <c r="BP58" s="4">
        <v>33.5</v>
      </c>
      <c r="BQ58" s="4">
        <v>33.81</v>
      </c>
      <c r="BR58" s="4">
        <v>30.25</v>
      </c>
      <c r="BS58" s="4">
        <v>6</v>
      </c>
      <c r="BT58" s="4">
        <v>0.63</v>
      </c>
      <c r="BU58" s="4">
        <v>0.63</v>
      </c>
      <c r="BV58" s="4">
        <v>0.31</v>
      </c>
      <c r="BW58" s="4">
        <v>0.31</v>
      </c>
      <c r="BX58" s="4">
        <v>20.88</v>
      </c>
      <c r="BY58" s="4">
        <v>1.38</v>
      </c>
      <c r="BZ58" s="4">
        <v>40.630000000000003</v>
      </c>
      <c r="CA58" s="4">
        <v>40.94</v>
      </c>
      <c r="CB58" s="4">
        <v>21.25</v>
      </c>
      <c r="CC58" s="907">
        <v>2.4375</v>
      </c>
      <c r="CD58" s="908">
        <v>2.6875</v>
      </c>
      <c r="CE58" s="4">
        <f t="shared" ref="CE58:CE60" si="129">BA58+1</f>
        <v>4</v>
      </c>
      <c r="CF58" s="127">
        <f>BA58+1</f>
        <v>4</v>
      </c>
      <c r="CG58" s="23"/>
      <c r="CH58" s="214" t="s">
        <v>692</v>
      </c>
      <c r="CI58" s="41">
        <v>42.81</v>
      </c>
      <c r="CJ58" s="24">
        <f t="shared" si="118"/>
        <v>57.379999999999995</v>
      </c>
      <c r="CK58" s="4">
        <v>3</v>
      </c>
      <c r="CL58" s="4">
        <v>4</v>
      </c>
      <c r="CM58" s="24">
        <v>0.313</v>
      </c>
      <c r="CN58" s="4">
        <v>0.81</v>
      </c>
      <c r="CO58" s="4" t="s">
        <v>519</v>
      </c>
      <c r="CP58" s="4">
        <v>32</v>
      </c>
      <c r="CQ58" s="4">
        <v>2</v>
      </c>
      <c r="CR58" s="4">
        <v>52.5</v>
      </c>
      <c r="CS58" s="24">
        <v>0.17499999999999999</v>
      </c>
      <c r="CT58" s="24">
        <v>0.17499999999999999</v>
      </c>
      <c r="CU58" s="24">
        <f t="shared" si="119"/>
        <v>26.25</v>
      </c>
      <c r="CV58" s="24">
        <v>65.38</v>
      </c>
      <c r="CW58" s="4">
        <v>30.63</v>
      </c>
      <c r="CX58" s="4">
        <f>46.63-CQ58</f>
        <v>44.63</v>
      </c>
      <c r="CY58" s="4" t="s">
        <v>519</v>
      </c>
      <c r="CZ58" s="4">
        <v>34.75</v>
      </c>
      <c r="DA58" s="4">
        <v>35.06</v>
      </c>
      <c r="DB58" s="4">
        <v>30.81</v>
      </c>
      <c r="DC58" s="4">
        <v>8</v>
      </c>
      <c r="DD58" s="4">
        <v>0.88</v>
      </c>
      <c r="DE58" s="4">
        <v>0.44</v>
      </c>
      <c r="DF58" s="4">
        <v>20.38</v>
      </c>
      <c r="DG58" s="4">
        <v>1.88</v>
      </c>
      <c r="DH58" s="4">
        <v>44.38</v>
      </c>
      <c r="DI58" s="4">
        <v>21.25</v>
      </c>
      <c r="DJ58" s="907">
        <v>3.4375</v>
      </c>
      <c r="DK58" s="127">
        <f t="shared" ref="DK58:DK59" si="130">CL58+1</f>
        <v>5</v>
      </c>
    </row>
    <row r="59" spans="2:115" x14ac:dyDescent="0.2">
      <c r="B59" s="942"/>
      <c r="C59" s="371" t="s">
        <v>1062</v>
      </c>
      <c r="D59" s="365">
        <f t="shared" si="89"/>
        <v>44.5</v>
      </c>
      <c r="E59" s="289" t="s">
        <v>2</v>
      </c>
      <c r="F59" s="405" t="str">
        <f t="shared" si="90"/>
        <v>405T</v>
      </c>
      <c r="G59" s="293">
        <f t="shared" si="91"/>
        <v>47.13</v>
      </c>
      <c r="H59" s="399">
        <f t="shared" si="91"/>
        <v>63.125</v>
      </c>
      <c r="I59" s="6">
        <f t="shared" si="91"/>
        <v>3</v>
      </c>
      <c r="J59" s="37">
        <f t="shared" si="91"/>
        <v>3</v>
      </c>
      <c r="K59" s="396">
        <f t="shared" si="91"/>
        <v>0.313</v>
      </c>
      <c r="L59" s="6">
        <f t="shared" si="91"/>
        <v>0.81</v>
      </c>
      <c r="M59" s="37">
        <v>0.75</v>
      </c>
      <c r="N59" s="37">
        <f t="shared" si="92"/>
        <v>35.380000000000003</v>
      </c>
      <c r="O59" s="37">
        <f t="shared" si="93"/>
        <v>36.75</v>
      </c>
      <c r="P59" s="37">
        <f t="shared" si="94"/>
        <v>14.5</v>
      </c>
      <c r="Q59" s="37">
        <f t="shared" si="95"/>
        <v>1.5</v>
      </c>
      <c r="R59" s="6">
        <f t="shared" si="95"/>
        <v>56.5</v>
      </c>
      <c r="S59" s="6">
        <f t="shared" si="95"/>
        <v>0.126</v>
      </c>
      <c r="T59" s="6">
        <f t="shared" si="95"/>
        <v>9.7000000000000003E-2</v>
      </c>
      <c r="U59" s="171">
        <f t="shared" si="95"/>
        <v>28.25</v>
      </c>
      <c r="V59" s="31">
        <f t="shared" si="95"/>
        <v>69.125</v>
      </c>
      <c r="W59" s="6">
        <f t="shared" si="95"/>
        <v>33.75</v>
      </c>
      <c r="X59" s="6">
        <f t="shared" si="95"/>
        <v>48.56</v>
      </c>
      <c r="Y59" s="37">
        <f t="shared" si="96"/>
        <v>38.25</v>
      </c>
      <c r="Z59" s="37">
        <f t="shared" si="97"/>
        <v>36.56</v>
      </c>
      <c r="AA59" s="37">
        <f t="shared" si="98"/>
        <v>43.81</v>
      </c>
      <c r="AB59" s="37">
        <f t="shared" si="99"/>
        <v>23.5</v>
      </c>
      <c r="AC59" s="31">
        <f t="shared" si="100"/>
        <v>2.9375</v>
      </c>
      <c r="AD59" s="122">
        <f t="shared" si="101"/>
        <v>6</v>
      </c>
      <c r="AE59" s="6">
        <f t="shared" si="102"/>
        <v>0.75</v>
      </c>
      <c r="AF59" s="108">
        <f t="shared" si="103"/>
        <v>0.38</v>
      </c>
      <c r="AG59" s="122" t="s">
        <v>519</v>
      </c>
      <c r="AH59" s="37">
        <f t="shared" si="104"/>
        <v>33.19</v>
      </c>
      <c r="AI59" s="6">
        <f t="shared" si="105"/>
        <v>22.88</v>
      </c>
      <c r="AJ59" s="173">
        <f t="shared" si="105"/>
        <v>1.38</v>
      </c>
      <c r="AK59" s="423">
        <f t="shared" si="106"/>
        <v>5.370000000000001</v>
      </c>
      <c r="AL59" s="122">
        <f t="shared" si="107"/>
        <v>50.5</v>
      </c>
      <c r="AM59" s="6">
        <f t="shared" si="108"/>
        <v>34.71</v>
      </c>
      <c r="AN59" s="31">
        <f t="shared" si="109"/>
        <v>41.03125</v>
      </c>
      <c r="AO59" s="176">
        <v>1.75</v>
      </c>
      <c r="AP59" s="122">
        <f t="shared" si="110"/>
        <v>5</v>
      </c>
      <c r="AQ59" s="37">
        <v>0.5</v>
      </c>
      <c r="AR59" s="31">
        <f t="shared" si="111"/>
        <v>4.40625</v>
      </c>
      <c r="AS59" s="173">
        <f t="shared" si="112"/>
        <v>4.5</v>
      </c>
      <c r="AT59" s="108">
        <f t="shared" si="113"/>
        <v>4.53125</v>
      </c>
      <c r="AU59" s="15"/>
      <c r="AV59" s="220" t="s">
        <v>827</v>
      </c>
      <c r="AW59" s="318" t="s">
        <v>144</v>
      </c>
      <c r="AX59" s="373">
        <v>47.13</v>
      </c>
      <c r="AY59" s="24">
        <f t="shared" si="114"/>
        <v>63.125</v>
      </c>
      <c r="AZ59" s="6">
        <v>3</v>
      </c>
      <c r="BA59" s="6">
        <v>3</v>
      </c>
      <c r="BB59" s="31">
        <v>0.313</v>
      </c>
      <c r="BC59" s="6">
        <v>0.81</v>
      </c>
      <c r="BD59" s="6" t="s">
        <v>519</v>
      </c>
      <c r="BE59" s="6">
        <v>35.380000000000003</v>
      </c>
      <c r="BF59" s="6">
        <v>1.5</v>
      </c>
      <c r="BG59" s="6">
        <v>56.5</v>
      </c>
      <c r="BH59" s="31">
        <v>0.126</v>
      </c>
      <c r="BI59" s="31">
        <v>9.7000000000000003E-2</v>
      </c>
      <c r="BJ59" s="171">
        <f t="shared" si="115"/>
        <v>28.25</v>
      </c>
      <c r="BK59" s="31">
        <v>69.125</v>
      </c>
      <c r="BL59" s="6">
        <v>33.75</v>
      </c>
      <c r="BM59" s="6">
        <f>50.06-BF59</f>
        <v>48.56</v>
      </c>
      <c r="BN59" s="6" t="s">
        <v>519</v>
      </c>
      <c r="BO59" s="6">
        <v>38.25</v>
      </c>
      <c r="BP59" s="6">
        <v>36.44</v>
      </c>
      <c r="BQ59" s="6">
        <v>36.56</v>
      </c>
      <c r="BR59" s="6">
        <v>33.19</v>
      </c>
      <c r="BS59" s="6">
        <v>6</v>
      </c>
      <c r="BT59" s="6">
        <v>0.63</v>
      </c>
      <c r="BU59" s="6">
        <v>0.75</v>
      </c>
      <c r="BV59" s="6">
        <v>0.31</v>
      </c>
      <c r="BW59" s="6">
        <v>0.38</v>
      </c>
      <c r="BX59" s="6">
        <v>22.88</v>
      </c>
      <c r="BY59" s="6">
        <v>1.38</v>
      </c>
      <c r="BZ59" s="6">
        <v>43.56</v>
      </c>
      <c r="CA59" s="6">
        <v>43.81</v>
      </c>
      <c r="CB59" s="6">
        <v>23.5</v>
      </c>
      <c r="CC59" s="909">
        <v>2.4375</v>
      </c>
      <c r="CD59" s="910">
        <v>2.9375</v>
      </c>
      <c r="CE59" s="6">
        <f t="shared" si="129"/>
        <v>4</v>
      </c>
      <c r="CF59" s="108">
        <f t="shared" ref="CF59:CF60" si="131">BA59+2</f>
        <v>5</v>
      </c>
      <c r="CG59" s="23"/>
      <c r="CH59" s="220" t="s">
        <v>144</v>
      </c>
      <c r="CI59" s="37">
        <v>47.31</v>
      </c>
      <c r="CJ59" s="24">
        <f t="shared" si="118"/>
        <v>63.25</v>
      </c>
      <c r="CK59" s="6">
        <v>3</v>
      </c>
      <c r="CL59" s="6">
        <v>4</v>
      </c>
      <c r="CM59" s="31">
        <v>0.313</v>
      </c>
      <c r="CN59" s="6">
        <v>0.81</v>
      </c>
      <c r="CO59" s="6" t="s">
        <v>519</v>
      </c>
      <c r="CP59" s="6">
        <v>35.380000000000003</v>
      </c>
      <c r="CQ59" s="6">
        <v>2</v>
      </c>
      <c r="CR59" s="6">
        <v>56.5</v>
      </c>
      <c r="CS59" s="31">
        <v>0.17499999999999999</v>
      </c>
      <c r="CT59" s="31">
        <v>0.17499999999999999</v>
      </c>
      <c r="CU59" s="31">
        <f t="shared" si="119"/>
        <v>28.25</v>
      </c>
      <c r="CV59" s="31">
        <v>71.25</v>
      </c>
      <c r="CW59" s="6">
        <v>33.81</v>
      </c>
      <c r="CX59" s="6">
        <f>51.13-CQ59</f>
        <v>49.13</v>
      </c>
      <c r="CY59" s="6" t="s">
        <v>519</v>
      </c>
      <c r="CZ59" s="6">
        <v>38.31</v>
      </c>
      <c r="DA59" s="6">
        <v>38</v>
      </c>
      <c r="DB59" s="6">
        <v>33.75</v>
      </c>
      <c r="DC59" s="6">
        <v>8</v>
      </c>
      <c r="DD59" s="6">
        <v>0.88</v>
      </c>
      <c r="DE59" s="6">
        <v>0.44</v>
      </c>
      <c r="DF59" s="6">
        <v>22.38</v>
      </c>
      <c r="DG59" s="6">
        <v>1.88</v>
      </c>
      <c r="DH59" s="6">
        <v>47.31</v>
      </c>
      <c r="DI59" s="6">
        <v>23.5</v>
      </c>
      <c r="DJ59" s="909">
        <v>3.4375</v>
      </c>
      <c r="DK59" s="108">
        <f t="shared" si="130"/>
        <v>5</v>
      </c>
    </row>
    <row r="60" spans="2:115" x14ac:dyDescent="0.2">
      <c r="B60" s="942"/>
      <c r="C60" s="371" t="s">
        <v>393</v>
      </c>
      <c r="D60" s="365">
        <f t="shared" si="89"/>
        <v>49</v>
      </c>
      <c r="E60" s="289" t="s">
        <v>2</v>
      </c>
      <c r="F60" s="405" t="str">
        <f t="shared" si="90"/>
        <v>445T</v>
      </c>
      <c r="G60" s="293">
        <f t="shared" si="91"/>
        <v>51.94</v>
      </c>
      <c r="H60" s="399">
        <f t="shared" si="91"/>
        <v>69.5</v>
      </c>
      <c r="I60" s="6">
        <f t="shared" si="91"/>
        <v>3</v>
      </c>
      <c r="J60" s="37">
        <f t="shared" si="91"/>
        <v>3</v>
      </c>
      <c r="K60" s="396">
        <f t="shared" si="91"/>
        <v>0.313</v>
      </c>
      <c r="L60" s="6">
        <f t="shared" si="91"/>
        <v>0.81</v>
      </c>
      <c r="M60" s="37">
        <v>0.75</v>
      </c>
      <c r="N60" s="37">
        <f t="shared" si="92"/>
        <v>39</v>
      </c>
      <c r="O60" s="37">
        <f t="shared" si="93"/>
        <v>40.69</v>
      </c>
      <c r="P60" s="37">
        <f t="shared" si="94"/>
        <v>15.939999999999998</v>
      </c>
      <c r="Q60" s="37">
        <f t="shared" si="95"/>
        <v>2</v>
      </c>
      <c r="R60" s="6">
        <f t="shared" si="95"/>
        <v>61.5</v>
      </c>
      <c r="S60" s="6">
        <f t="shared" si="95"/>
        <v>0.126</v>
      </c>
      <c r="T60" s="6">
        <f t="shared" si="95"/>
        <v>9.7000000000000003E-2</v>
      </c>
      <c r="U60" s="171">
        <f t="shared" si="95"/>
        <v>30.75</v>
      </c>
      <c r="V60" s="31">
        <f t="shared" si="95"/>
        <v>75.5</v>
      </c>
      <c r="W60" s="6">
        <f t="shared" si="95"/>
        <v>37.19</v>
      </c>
      <c r="X60" s="6">
        <f t="shared" si="95"/>
        <v>52.88</v>
      </c>
      <c r="Y60" s="37">
        <f t="shared" si="96"/>
        <v>42.19</v>
      </c>
      <c r="Z60" s="37">
        <f t="shared" si="97"/>
        <v>41.13</v>
      </c>
      <c r="AA60" s="37">
        <f t="shared" si="98"/>
        <v>49.44</v>
      </c>
      <c r="AB60" s="37">
        <f t="shared" si="99"/>
        <v>25.88</v>
      </c>
      <c r="AC60" s="31">
        <f t="shared" si="100"/>
        <v>3.4375</v>
      </c>
      <c r="AD60" s="122">
        <f t="shared" si="101"/>
        <v>7</v>
      </c>
      <c r="AE60" s="6">
        <f t="shared" si="102"/>
        <v>0.88</v>
      </c>
      <c r="AF60" s="108">
        <f t="shared" si="103"/>
        <v>0.44</v>
      </c>
      <c r="AG60" s="122" t="s">
        <v>519</v>
      </c>
      <c r="AH60" s="37">
        <f t="shared" si="104"/>
        <v>36.380000000000003</v>
      </c>
      <c r="AI60" s="6">
        <f t="shared" si="105"/>
        <v>25.38</v>
      </c>
      <c r="AJ60" s="173">
        <f t="shared" si="105"/>
        <v>1.38</v>
      </c>
      <c r="AK60" s="423">
        <f t="shared" si="106"/>
        <v>5.370000000000001</v>
      </c>
      <c r="AL60" s="122">
        <f t="shared" si="107"/>
        <v>55.5</v>
      </c>
      <c r="AM60" s="6">
        <f t="shared" si="108"/>
        <v>38.22</v>
      </c>
      <c r="AN60" s="31">
        <f t="shared" si="109"/>
        <v>45.175000000000004</v>
      </c>
      <c r="AO60" s="176">
        <v>1.75</v>
      </c>
      <c r="AP60" s="122">
        <f t="shared" si="110"/>
        <v>5</v>
      </c>
      <c r="AQ60" s="37">
        <v>0.5</v>
      </c>
      <c r="AR60" s="31">
        <f t="shared" si="111"/>
        <v>5.15625</v>
      </c>
      <c r="AS60" s="173">
        <f t="shared" si="112"/>
        <v>4.5</v>
      </c>
      <c r="AT60" s="108">
        <f t="shared" si="113"/>
        <v>5.28125</v>
      </c>
      <c r="AU60" s="15"/>
      <c r="AV60" s="220" t="s">
        <v>296</v>
      </c>
      <c r="AW60" s="318" t="s">
        <v>188</v>
      </c>
      <c r="AX60" s="373">
        <v>51.94</v>
      </c>
      <c r="AY60" s="24">
        <f t="shared" si="114"/>
        <v>69.5</v>
      </c>
      <c r="AZ60" s="6">
        <v>3</v>
      </c>
      <c r="BA60" s="6">
        <v>3</v>
      </c>
      <c r="BB60" s="31">
        <v>0.313</v>
      </c>
      <c r="BC60" s="6">
        <v>0.81</v>
      </c>
      <c r="BD60" s="6" t="s">
        <v>519</v>
      </c>
      <c r="BE60" s="6">
        <v>39</v>
      </c>
      <c r="BF60" s="6">
        <v>2</v>
      </c>
      <c r="BG60" s="6">
        <v>61.5</v>
      </c>
      <c r="BH60" s="31">
        <v>0.126</v>
      </c>
      <c r="BI60" s="31">
        <v>9.7000000000000003E-2</v>
      </c>
      <c r="BJ60" s="171">
        <f t="shared" si="115"/>
        <v>30.75</v>
      </c>
      <c r="BK60" s="31">
        <v>75.5</v>
      </c>
      <c r="BL60" s="6">
        <v>37.19</v>
      </c>
      <c r="BM60" s="6">
        <f>54.88-BF60</f>
        <v>52.88</v>
      </c>
      <c r="BN60" s="6" t="s">
        <v>519</v>
      </c>
      <c r="BO60" s="6">
        <v>42.19</v>
      </c>
      <c r="BP60" s="6">
        <v>39.94</v>
      </c>
      <c r="BQ60" s="6">
        <v>41.13</v>
      </c>
      <c r="BR60" s="6">
        <v>36.380000000000003</v>
      </c>
      <c r="BS60" s="6">
        <v>7</v>
      </c>
      <c r="BT60" s="6">
        <v>0.63</v>
      </c>
      <c r="BU60" s="6">
        <v>0.88</v>
      </c>
      <c r="BV60" s="6">
        <v>0.31</v>
      </c>
      <c r="BW60" s="6">
        <v>0.44</v>
      </c>
      <c r="BX60" s="6">
        <v>25.38</v>
      </c>
      <c r="BY60" s="6">
        <v>1.38</v>
      </c>
      <c r="BZ60" s="6">
        <v>48.06</v>
      </c>
      <c r="CA60" s="6">
        <v>49.44</v>
      </c>
      <c r="CB60" s="6">
        <v>25.88</v>
      </c>
      <c r="CC60" s="909">
        <v>2.6875</v>
      </c>
      <c r="CD60" s="910">
        <v>3.4375</v>
      </c>
      <c r="CE60" s="6">
        <f t="shared" si="129"/>
        <v>4</v>
      </c>
      <c r="CF60" s="108">
        <f t="shared" si="131"/>
        <v>5</v>
      </c>
      <c r="CG60" s="23"/>
      <c r="CH60" s="220" t="s">
        <v>188</v>
      </c>
      <c r="CI60" s="37">
        <v>52.13</v>
      </c>
      <c r="CJ60" s="24">
        <f t="shared" si="118"/>
        <v>69.63</v>
      </c>
      <c r="CK60" s="6">
        <v>3</v>
      </c>
      <c r="CL60" s="6">
        <v>4</v>
      </c>
      <c r="CM60" s="31">
        <v>0.313</v>
      </c>
      <c r="CN60" s="6">
        <v>0.81</v>
      </c>
      <c r="CO60" s="6" t="s">
        <v>519</v>
      </c>
      <c r="CP60" s="6">
        <v>39</v>
      </c>
      <c r="CQ60" s="6">
        <v>2</v>
      </c>
      <c r="CR60" s="6">
        <v>61.5</v>
      </c>
      <c r="CS60" s="31">
        <v>0.17499999999999999</v>
      </c>
      <c r="CT60" s="31">
        <v>0.17499999999999999</v>
      </c>
      <c r="CU60" s="31">
        <f t="shared" si="119"/>
        <v>30.75</v>
      </c>
      <c r="CV60" s="31">
        <v>77.63</v>
      </c>
      <c r="CW60" s="6">
        <v>37.25</v>
      </c>
      <c r="CX60" s="6">
        <f>55.94-CQ60</f>
        <v>53.94</v>
      </c>
      <c r="CY60" s="6" t="s">
        <v>519</v>
      </c>
      <c r="CZ60" s="6">
        <v>42.25</v>
      </c>
      <c r="DA60" s="6">
        <v>41.94</v>
      </c>
      <c r="DB60" s="6">
        <v>36.94</v>
      </c>
      <c r="DC60" s="6">
        <v>9</v>
      </c>
      <c r="DD60" s="6">
        <v>1</v>
      </c>
      <c r="DE60" s="6">
        <v>0.5</v>
      </c>
      <c r="DF60" s="6">
        <v>24.88</v>
      </c>
      <c r="DG60" s="6">
        <v>1.88</v>
      </c>
      <c r="DH60" s="6">
        <v>52.31</v>
      </c>
      <c r="DI60" s="6">
        <v>25.88</v>
      </c>
      <c r="DJ60" s="909">
        <v>3.9375</v>
      </c>
      <c r="DK60" s="108">
        <f>CL60+2</f>
        <v>6</v>
      </c>
    </row>
    <row r="61" spans="2:115" x14ac:dyDescent="0.2">
      <c r="B61" s="942"/>
      <c r="C61" s="371" t="s">
        <v>260</v>
      </c>
      <c r="D61" s="365">
        <f t="shared" si="89"/>
        <v>54.2</v>
      </c>
      <c r="E61" s="289" t="s">
        <v>2059</v>
      </c>
      <c r="F61" s="405" t="str">
        <f t="shared" si="90"/>
        <v>445T</v>
      </c>
      <c r="G61" s="293">
        <f t="shared" si="91"/>
        <v>57.38</v>
      </c>
      <c r="H61" s="399">
        <f t="shared" si="91"/>
        <v>77</v>
      </c>
      <c r="I61" s="6">
        <f t="shared" si="91"/>
        <v>3</v>
      </c>
      <c r="J61" s="37">
        <f t="shared" si="91"/>
        <v>4</v>
      </c>
      <c r="K61" s="396">
        <f t="shared" si="91"/>
        <v>0.313</v>
      </c>
      <c r="L61" s="6">
        <f t="shared" si="91"/>
        <v>0.81</v>
      </c>
      <c r="M61" s="37">
        <v>0.75</v>
      </c>
      <c r="N61" s="37">
        <f t="shared" si="92"/>
        <v>43.06</v>
      </c>
      <c r="O61" s="37">
        <f t="shared" si="93"/>
        <v>45.19</v>
      </c>
      <c r="P61" s="37">
        <f t="shared" si="94"/>
        <v>17.689999999999998</v>
      </c>
      <c r="Q61" s="37">
        <f t="shared" si="95"/>
        <v>2</v>
      </c>
      <c r="R61" s="6">
        <f t="shared" si="95"/>
        <v>67</v>
      </c>
      <c r="S61" s="6">
        <f t="shared" si="95"/>
        <v>0.126</v>
      </c>
      <c r="T61" s="6">
        <f t="shared" si="95"/>
        <v>9.7000000000000003E-2</v>
      </c>
      <c r="U61" s="171">
        <f t="shared" si="95"/>
        <v>33.5</v>
      </c>
      <c r="V61" s="31">
        <f t="shared" si="95"/>
        <v>85</v>
      </c>
      <c r="W61" s="6">
        <f t="shared" si="95"/>
        <v>41.19</v>
      </c>
      <c r="X61" s="6">
        <f t="shared" si="95"/>
        <v>59.31</v>
      </c>
      <c r="Y61" s="37">
        <f t="shared" si="96"/>
        <v>46.69</v>
      </c>
      <c r="Z61" s="37">
        <f t="shared" si="97"/>
        <v>44.19</v>
      </c>
      <c r="AA61" s="37">
        <f t="shared" si="98"/>
        <v>51.5</v>
      </c>
      <c r="AB61" s="37">
        <f t="shared" si="99"/>
        <v>28.63</v>
      </c>
      <c r="AC61" s="31">
        <f t="shared" si="100"/>
        <v>3.4375</v>
      </c>
      <c r="AD61" s="122">
        <f t="shared" si="101"/>
        <v>6</v>
      </c>
      <c r="AE61" s="6">
        <f t="shared" si="102"/>
        <v>0.88</v>
      </c>
      <c r="AF61" s="108">
        <f t="shared" si="103"/>
        <v>0.44</v>
      </c>
      <c r="AG61" s="122" t="s">
        <v>519</v>
      </c>
      <c r="AH61" s="37">
        <f t="shared" si="104"/>
        <v>40.630000000000003</v>
      </c>
      <c r="AI61" s="6">
        <f t="shared" si="105"/>
        <v>27.63</v>
      </c>
      <c r="AJ61" s="173">
        <f t="shared" si="105"/>
        <v>1.88</v>
      </c>
      <c r="AK61" s="423">
        <f t="shared" si="106"/>
        <v>5.870000000000001</v>
      </c>
      <c r="AL61" s="122">
        <f t="shared" si="107"/>
        <v>61</v>
      </c>
      <c r="AM61" s="6">
        <f t="shared" si="108"/>
        <v>42.276000000000003</v>
      </c>
      <c r="AN61" s="31">
        <f t="shared" si="109"/>
        <v>50.050000000000004</v>
      </c>
      <c r="AO61" s="176">
        <v>1.75</v>
      </c>
      <c r="AP61" s="122">
        <f t="shared" si="110"/>
        <v>5</v>
      </c>
      <c r="AQ61" s="37">
        <v>0.5</v>
      </c>
      <c r="AR61" s="31">
        <f t="shared" si="111"/>
        <v>5.15625</v>
      </c>
      <c r="AS61" s="173">
        <f t="shared" si="112"/>
        <v>4.5</v>
      </c>
      <c r="AT61" s="108">
        <f t="shared" si="113"/>
        <v>5.28125</v>
      </c>
      <c r="AU61" s="15"/>
      <c r="AV61" s="220" t="s">
        <v>692</v>
      </c>
      <c r="AW61" s="318" t="s">
        <v>188</v>
      </c>
      <c r="AX61" s="373">
        <v>57.38</v>
      </c>
      <c r="AY61" s="24">
        <f t="shared" si="114"/>
        <v>77</v>
      </c>
      <c r="AZ61" s="6">
        <v>3</v>
      </c>
      <c r="BA61" s="6">
        <v>4</v>
      </c>
      <c r="BB61" s="31">
        <v>0.313</v>
      </c>
      <c r="BC61" s="6">
        <v>0.81</v>
      </c>
      <c r="BD61" s="6" t="s">
        <v>519</v>
      </c>
      <c r="BE61" s="6">
        <v>43.06</v>
      </c>
      <c r="BF61" s="6">
        <v>2</v>
      </c>
      <c r="BG61" s="6">
        <v>67</v>
      </c>
      <c r="BH61" s="31">
        <v>0.126</v>
      </c>
      <c r="BI61" s="31">
        <v>9.7000000000000003E-2</v>
      </c>
      <c r="BJ61" s="171">
        <f t="shared" si="115"/>
        <v>33.5</v>
      </c>
      <c r="BK61" s="31">
        <v>85</v>
      </c>
      <c r="BL61" s="6">
        <v>41.19</v>
      </c>
      <c r="BM61" s="6">
        <f>61.31-BF61</f>
        <v>59.31</v>
      </c>
      <c r="BN61" s="6" t="s">
        <v>519</v>
      </c>
      <c r="BO61" s="6">
        <v>46.69</v>
      </c>
      <c r="BP61" s="6">
        <v>43.75</v>
      </c>
      <c r="BQ61" s="6">
        <v>44.19</v>
      </c>
      <c r="BR61" s="6">
        <v>40.630000000000003</v>
      </c>
      <c r="BS61" s="6">
        <v>6</v>
      </c>
      <c r="BT61" s="6">
        <v>0.75</v>
      </c>
      <c r="BU61" s="6">
        <v>0.88</v>
      </c>
      <c r="BV61" s="6">
        <v>0.38</v>
      </c>
      <c r="BW61" s="6">
        <v>0.44</v>
      </c>
      <c r="BX61" s="6">
        <v>27.63</v>
      </c>
      <c r="BY61" s="6">
        <v>1.88</v>
      </c>
      <c r="BZ61" s="6">
        <v>51</v>
      </c>
      <c r="CA61" s="6">
        <v>51.5</v>
      </c>
      <c r="CB61" s="6">
        <v>28.63</v>
      </c>
      <c r="CC61" s="909">
        <v>2.9375</v>
      </c>
      <c r="CD61" s="910">
        <v>3.4375</v>
      </c>
      <c r="CE61" s="6">
        <f>BA61+0</f>
        <v>4</v>
      </c>
      <c r="CF61" s="108">
        <f>BA61+1</f>
        <v>5</v>
      </c>
      <c r="CG61" s="23"/>
      <c r="CH61" s="220" t="s">
        <v>188</v>
      </c>
      <c r="CI61" s="37">
        <v>57.56</v>
      </c>
      <c r="CJ61" s="24">
        <f t="shared" si="118"/>
        <v>77.13</v>
      </c>
      <c r="CK61" s="6">
        <v>3.5</v>
      </c>
      <c r="CL61" s="6">
        <v>5</v>
      </c>
      <c r="CM61" s="31">
        <v>0.5</v>
      </c>
      <c r="CN61" s="6">
        <v>0.81</v>
      </c>
      <c r="CO61" s="6" t="s">
        <v>519</v>
      </c>
      <c r="CP61" s="6">
        <v>43.06</v>
      </c>
      <c r="CQ61" s="6">
        <v>2.5</v>
      </c>
      <c r="CR61" s="6">
        <v>67</v>
      </c>
      <c r="CS61" s="31">
        <v>0.17499999999999999</v>
      </c>
      <c r="CT61" s="31">
        <v>0.17499999999999999</v>
      </c>
      <c r="CU61" s="31">
        <f t="shared" si="119"/>
        <v>33.5</v>
      </c>
      <c r="CV61" s="31">
        <v>87.13</v>
      </c>
      <c r="CW61" s="6">
        <v>41.25</v>
      </c>
      <c r="CX61" s="6">
        <f>62.38-CQ61</f>
        <v>59.88</v>
      </c>
      <c r="CY61" s="6" t="s">
        <v>519</v>
      </c>
      <c r="CZ61" s="6">
        <v>46.75</v>
      </c>
      <c r="DA61" s="6">
        <v>45.69</v>
      </c>
      <c r="DB61" s="6">
        <v>41.19</v>
      </c>
      <c r="DC61" s="6">
        <v>9</v>
      </c>
      <c r="DD61" s="6">
        <v>1</v>
      </c>
      <c r="DE61" s="6">
        <v>0.5</v>
      </c>
      <c r="DF61" s="6">
        <v>27.13</v>
      </c>
      <c r="DG61" s="6">
        <v>2.38</v>
      </c>
      <c r="DH61" s="6">
        <v>56.06</v>
      </c>
      <c r="DI61" s="6">
        <v>28.63</v>
      </c>
      <c r="DJ61" s="909">
        <v>3.9375</v>
      </c>
      <c r="DK61" s="108">
        <f>CL61+1</f>
        <v>6</v>
      </c>
    </row>
    <row r="62" spans="2:115" x14ac:dyDescent="0.2">
      <c r="B62" s="942"/>
      <c r="C62" s="371" t="s">
        <v>1214</v>
      </c>
      <c r="D62" s="365">
        <f t="shared" si="89"/>
        <v>60</v>
      </c>
      <c r="E62" s="289" t="s">
        <v>2059</v>
      </c>
      <c r="F62" s="405" t="str">
        <f t="shared" si="90"/>
        <v>445T</v>
      </c>
      <c r="G62" s="293">
        <f t="shared" si="91"/>
        <v>63.5</v>
      </c>
      <c r="H62" s="399">
        <f t="shared" si="91"/>
        <v>85</v>
      </c>
      <c r="I62" s="6">
        <f t="shared" si="91"/>
        <v>3</v>
      </c>
      <c r="J62" s="37">
        <f t="shared" si="91"/>
        <v>4</v>
      </c>
      <c r="K62" s="396">
        <f t="shared" si="91"/>
        <v>0.313</v>
      </c>
      <c r="L62" s="6">
        <f t="shared" si="91"/>
        <v>0.81</v>
      </c>
      <c r="M62" s="37">
        <v>0.75</v>
      </c>
      <c r="N62" s="37">
        <f t="shared" si="92"/>
        <v>47.69</v>
      </c>
      <c r="O62" s="37">
        <f t="shared" si="93"/>
        <v>50.19</v>
      </c>
      <c r="P62" s="37">
        <f t="shared" si="94"/>
        <v>19.689999999999998</v>
      </c>
      <c r="Q62" s="37">
        <f t="shared" si="95"/>
        <v>2</v>
      </c>
      <c r="R62" s="6">
        <f t="shared" si="95"/>
        <v>73</v>
      </c>
      <c r="S62" s="6">
        <f t="shared" si="95"/>
        <v>0.126</v>
      </c>
      <c r="T62" s="6">
        <f t="shared" si="95"/>
        <v>9.7000000000000003E-2</v>
      </c>
      <c r="U62" s="171">
        <f t="shared" si="95"/>
        <v>36.5</v>
      </c>
      <c r="V62" s="31">
        <f t="shared" si="95"/>
        <v>93</v>
      </c>
      <c r="W62" s="6">
        <f t="shared" si="95"/>
        <v>45.56</v>
      </c>
      <c r="X62" s="6">
        <f t="shared" si="95"/>
        <v>65.44</v>
      </c>
      <c r="Y62" s="37">
        <f t="shared" si="96"/>
        <v>51.69</v>
      </c>
      <c r="Z62" s="37">
        <f t="shared" si="97"/>
        <v>49.63</v>
      </c>
      <c r="AA62" s="37">
        <f t="shared" si="98"/>
        <v>59</v>
      </c>
      <c r="AB62" s="37">
        <f t="shared" si="99"/>
        <v>31.69</v>
      </c>
      <c r="AC62" s="31">
        <f t="shared" si="100"/>
        <v>3.9375</v>
      </c>
      <c r="AD62" s="122">
        <f t="shared" si="101"/>
        <v>8</v>
      </c>
      <c r="AE62" s="6">
        <f t="shared" si="102"/>
        <v>1</v>
      </c>
      <c r="AF62" s="108">
        <f t="shared" si="103"/>
        <v>0.5</v>
      </c>
      <c r="AG62" s="122" t="s">
        <v>519</v>
      </c>
      <c r="AH62" s="37">
        <f t="shared" si="104"/>
        <v>44.63</v>
      </c>
      <c r="AI62" s="6">
        <f t="shared" si="105"/>
        <v>30.63</v>
      </c>
      <c r="AJ62" s="173">
        <f t="shared" si="105"/>
        <v>1.88</v>
      </c>
      <c r="AK62" s="423">
        <f t="shared" si="106"/>
        <v>5.870000000000001</v>
      </c>
      <c r="AL62" s="122">
        <f t="shared" si="107"/>
        <v>67</v>
      </c>
      <c r="AM62" s="6">
        <f t="shared" si="108"/>
        <v>46.800000000000004</v>
      </c>
      <c r="AN62" s="31">
        <f t="shared" si="109"/>
        <v>55.25</v>
      </c>
      <c r="AO62" s="173">
        <v>2</v>
      </c>
      <c r="AP62" s="122">
        <f t="shared" si="110"/>
        <v>6</v>
      </c>
      <c r="AQ62" s="37">
        <v>0.5</v>
      </c>
      <c r="AR62" s="31">
        <f t="shared" si="111"/>
        <v>5.90625</v>
      </c>
      <c r="AS62" s="173">
        <f t="shared" si="112"/>
        <v>5.5</v>
      </c>
      <c r="AT62" s="108">
        <f t="shared" si="113"/>
        <v>6.03125</v>
      </c>
      <c r="AU62" s="341"/>
      <c r="AV62" s="220" t="s">
        <v>144</v>
      </c>
      <c r="AW62" s="318" t="s">
        <v>188</v>
      </c>
      <c r="AX62" s="373">
        <v>63.5</v>
      </c>
      <c r="AY62" s="24">
        <f t="shared" si="114"/>
        <v>85</v>
      </c>
      <c r="AZ62" s="6">
        <v>3</v>
      </c>
      <c r="BA62" s="6">
        <v>4</v>
      </c>
      <c r="BB62" s="31">
        <v>0.313</v>
      </c>
      <c r="BC62" s="6">
        <v>0.81</v>
      </c>
      <c r="BD62" s="6" t="s">
        <v>519</v>
      </c>
      <c r="BE62" s="6">
        <v>47.69</v>
      </c>
      <c r="BF62" s="6">
        <v>2</v>
      </c>
      <c r="BG62" s="6">
        <v>73</v>
      </c>
      <c r="BH62" s="31">
        <v>0.126</v>
      </c>
      <c r="BI62" s="31">
        <v>9.7000000000000003E-2</v>
      </c>
      <c r="BJ62" s="171">
        <f t="shared" si="115"/>
        <v>36.5</v>
      </c>
      <c r="BK62" s="31">
        <v>93</v>
      </c>
      <c r="BL62" s="6">
        <v>45.56</v>
      </c>
      <c r="BM62" s="6">
        <f>67.44-BF62</f>
        <v>65.44</v>
      </c>
      <c r="BN62" s="6" t="s">
        <v>519</v>
      </c>
      <c r="BO62" s="6">
        <v>51.69</v>
      </c>
      <c r="BP62" s="6">
        <v>48.88</v>
      </c>
      <c r="BQ62" s="6">
        <v>49.63</v>
      </c>
      <c r="BR62" s="6">
        <v>44.63</v>
      </c>
      <c r="BS62" s="6">
        <v>8</v>
      </c>
      <c r="BT62" s="6">
        <v>0.88</v>
      </c>
      <c r="BU62" s="6">
        <v>1</v>
      </c>
      <c r="BV62" s="6">
        <v>0.44</v>
      </c>
      <c r="BW62" s="6">
        <v>0.5</v>
      </c>
      <c r="BX62" s="6">
        <v>30.63</v>
      </c>
      <c r="BY62" s="6">
        <v>1.88</v>
      </c>
      <c r="BZ62" s="6">
        <v>58.19</v>
      </c>
      <c r="CA62" s="6">
        <v>59</v>
      </c>
      <c r="CB62" s="6">
        <v>31.69</v>
      </c>
      <c r="CC62" s="909">
        <v>3.4375</v>
      </c>
      <c r="CD62" s="910">
        <v>3.9375</v>
      </c>
      <c r="CE62" s="6">
        <f>BA62+1</f>
        <v>5</v>
      </c>
      <c r="CF62" s="108">
        <f>BA62+2</f>
        <v>6</v>
      </c>
      <c r="CG62" s="23"/>
      <c r="CH62" s="220" t="s">
        <v>188</v>
      </c>
      <c r="CI62" s="37">
        <v>63.69</v>
      </c>
      <c r="CJ62" s="24">
        <f t="shared" si="118"/>
        <v>85.13</v>
      </c>
      <c r="CK62" s="6">
        <v>3.5</v>
      </c>
      <c r="CL62" s="6">
        <v>5</v>
      </c>
      <c r="CM62" s="31">
        <v>0.5</v>
      </c>
      <c r="CN62" s="6">
        <v>0.81</v>
      </c>
      <c r="CO62" s="6" t="s">
        <v>519</v>
      </c>
      <c r="CP62" s="6">
        <v>47.69</v>
      </c>
      <c r="CQ62" s="6">
        <v>2.5</v>
      </c>
      <c r="CR62" s="6">
        <v>74</v>
      </c>
      <c r="CS62" s="31">
        <v>0.17499999999999999</v>
      </c>
      <c r="CT62" s="31">
        <v>0.17499999999999999</v>
      </c>
      <c r="CU62" s="31">
        <f t="shared" si="119"/>
        <v>37</v>
      </c>
      <c r="CV62" s="31">
        <v>95.13</v>
      </c>
      <c r="CW62" s="6">
        <v>45.63</v>
      </c>
      <c r="CX62" s="6">
        <f>68.5-CQ62</f>
        <v>66</v>
      </c>
      <c r="CY62" s="6" t="s">
        <v>519</v>
      </c>
      <c r="CZ62" s="6">
        <v>51.75</v>
      </c>
      <c r="DA62" s="6">
        <v>50.44</v>
      </c>
      <c r="DB62" s="6">
        <v>45.19</v>
      </c>
      <c r="DC62" s="6">
        <v>9.5</v>
      </c>
      <c r="DD62" s="6">
        <v>1</v>
      </c>
      <c r="DE62" s="6">
        <v>0.5</v>
      </c>
      <c r="DF62" s="6">
        <v>30.13</v>
      </c>
      <c r="DG62" s="6">
        <v>2.38</v>
      </c>
      <c r="DH62" s="6">
        <v>61.31</v>
      </c>
      <c r="DI62" s="6">
        <v>31.69</v>
      </c>
      <c r="DJ62" s="909">
        <v>4.4375</v>
      </c>
      <c r="DK62" s="108">
        <f>CL62+2</f>
        <v>7</v>
      </c>
    </row>
    <row r="63" spans="2:115" x14ac:dyDescent="0.2">
      <c r="B63" s="942"/>
      <c r="C63" s="371" t="s">
        <v>1215</v>
      </c>
      <c r="D63" s="365">
        <f t="shared" si="89"/>
        <v>66</v>
      </c>
      <c r="E63" s="289" t="s">
        <v>2059</v>
      </c>
      <c r="F63" s="405" t="str">
        <f t="shared" si="90"/>
        <v>445T</v>
      </c>
      <c r="G63" s="293">
        <f t="shared" si="91"/>
        <v>69.69</v>
      </c>
      <c r="H63" s="399">
        <f t="shared" si="91"/>
        <v>93.75</v>
      </c>
      <c r="I63" s="6">
        <f t="shared" si="91"/>
        <v>3.5</v>
      </c>
      <c r="J63" s="37">
        <f t="shared" si="91"/>
        <v>5</v>
      </c>
      <c r="K63" s="396">
        <f t="shared" si="91"/>
        <v>0.5</v>
      </c>
      <c r="L63" s="6">
        <f t="shared" si="91"/>
        <v>0.81</v>
      </c>
      <c r="M63" s="37">
        <v>0.75</v>
      </c>
      <c r="N63" s="37">
        <f t="shared" si="92"/>
        <v>52.44</v>
      </c>
      <c r="O63" s="37">
        <f t="shared" si="93"/>
        <v>55.31</v>
      </c>
      <c r="P63" s="37">
        <f t="shared" si="94"/>
        <v>22.310000000000002</v>
      </c>
      <c r="Q63" s="37">
        <f t="shared" si="95"/>
        <v>2.5</v>
      </c>
      <c r="R63" s="6">
        <f t="shared" si="95"/>
        <v>80</v>
      </c>
      <c r="S63" s="6">
        <f t="shared" si="95"/>
        <v>0.126</v>
      </c>
      <c r="T63" s="6">
        <f t="shared" si="95"/>
        <v>9.7000000000000003E-2</v>
      </c>
      <c r="U63" s="171">
        <f t="shared" si="95"/>
        <v>40</v>
      </c>
      <c r="V63" s="31">
        <f t="shared" si="95"/>
        <v>103.75</v>
      </c>
      <c r="W63" s="6">
        <f t="shared" si="95"/>
        <v>49.94</v>
      </c>
      <c r="X63" s="6">
        <f t="shared" si="95"/>
        <v>72.13</v>
      </c>
      <c r="Y63" s="37">
        <f t="shared" si="96"/>
        <v>56.81</v>
      </c>
      <c r="Z63" s="37">
        <f t="shared" si="97"/>
        <v>54.06</v>
      </c>
      <c r="AA63" s="37">
        <f t="shared" si="98"/>
        <v>63.38</v>
      </c>
      <c r="AB63" s="37">
        <f t="shared" si="99"/>
        <v>34.75</v>
      </c>
      <c r="AC63" s="31">
        <f t="shared" si="100"/>
        <v>3.9375</v>
      </c>
      <c r="AD63" s="122">
        <f t="shared" si="101"/>
        <v>8</v>
      </c>
      <c r="AE63" s="6">
        <f t="shared" si="102"/>
        <v>1</v>
      </c>
      <c r="AF63" s="108">
        <f t="shared" si="103"/>
        <v>0.5</v>
      </c>
      <c r="AG63" s="122" t="s">
        <v>519</v>
      </c>
      <c r="AH63" s="37">
        <f t="shared" si="104"/>
        <v>49.5</v>
      </c>
      <c r="AI63" s="6">
        <f t="shared" si="105"/>
        <v>33.130000000000003</v>
      </c>
      <c r="AJ63" s="173">
        <f t="shared" si="105"/>
        <v>2.38</v>
      </c>
      <c r="AK63" s="423">
        <f t="shared" si="106"/>
        <v>6.8699999999999974</v>
      </c>
      <c r="AL63" s="122">
        <f t="shared" si="107"/>
        <v>73</v>
      </c>
      <c r="AM63" s="6">
        <f t="shared" si="108"/>
        <v>51.480000000000004</v>
      </c>
      <c r="AN63" s="31">
        <f t="shared" si="109"/>
        <v>60.9375</v>
      </c>
      <c r="AO63" s="173">
        <v>2</v>
      </c>
      <c r="AP63" s="122">
        <f t="shared" si="110"/>
        <v>6</v>
      </c>
      <c r="AQ63" s="37">
        <v>0.5</v>
      </c>
      <c r="AR63" s="31">
        <f t="shared" si="111"/>
        <v>5.90625</v>
      </c>
      <c r="AS63" s="173">
        <f t="shared" si="112"/>
        <v>5.5</v>
      </c>
      <c r="AT63" s="108">
        <f t="shared" si="113"/>
        <v>6.03125</v>
      </c>
      <c r="AU63" s="341"/>
      <c r="AV63" s="220" t="s">
        <v>144</v>
      </c>
      <c r="AW63" s="318" t="s">
        <v>188</v>
      </c>
      <c r="AX63" s="373">
        <v>69.69</v>
      </c>
      <c r="AY63" s="24">
        <f t="shared" si="114"/>
        <v>93.75</v>
      </c>
      <c r="AZ63" s="6">
        <v>3.5</v>
      </c>
      <c r="BA63" s="6">
        <v>5</v>
      </c>
      <c r="BB63" s="31">
        <v>0.5</v>
      </c>
      <c r="BC63" s="6">
        <v>0.81</v>
      </c>
      <c r="BD63" s="6" t="s">
        <v>519</v>
      </c>
      <c r="BE63" s="6">
        <v>52.44</v>
      </c>
      <c r="BF63" s="6">
        <v>2.5</v>
      </c>
      <c r="BG63" s="6">
        <v>80</v>
      </c>
      <c r="BH63" s="31">
        <v>0.126</v>
      </c>
      <c r="BI63" s="31">
        <v>9.7000000000000003E-2</v>
      </c>
      <c r="BJ63" s="171">
        <f t="shared" si="115"/>
        <v>40</v>
      </c>
      <c r="BK63" s="31">
        <v>103.75</v>
      </c>
      <c r="BL63" s="6">
        <v>49.94</v>
      </c>
      <c r="BM63" s="6">
        <f>74.63-BF63</f>
        <v>72.13</v>
      </c>
      <c r="BN63" s="6" t="s">
        <v>519</v>
      </c>
      <c r="BO63" s="6">
        <v>56.81</v>
      </c>
      <c r="BP63" s="6">
        <v>53.25</v>
      </c>
      <c r="BQ63" s="6">
        <v>54.06</v>
      </c>
      <c r="BR63" s="6">
        <v>49.5</v>
      </c>
      <c r="BS63" s="6">
        <v>8</v>
      </c>
      <c r="BT63" s="6">
        <v>0.88</v>
      </c>
      <c r="BU63" s="6">
        <v>1</v>
      </c>
      <c r="BV63" s="6">
        <v>0.44</v>
      </c>
      <c r="BW63" s="6">
        <v>0.5</v>
      </c>
      <c r="BX63" s="6">
        <v>33.130000000000003</v>
      </c>
      <c r="BY63" s="6">
        <v>2.38</v>
      </c>
      <c r="BZ63" s="6">
        <v>62.56</v>
      </c>
      <c r="CA63" s="6">
        <v>63.38</v>
      </c>
      <c r="CB63" s="6">
        <v>34.75</v>
      </c>
      <c r="CC63" s="909">
        <v>3.4375</v>
      </c>
      <c r="CD63" s="910">
        <v>3.9375</v>
      </c>
      <c r="CE63" s="6">
        <f>BA63+0</f>
        <v>5</v>
      </c>
      <c r="CF63" s="108">
        <f t="shared" ref="CF63:CF64" si="132">BA63+1</f>
        <v>6</v>
      </c>
      <c r="CG63" s="23"/>
      <c r="CH63" s="220" t="s">
        <v>188</v>
      </c>
      <c r="CI63" s="37">
        <v>69.88</v>
      </c>
      <c r="CJ63" s="24">
        <f t="shared" si="118"/>
        <v>93.88</v>
      </c>
      <c r="CK63" s="6">
        <v>4</v>
      </c>
      <c r="CL63" s="6">
        <v>6</v>
      </c>
      <c r="CM63" s="31">
        <v>0.5</v>
      </c>
      <c r="CN63" s="6">
        <v>0.81</v>
      </c>
      <c r="CO63" s="6" t="s">
        <v>519</v>
      </c>
      <c r="CP63" s="6">
        <v>52.44</v>
      </c>
      <c r="CQ63" s="6">
        <v>2.5</v>
      </c>
      <c r="CR63" s="6">
        <v>80</v>
      </c>
      <c r="CS63" s="31">
        <v>0.17499999999999999</v>
      </c>
      <c r="CT63" s="31">
        <v>0.17499999999999999</v>
      </c>
      <c r="CU63" s="31">
        <f t="shared" si="119"/>
        <v>40</v>
      </c>
      <c r="CV63" s="31">
        <v>105.88</v>
      </c>
      <c r="CW63" s="6">
        <v>50</v>
      </c>
      <c r="CX63" s="6">
        <f>75.69-CQ63</f>
        <v>73.19</v>
      </c>
      <c r="CY63" s="6" t="s">
        <v>519</v>
      </c>
      <c r="CZ63" s="6">
        <v>56.88</v>
      </c>
      <c r="DA63" s="6">
        <v>55.12</v>
      </c>
      <c r="DB63" s="6">
        <v>50.06</v>
      </c>
      <c r="DC63" s="6">
        <v>10</v>
      </c>
      <c r="DD63" s="6">
        <v>1.25</v>
      </c>
      <c r="DE63" s="6">
        <v>0.63</v>
      </c>
      <c r="DF63" s="6">
        <v>32.630000000000003</v>
      </c>
      <c r="DG63" s="6">
        <v>2.88</v>
      </c>
      <c r="DH63" s="6">
        <v>66.63</v>
      </c>
      <c r="DI63" s="6">
        <v>34.75</v>
      </c>
      <c r="DJ63" s="909">
        <v>4.9375</v>
      </c>
      <c r="DK63" s="108">
        <f t="shared" ref="DK63:DK64" si="133">CL63+1</f>
        <v>7</v>
      </c>
    </row>
    <row r="64" spans="2:115" ht="13.5" thickBot="1" x14ac:dyDescent="0.25">
      <c r="B64" s="944"/>
      <c r="C64" s="290" t="s">
        <v>2162</v>
      </c>
      <c r="D64" s="406">
        <f t="shared" si="89"/>
        <v>73</v>
      </c>
      <c r="E64" s="355" t="s">
        <v>2059</v>
      </c>
      <c r="F64" s="424" t="str">
        <f t="shared" si="90"/>
        <v>445T</v>
      </c>
      <c r="G64" s="369">
        <f t="shared" si="91"/>
        <v>77.25</v>
      </c>
      <c r="H64" s="401">
        <f t="shared" si="91"/>
        <v>103.375</v>
      </c>
      <c r="I64" s="1">
        <f t="shared" si="91"/>
        <v>3.5</v>
      </c>
      <c r="J64" s="40">
        <f t="shared" si="91"/>
        <v>5</v>
      </c>
      <c r="K64" s="335">
        <f t="shared" si="91"/>
        <v>0.5</v>
      </c>
      <c r="L64" s="1">
        <f t="shared" si="91"/>
        <v>0.81</v>
      </c>
      <c r="M64" s="40">
        <v>0.75</v>
      </c>
      <c r="N64" s="40">
        <f t="shared" si="92"/>
        <v>58</v>
      </c>
      <c r="O64" s="40">
        <f t="shared" si="93"/>
        <v>61.38</v>
      </c>
      <c r="P64" s="40">
        <f t="shared" si="94"/>
        <v>24.380000000000003</v>
      </c>
      <c r="Q64" s="40">
        <f t="shared" si="95"/>
        <v>2.5</v>
      </c>
      <c r="R64" s="1">
        <f t="shared" si="95"/>
        <v>88</v>
      </c>
      <c r="S64" s="1">
        <f t="shared" si="95"/>
        <v>0.126</v>
      </c>
      <c r="T64" s="1">
        <f t="shared" si="95"/>
        <v>0.126</v>
      </c>
      <c r="U64" s="168">
        <f t="shared" si="95"/>
        <v>44</v>
      </c>
      <c r="V64" s="26">
        <f t="shared" si="95"/>
        <v>113.375</v>
      </c>
      <c r="W64" s="1">
        <f t="shared" si="95"/>
        <v>55.38</v>
      </c>
      <c r="X64" s="1">
        <f t="shared" si="95"/>
        <v>79.63</v>
      </c>
      <c r="Y64" s="40">
        <f t="shared" si="96"/>
        <v>62.88</v>
      </c>
      <c r="Z64" s="40">
        <f t="shared" si="97"/>
        <v>58.81</v>
      </c>
      <c r="AA64" s="40">
        <f t="shared" si="98"/>
        <v>69.19</v>
      </c>
      <c r="AB64" s="40">
        <f t="shared" si="99"/>
        <v>38.5</v>
      </c>
      <c r="AC64" s="26">
        <f t="shared" si="100"/>
        <v>3.9375</v>
      </c>
      <c r="AD64" s="112">
        <f t="shared" si="101"/>
        <v>9</v>
      </c>
      <c r="AE64" s="1">
        <f t="shared" si="102"/>
        <v>1</v>
      </c>
      <c r="AF64" s="128">
        <f t="shared" si="103"/>
        <v>0.5</v>
      </c>
      <c r="AG64" s="112" t="s">
        <v>519</v>
      </c>
      <c r="AH64" s="40">
        <f t="shared" si="104"/>
        <v>54.31</v>
      </c>
      <c r="AI64" s="1">
        <f t="shared" si="105"/>
        <v>37.130000000000003</v>
      </c>
      <c r="AJ64" s="177">
        <f t="shared" si="105"/>
        <v>2.38</v>
      </c>
      <c r="AK64" s="420">
        <f t="shared" si="106"/>
        <v>6.8699999999999974</v>
      </c>
      <c r="AL64" s="112">
        <f t="shared" si="107"/>
        <v>81</v>
      </c>
      <c r="AM64" s="1">
        <f t="shared" si="108"/>
        <v>56.940000000000005</v>
      </c>
      <c r="AN64" s="26">
        <f t="shared" si="109"/>
        <v>67.193750000000009</v>
      </c>
      <c r="AO64" s="177">
        <v>2</v>
      </c>
      <c r="AP64" s="112">
        <f t="shared" si="110"/>
        <v>6</v>
      </c>
      <c r="AQ64" s="40">
        <v>0.5</v>
      </c>
      <c r="AR64" s="26">
        <f t="shared" si="111"/>
        <v>5.90625</v>
      </c>
      <c r="AS64" s="177">
        <f t="shared" si="112"/>
        <v>5.5</v>
      </c>
      <c r="AT64" s="128">
        <f t="shared" si="113"/>
        <v>6.03125</v>
      </c>
      <c r="AU64" s="341"/>
      <c r="AV64" s="223" t="s">
        <v>188</v>
      </c>
      <c r="AW64" s="392" t="s">
        <v>188</v>
      </c>
      <c r="AX64" s="348">
        <v>77.25</v>
      </c>
      <c r="AY64" s="381">
        <f t="shared" si="114"/>
        <v>103.375</v>
      </c>
      <c r="AZ64" s="1">
        <v>3.5</v>
      </c>
      <c r="BA64" s="1">
        <v>5</v>
      </c>
      <c r="BB64" s="26">
        <v>0.5</v>
      </c>
      <c r="BC64" s="1">
        <v>0.81</v>
      </c>
      <c r="BD64" s="1" t="s">
        <v>519</v>
      </c>
      <c r="BE64" s="1">
        <v>58</v>
      </c>
      <c r="BF64" s="1">
        <v>2.5</v>
      </c>
      <c r="BG64" s="1">
        <v>88</v>
      </c>
      <c r="BH64" s="26">
        <v>0.126</v>
      </c>
      <c r="BI64" s="26">
        <v>0.126</v>
      </c>
      <c r="BJ64" s="168">
        <f t="shared" si="115"/>
        <v>44</v>
      </c>
      <c r="BK64" s="26">
        <v>113.375</v>
      </c>
      <c r="BL64" s="1">
        <v>55.38</v>
      </c>
      <c r="BM64" s="1">
        <f>82.13-BF64</f>
        <v>79.63</v>
      </c>
      <c r="BN64" s="1" t="s">
        <v>519</v>
      </c>
      <c r="BO64" s="1">
        <v>62.88</v>
      </c>
      <c r="BP64" s="1">
        <v>58.81</v>
      </c>
      <c r="BQ64" s="1">
        <v>58.81</v>
      </c>
      <c r="BR64" s="1">
        <v>54.31</v>
      </c>
      <c r="BS64" s="1">
        <v>9</v>
      </c>
      <c r="BT64" s="1">
        <v>1</v>
      </c>
      <c r="BU64" s="1">
        <v>1</v>
      </c>
      <c r="BV64" s="1">
        <v>0.5</v>
      </c>
      <c r="BW64" s="1">
        <v>0.5</v>
      </c>
      <c r="BX64" s="1">
        <v>37.130000000000003</v>
      </c>
      <c r="BY64" s="1">
        <v>2.38</v>
      </c>
      <c r="BZ64" s="1">
        <v>69.19</v>
      </c>
      <c r="CA64" s="1">
        <v>69.19</v>
      </c>
      <c r="CB64" s="1">
        <v>38.5</v>
      </c>
      <c r="CC64" s="911">
        <v>3.9375</v>
      </c>
      <c r="CD64" s="912">
        <v>3.9375</v>
      </c>
      <c r="CE64" s="1">
        <f>BA64+1</f>
        <v>6</v>
      </c>
      <c r="CF64" s="128">
        <f t="shared" si="132"/>
        <v>6</v>
      </c>
      <c r="CG64" s="23"/>
      <c r="CH64" s="223" t="s">
        <v>188</v>
      </c>
      <c r="CI64" s="40">
        <v>77.38</v>
      </c>
      <c r="CJ64" s="26">
        <f t="shared" si="118"/>
        <v>103.5</v>
      </c>
      <c r="CK64" s="1">
        <v>4</v>
      </c>
      <c r="CL64" s="1">
        <v>6</v>
      </c>
      <c r="CM64" s="26">
        <v>0.5</v>
      </c>
      <c r="CN64" s="1">
        <v>0.81</v>
      </c>
      <c r="CO64" s="1" t="s">
        <v>519</v>
      </c>
      <c r="CP64" s="1">
        <v>58</v>
      </c>
      <c r="CQ64" s="1">
        <v>2.5</v>
      </c>
      <c r="CR64" s="1">
        <v>88</v>
      </c>
      <c r="CS64" s="26">
        <v>0.17499999999999999</v>
      </c>
      <c r="CT64" s="26">
        <v>0.17499999999999999</v>
      </c>
      <c r="CU64" s="26">
        <f t="shared" si="119"/>
        <v>44</v>
      </c>
      <c r="CV64" s="26">
        <v>115.5</v>
      </c>
      <c r="CW64" s="1">
        <v>55.44</v>
      </c>
      <c r="CX64" s="1">
        <f>83.19-CQ64</f>
        <v>80.69</v>
      </c>
      <c r="CY64" s="1" t="s">
        <v>519</v>
      </c>
      <c r="CZ64" s="1">
        <v>62.94</v>
      </c>
      <c r="DA64" s="1">
        <v>59.94</v>
      </c>
      <c r="DB64" s="1">
        <v>54.88</v>
      </c>
      <c r="DC64" s="1">
        <v>10</v>
      </c>
      <c r="DD64" s="1">
        <v>1.25</v>
      </c>
      <c r="DE64" s="1">
        <v>0.63</v>
      </c>
      <c r="DF64" s="1">
        <v>36.630000000000003</v>
      </c>
      <c r="DG64" s="1">
        <v>2.88</v>
      </c>
      <c r="DH64" s="1">
        <v>71.44</v>
      </c>
      <c r="DI64" s="1">
        <v>38.5</v>
      </c>
      <c r="DJ64" s="911">
        <v>4.9375</v>
      </c>
      <c r="DK64" s="128">
        <f t="shared" si="133"/>
        <v>7</v>
      </c>
    </row>
  </sheetData>
  <mergeCells count="18">
    <mergeCell ref="B46:B52"/>
    <mergeCell ref="B53:B57"/>
    <mergeCell ref="B58:B64"/>
    <mergeCell ref="C24:AC24"/>
    <mergeCell ref="B25:B31"/>
    <mergeCell ref="B32:B36"/>
    <mergeCell ref="B37:B43"/>
    <mergeCell ref="C45:AC45"/>
    <mergeCell ref="AV2:CF2"/>
    <mergeCell ref="CH2:DK2"/>
    <mergeCell ref="B4:B10"/>
    <mergeCell ref="B11:B15"/>
    <mergeCell ref="B16:B22"/>
    <mergeCell ref="C2:AC2"/>
    <mergeCell ref="AD2:AF2"/>
    <mergeCell ref="AG2:AK2"/>
    <mergeCell ref="AL2:AO2"/>
    <mergeCell ref="AP2:AT2"/>
  </mergeCells>
  <pageMargins left="0.7" right="0.7" top="0.75" bottom="0.75" header="0.3" footer="0.3"/>
  <pageSetup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76"/>
  <sheetViews>
    <sheetView showGridLines="0" zoomScale="85" workbookViewId="0">
      <selection activeCell="B7" sqref="B7"/>
    </sheetView>
  </sheetViews>
  <sheetFormatPr defaultRowHeight="12.75" x14ac:dyDescent="0.2"/>
  <cols>
    <col min="1" max="1" width="5.28515625" bestFit="1" customWidth="1"/>
    <col min="2" max="5" width="18" bestFit="1" customWidth="1"/>
    <col min="6" max="6" width="2.5703125" customWidth="1"/>
    <col min="7" max="7" width="6.42578125" customWidth="1"/>
    <col min="8" max="8" width="27.140625" customWidth="1"/>
    <col min="9" max="9" width="12" customWidth="1"/>
    <col min="10" max="10" width="7.7109375" customWidth="1"/>
  </cols>
  <sheetData>
    <row r="1" spans="1:10" ht="15.95" customHeight="1" thickBot="1" x14ac:dyDescent="0.3">
      <c r="A1" s="965" t="s">
        <v>218</v>
      </c>
      <c r="B1" s="965"/>
      <c r="C1" s="965"/>
      <c r="D1" s="965"/>
      <c r="E1" s="965"/>
      <c r="F1" s="965"/>
      <c r="H1" s="149"/>
      <c r="I1" s="72"/>
    </row>
    <row r="2" spans="1:10" ht="13.5" customHeight="1" thickBot="1" x14ac:dyDescent="0.25">
      <c r="A2" s="144"/>
      <c r="B2" s="144"/>
      <c r="C2" s="144"/>
      <c r="D2" s="144"/>
      <c r="E2" s="144"/>
      <c r="F2" s="144"/>
      <c r="H2" s="921" t="s">
        <v>1037</v>
      </c>
      <c r="I2" s="923"/>
    </row>
    <row r="3" spans="1:10" ht="13.5" customHeight="1" thickBot="1" x14ac:dyDescent="0.25">
      <c r="A3" s="144"/>
      <c r="B3" s="104" t="s">
        <v>2126</v>
      </c>
      <c r="C3" s="60" t="s">
        <v>493</v>
      </c>
      <c r="D3" s="60" t="s">
        <v>1019</v>
      </c>
      <c r="E3" s="107" t="s">
        <v>1592</v>
      </c>
      <c r="F3" s="144"/>
      <c r="H3" s="196" t="s">
        <v>221</v>
      </c>
      <c r="I3" s="502">
        <f>IF('Excel Calcs'!B20="TYPEA",'Excel Calcs'!N62-'Excel Calcs'!N11*2-'Excel Calcs'!N12*2,IF(OR('Excel Calcs'!B27=6,'Excel Calcs'!B27=8),'Excel Calcs'!K25+'Excel Calcs'!K106*2-'Excel Calcs'!K17*2-'Excel Calcs'!K93,'Excel Calcs'!K25+'Excel Calcs'!K106*2-'Excel Calcs'!K93))</f>
        <v>43.610000000000014</v>
      </c>
    </row>
    <row r="4" spans="1:10" ht="13.5" customHeight="1" thickBot="1" x14ac:dyDescent="0.25">
      <c r="A4" s="144"/>
      <c r="B4" s="588">
        <f t="shared" ref="B4:E4" si="0">ROUNDUP(SUM(B18,B21,B24,B27,B30,B33,B36,B39,B42,B45,B48,B51,B54,B57,B60),0)</f>
        <v>384</v>
      </c>
      <c r="C4" s="511">
        <f t="shared" si="0"/>
        <v>773</v>
      </c>
      <c r="D4" s="511">
        <f t="shared" si="0"/>
        <v>470</v>
      </c>
      <c r="E4" s="648">
        <f t="shared" si="0"/>
        <v>478</v>
      </c>
      <c r="F4" s="144"/>
      <c r="H4" s="282" t="s">
        <v>1325</v>
      </c>
      <c r="I4" s="411">
        <f>IF('Excel Calcs'!B20="TYPEA",'Excel Calcs'!N18+'Excel Calcs'!N63*2-'Excel Calcs'!N13*2,IF(OR('Excel Calcs'!B27=6,'Excel Calcs'!B27=8),'Excel Calcs'!K14+'Excel Calcs'!K29*2+'Excel Calcs'!K92*2-'Excel Calcs'!K97*2,'Excel Calcs'!K14+'Excel Calcs'!K92*2-'Excel Calcs'!K97*2))</f>
        <v>87.030599999999993</v>
      </c>
    </row>
    <row r="5" spans="1:10" ht="13.5" customHeight="1" x14ac:dyDescent="0.2">
      <c r="A5" s="144"/>
      <c r="B5" s="966" t="s">
        <v>955</v>
      </c>
      <c r="C5" s="968" t="s">
        <v>1665</v>
      </c>
      <c r="D5" s="968" t="s">
        <v>2193</v>
      </c>
      <c r="E5" s="970" t="s">
        <v>551</v>
      </c>
      <c r="F5" s="144"/>
      <c r="H5" s="164" t="s">
        <v>80</v>
      </c>
      <c r="I5" s="211">
        <f>I3-I6</f>
        <v>19.810000000000009</v>
      </c>
    </row>
    <row r="6" spans="1:10" ht="13.5" customHeight="1" thickBot="1" x14ac:dyDescent="0.25">
      <c r="A6" s="144"/>
      <c r="B6" s="967"/>
      <c r="C6" s="969"/>
      <c r="D6" s="969"/>
      <c r="E6" s="971"/>
      <c r="F6" s="144"/>
      <c r="H6" s="91" t="s">
        <v>1173</v>
      </c>
      <c r="I6" s="141">
        <f>'Excel Calcs'!B15-'Excel Calcs'!H104</f>
        <v>23.800000000000004</v>
      </c>
      <c r="J6" s="351"/>
    </row>
    <row r="7" spans="1:10" ht="13.5" customHeight="1" thickBot="1" x14ac:dyDescent="0.25">
      <c r="A7" s="144"/>
      <c r="B7" s="86" t="str">
        <f>VLOOKUP('Excel Calcs'!H43,Isolator_Table,MATCH(ISO_PN,Isolator_Data_Column_Names,0),FALSE)</f>
        <v>029 23800 111</v>
      </c>
      <c r="C7" s="62" t="str">
        <f>VLOOKUP('Excel Calcs'!H56,Isolator_Table,MATCH(ISO_PN,Isolator_Data_Column_Names,0),FALSE)</f>
        <v xml:space="preserve">029 23800 104 </v>
      </c>
      <c r="D7" s="62" t="str">
        <f>VLOOKUP('Excel Calcs'!H69,Isolator_Table,MATCH(ISO_PN,Isolator_Data_Column_Names,0),FALSE)</f>
        <v>029 23800 103</v>
      </c>
      <c r="E7" s="101" t="str">
        <f>VLOOKUP('Excel Calcs'!H82,Isolator_Table,MATCH(ISO_PN,Isolator_Data_Column_Names,0),FALSE)</f>
        <v>029 23800 103</v>
      </c>
      <c r="F7" s="144"/>
      <c r="H7" s="91" t="s">
        <v>495</v>
      </c>
      <c r="I7" s="141">
        <f>I4-I8</f>
        <v>58.400199999999991</v>
      </c>
    </row>
    <row r="8" spans="1:10" ht="13.5" customHeight="1" thickBot="1" x14ac:dyDescent="0.25">
      <c r="A8" s="144"/>
      <c r="B8" s="966" t="s">
        <v>1666</v>
      </c>
      <c r="C8" s="968" t="s">
        <v>2194</v>
      </c>
      <c r="D8" s="968" t="s">
        <v>552</v>
      </c>
      <c r="E8" s="970" t="s">
        <v>1096</v>
      </c>
      <c r="F8" s="144"/>
      <c r="H8" s="189" t="s">
        <v>1598</v>
      </c>
      <c r="I8" s="197">
        <f>'Excel Calcs'!B17-'Excel Calcs'!H103</f>
        <v>28.630400000000002</v>
      </c>
    </row>
    <row r="9" spans="1:10" ht="13.5" customHeight="1" thickBot="1" x14ac:dyDescent="0.25">
      <c r="A9" s="144"/>
      <c r="B9" s="967"/>
      <c r="C9" s="969"/>
      <c r="D9" s="969"/>
      <c r="E9" s="971"/>
      <c r="F9" s="144"/>
      <c r="H9" s="196" t="s">
        <v>1455</v>
      </c>
      <c r="I9" s="502">
        <f>I3-I10</f>
        <v>35.690000000000012</v>
      </c>
    </row>
    <row r="10" spans="1:10" ht="13.5" customHeight="1" thickBot="1" x14ac:dyDescent="0.25">
      <c r="A10" s="144"/>
      <c r="B10" s="877" t="str" cm="1">
        <f t="array" ref="B10">INDEX('Isolator Plate'!H4:H35,MATCH(1,('Isolator Plate'!C4:C35=MaterialStyle)*('Isolator Plate'!B4:B35=Construction)*('Isolator Plate'!D4:D35='Excel Calcs'!$H$11),0))</f>
        <v>391 20112 103</v>
      </c>
      <c r="C10" s="878" t="str" cm="1">
        <f t="array" ref="C10">INDEX('Isolator Plate'!H4:H35,MATCH(1,('Isolator Plate'!C4:C35=MaterialStyle)*('Isolator Plate'!B4:B35=Construction)*('Isolator Plate'!D4:D35='Excel Calcs'!$H$18),0))</f>
        <v>391 20112 101</v>
      </c>
      <c r="D10" s="878" t="str" cm="1">
        <f t="array" ref="D10">INDEX('Isolator Plate'!H4:H35,MATCH(1,('Isolator Plate'!C4:C35=MaterialStyle)*('Isolator Plate'!B4:B35=Construction)*('Isolator Plate'!D4:D35='Excel Calcs'!$H$25),0))</f>
        <v>391 20112 103</v>
      </c>
      <c r="E10" s="879" t="str" cm="1">
        <f t="array" ref="E10">INDEX('Isolator Plate'!H4:H35,MATCH(1,('Isolator Plate'!C4:C35=MaterialStyle)*('Isolator Plate'!B4:B35=Construction)*('Isolator Plate'!D4:D35='Excel Calcs'!$H$32),0))</f>
        <v>391 20112 101</v>
      </c>
      <c r="F10" s="144"/>
      <c r="H10" s="91" t="s">
        <v>363</v>
      </c>
      <c r="I10" s="141">
        <f>I14</f>
        <v>7.9200000000000017</v>
      </c>
    </row>
    <row r="11" spans="1:10" ht="13.5" customHeight="1" thickBot="1" x14ac:dyDescent="0.25">
      <c r="A11" s="592" t="s">
        <v>1939</v>
      </c>
      <c r="B11" s="718">
        <v>1</v>
      </c>
      <c r="C11" s="519">
        <v>1</v>
      </c>
      <c r="D11" s="519">
        <v>1</v>
      </c>
      <c r="E11" s="716">
        <v>1</v>
      </c>
      <c r="F11" s="144"/>
      <c r="H11" s="91" t="s">
        <v>1746</v>
      </c>
      <c r="I11" s="141">
        <f>I4-I12</f>
        <v>12.895199999999988</v>
      </c>
    </row>
    <row r="12" spans="1:10" ht="13.5" customHeight="1" thickBot="1" x14ac:dyDescent="0.25">
      <c r="A12" s="144"/>
      <c r="B12" s="144"/>
      <c r="C12" s="144"/>
      <c r="D12" s="144"/>
      <c r="E12" s="144"/>
      <c r="F12" s="144"/>
      <c r="H12" s="282" t="s">
        <v>629</v>
      </c>
      <c r="I12" s="411">
        <f>I16</f>
        <v>74.135400000000004</v>
      </c>
    </row>
    <row r="13" spans="1:10" ht="13.5" customHeight="1" x14ac:dyDescent="0.2">
      <c r="H13" s="164" t="s">
        <v>1891</v>
      </c>
      <c r="I13" s="211">
        <f>I3-I14</f>
        <v>35.690000000000012</v>
      </c>
    </row>
    <row r="14" spans="1:10" ht="13.5" customHeight="1" x14ac:dyDescent="0.2">
      <c r="H14" s="91" t="s">
        <v>763</v>
      </c>
      <c r="I14" s="141">
        <f>IF('Excel Calcs'!B27=8,'Excel Calcs'!B15+'Excel Calcs'!E58-'Excel Calcs'!H104,'Excel Calcs'!B15+'Excel Calcs'!E58-'Excel Calcs'!H104)</f>
        <v>7.9200000000000017</v>
      </c>
    </row>
    <row r="15" spans="1:10" ht="13.5" customHeight="1" x14ac:dyDescent="0.25">
      <c r="A15" s="965" t="s">
        <v>1593</v>
      </c>
      <c r="B15" s="965"/>
      <c r="C15" s="965"/>
      <c r="D15" s="965"/>
      <c r="E15" s="965"/>
      <c r="F15" s="965"/>
      <c r="H15" s="91" t="s">
        <v>2128</v>
      </c>
      <c r="I15" s="141">
        <f>I4-I16</f>
        <v>12.895199999999988</v>
      </c>
    </row>
    <row r="16" spans="1:10" ht="13.5" customHeight="1" thickBot="1" x14ac:dyDescent="0.25">
      <c r="A16" s="123"/>
      <c r="B16" s="972" t="s">
        <v>501</v>
      </c>
      <c r="C16" s="973"/>
      <c r="D16" s="973"/>
      <c r="E16" s="973"/>
      <c r="F16" s="123"/>
      <c r="H16" s="189" t="s">
        <v>1022</v>
      </c>
      <c r="I16" s="197">
        <f>'Excel Calcs'!E56-'Excel Calcs'!H103</f>
        <v>74.135400000000004</v>
      </c>
    </row>
    <row r="17" spans="1:9" ht="13.5" customHeight="1" thickBot="1" x14ac:dyDescent="0.25">
      <c r="A17" s="123"/>
      <c r="B17" s="104" t="s">
        <v>1324</v>
      </c>
      <c r="C17" s="60" t="s">
        <v>1890</v>
      </c>
      <c r="D17" s="60" t="s">
        <v>220</v>
      </c>
      <c r="E17" s="107" t="s">
        <v>761</v>
      </c>
      <c r="F17" s="123"/>
      <c r="H17" s="196" t="s">
        <v>937</v>
      </c>
      <c r="I17" s="502">
        <f>IF(I18=0,0,I3-I18)</f>
        <v>21.805000000000007</v>
      </c>
    </row>
    <row r="18" spans="1:9" ht="13.5" customHeight="1" thickBot="1" x14ac:dyDescent="0.25">
      <c r="A18" s="123"/>
      <c r="B18" s="86">
        <f>I63/4</f>
        <v>53.611038333333326</v>
      </c>
      <c r="C18" s="62">
        <f>B18</f>
        <v>53.611038333333326</v>
      </c>
      <c r="D18" s="62">
        <f>B18</f>
        <v>53.611038333333326</v>
      </c>
      <c r="E18" s="101">
        <f>B18</f>
        <v>53.611038333333326</v>
      </c>
      <c r="F18" s="123"/>
      <c r="H18" s="91" t="s">
        <v>2039</v>
      </c>
      <c r="I18" s="141">
        <f>IF('Excel Calcs'!N72=1,'Excel Calcs'!N76/2+'Excel Calcs'!N20-'Excel Calcs'!N11-'Excel Calcs'!N12,IF('Excel Calcs'!K36=1,'Excel Calcs'!K42/2+'Excel Calcs'!K106-'Excel Calcs'!K93/2,0))</f>
        <v>21.805000000000007</v>
      </c>
    </row>
    <row r="19" spans="1:9" ht="13.5" customHeight="1" thickBot="1" x14ac:dyDescent="0.25">
      <c r="A19" s="123"/>
      <c r="B19" s="972" t="s">
        <v>1941</v>
      </c>
      <c r="C19" s="973"/>
      <c r="D19" s="973"/>
      <c r="E19" s="973"/>
      <c r="F19" s="123"/>
      <c r="H19" s="91" t="s">
        <v>1383</v>
      </c>
      <c r="I19" s="141">
        <f>IF(I20=0,0,I4-I20)</f>
        <v>35.820599999999992</v>
      </c>
    </row>
    <row r="20" spans="1:9" ht="13.5" customHeight="1" thickBot="1" x14ac:dyDescent="0.25">
      <c r="A20" s="123"/>
      <c r="B20" s="104" t="s">
        <v>1020</v>
      </c>
      <c r="C20" s="60" t="s">
        <v>1594</v>
      </c>
      <c r="D20" s="60" t="s">
        <v>2127</v>
      </c>
      <c r="E20" s="107" t="s">
        <v>494</v>
      </c>
      <c r="F20" s="123"/>
      <c r="H20" s="282" t="s">
        <v>279</v>
      </c>
      <c r="I20" s="411">
        <f>IF(AND('Excel Calcs'!N72=1,'Excel Calcs'!B8=1),'Excel Calcs'!N73-'Excel Calcs'!H103,IF(AND('Excel Calcs'!N72=1,'Excel Calcs'!B8=2),'Excel Calcs'!N74-'Excel Calcs'!H103,IF(AND('Excel Calcs'!K36=1,'Excel Calcs'!B8=2),'Excel Calcs'!B17-'Excel Calcs'!K39+'Excel Calcs'!K49-'Excel Calcs'!K45/2-'Excel Calcs'!H103,IF(AND('Excel Calcs'!K36=1,'Excel Calcs'!B8=1),'Excel Calcs'!B17+'Excel Calcs'!K39-'Excel Calcs'!K49+'Excel Calcs'!K45/2-'Excel Calcs'!H103,0))))</f>
        <v>51.21</v>
      </c>
    </row>
    <row r="21" spans="1:9" ht="13.5" customHeight="1" thickBot="1" x14ac:dyDescent="0.25">
      <c r="A21" s="123"/>
      <c r="B21" s="86">
        <f>(I8*((I6*I64)/I3))/I4</f>
        <v>188.33099314796453</v>
      </c>
      <c r="C21" s="62">
        <f>(I8*((I5*I64)/I3))/I4</f>
        <v>156.75785606139405</v>
      </c>
      <c r="D21" s="62">
        <f>(I7*((I6*I64)/I3))/I4</f>
        <v>384.15696832876097</v>
      </c>
      <c r="E21" s="101">
        <f>(I7*((I5*I64)/I3))/I4</f>
        <v>319.75418246188053</v>
      </c>
      <c r="F21" s="123"/>
      <c r="H21" s="164" t="s">
        <v>938</v>
      </c>
      <c r="I21" s="211">
        <f>IF(I22=0,0,I3-I22)</f>
        <v>21.805000000000007</v>
      </c>
    </row>
    <row r="22" spans="1:9" ht="13.5" customHeight="1" thickBot="1" x14ac:dyDescent="0.25">
      <c r="A22" s="123"/>
      <c r="B22" s="972" t="s">
        <v>2136</v>
      </c>
      <c r="C22" s="973"/>
      <c r="D22" s="973"/>
      <c r="E22" s="973"/>
      <c r="F22" s="123"/>
      <c r="H22" s="91" t="s">
        <v>2040</v>
      </c>
      <c r="I22" s="141">
        <f>IF('Excel Calcs'!N72=1,'Excel Calcs'!N76/2+'Excel Calcs'!N20-'Excel Calcs'!N11-'Excel Calcs'!N12,IF('Excel Calcs'!K35=1,'Excel Calcs'!K38-'Excel Calcs'!H104,0))</f>
        <v>21.805000000000007</v>
      </c>
    </row>
    <row r="23" spans="1:9" ht="13.5" customHeight="1" thickBot="1" x14ac:dyDescent="0.25">
      <c r="A23" s="123"/>
      <c r="B23" s="104" t="s">
        <v>2009</v>
      </c>
      <c r="C23" s="60" t="s">
        <v>361</v>
      </c>
      <c r="D23" s="60" t="s">
        <v>890</v>
      </c>
      <c r="E23" s="107" t="s">
        <v>1595</v>
      </c>
      <c r="F23" s="123"/>
      <c r="H23" s="91" t="s">
        <v>1229</v>
      </c>
      <c r="I23" s="141">
        <f>IF(I24=0,0,I4-I24)</f>
        <v>20.855599999999981</v>
      </c>
    </row>
    <row r="24" spans="1:9" ht="13.5" customHeight="1" thickBot="1" x14ac:dyDescent="0.25">
      <c r="A24" s="123"/>
      <c r="B24" s="86">
        <f>(I12*((I10*I65)/I3))/I4</f>
        <v>112.15812981551147</v>
      </c>
      <c r="C24" s="62">
        <f>(I12*((I9*I65)/I3))/I4</f>
        <v>505.41965317116228</v>
      </c>
      <c r="D24" s="62">
        <f>(I11*((I10*I65)/I3))/I4</f>
        <v>19.508919026497221</v>
      </c>
      <c r="E24" s="101">
        <f>(I11*((I9*I65)/I3))/I4</f>
        <v>87.913297986829036</v>
      </c>
      <c r="F24" s="123"/>
      <c r="H24" s="282" t="s">
        <v>121</v>
      </c>
      <c r="I24" s="411">
        <f>IF(AND('Excel Calcs'!N72=1,'Excel Calcs'!B8=2),'Excel Calcs'!N73-'Excel Calcs'!H103,IF(AND('Excel Calcs'!N72=1,'Excel Calcs'!B8=1),'Excel Calcs'!N74-'Excel Calcs'!H103,IF(AND('Excel Calcs'!K35=1,'Excel Calcs'!B8=1),'Excel Calcs'!B17+'Excel Calcs'!K37-'Excel Calcs'!H103,IF(AND('Excel Calcs'!K35=1,'Excel Calcs'!B8=2),'Excel Calcs'!B17-'Excel Calcs'!K37-'Excel Calcs'!K50+'Excel Calcs'!K45/2-'Excel Calcs'!H103,0))))</f>
        <v>66.175000000000011</v>
      </c>
    </row>
    <row r="25" spans="1:9" ht="13.5" customHeight="1" thickBot="1" x14ac:dyDescent="0.25">
      <c r="A25" s="123"/>
      <c r="B25" s="972" t="s">
        <v>232</v>
      </c>
      <c r="C25" s="973"/>
      <c r="D25" s="973"/>
      <c r="E25" s="973"/>
      <c r="F25" s="123"/>
      <c r="H25" s="164" t="s">
        <v>1895</v>
      </c>
      <c r="I25" s="211">
        <f>IF(I26=0,0,I3-I26)</f>
        <v>0</v>
      </c>
    </row>
    <row r="26" spans="1:9" ht="13.5" customHeight="1" thickBot="1" x14ac:dyDescent="0.25">
      <c r="A26" s="123"/>
      <c r="B26" s="104" t="s">
        <v>1172</v>
      </c>
      <c r="C26" s="60" t="s">
        <v>1889</v>
      </c>
      <c r="D26" s="60" t="s">
        <v>219</v>
      </c>
      <c r="E26" s="107" t="s">
        <v>760</v>
      </c>
      <c r="F26" s="123"/>
      <c r="H26" s="91" t="s">
        <v>772</v>
      </c>
      <c r="I26" s="141">
        <f>IF('Excel Calcs'!N49=1,'Excel Calcs'!N58-'Excel Calcs'!H104,IF(AND('Excel Calcs'!K52=1,'Excel Calcs'!B27=6),'Excel Calcs'!K54-'Excel Calcs'!K59/2,IF(AND('Excel Calcs'!K52=1,'Excel Calcs'!B27=8),'Excel Calcs'!K54+'Excel Calcs'!K59/2,0)))</f>
        <v>0</v>
      </c>
    </row>
    <row r="27" spans="1:9" ht="13.5" customHeight="1" thickBot="1" x14ac:dyDescent="0.25">
      <c r="A27" s="123"/>
      <c r="B27" s="86">
        <f>(I16*((I14*I66)/I3))/I4</f>
        <v>4.7957269300425596</v>
      </c>
      <c r="C27" s="62">
        <f>(I16*((I13*I66)/I3))/I4</f>
        <v>21.611047239042801</v>
      </c>
      <c r="D27" s="62">
        <f>(I15*((I14*I66)/I3))/I4</f>
        <v>0.83417446871919154</v>
      </c>
      <c r="E27" s="101">
        <f>(I15*((I13*I66)/I3))/I4</f>
        <v>3.7590513621954482</v>
      </c>
      <c r="F27" s="123"/>
      <c r="H27" s="91" t="s">
        <v>2135</v>
      </c>
      <c r="I27" s="141">
        <f>IF(I28=0,0,I4-I28)</f>
        <v>0</v>
      </c>
    </row>
    <row r="28" spans="1:9" ht="13.5" customHeight="1" thickBot="1" x14ac:dyDescent="0.25">
      <c r="A28" s="123"/>
      <c r="B28" s="972" t="s">
        <v>812</v>
      </c>
      <c r="C28" s="973"/>
      <c r="D28" s="973"/>
      <c r="E28" s="973"/>
      <c r="F28" s="123"/>
      <c r="H28" s="189" t="s">
        <v>1036</v>
      </c>
      <c r="I28" s="197">
        <f>IF(OR('Excel Calcs'!B27=6,'Excel Calcs'!B27=8),'Excel Calcs'!B17-'Excel Calcs'!H103,0)</f>
        <v>0</v>
      </c>
    </row>
    <row r="29" spans="1:9" ht="13.5" customHeight="1" thickBot="1" x14ac:dyDescent="0.25">
      <c r="A29" s="123"/>
      <c r="B29" s="104" t="s">
        <v>531</v>
      </c>
      <c r="C29" s="60" t="s">
        <v>1073</v>
      </c>
      <c r="D29" s="60" t="s">
        <v>1649</v>
      </c>
      <c r="E29" s="107" t="s">
        <v>2174</v>
      </c>
      <c r="F29" s="123"/>
      <c r="H29" s="164" t="s">
        <v>1646</v>
      </c>
      <c r="I29" s="211">
        <f>I3-I30</f>
        <v>43.690000000000012</v>
      </c>
    </row>
    <row r="30" spans="1:9" ht="13.5" customHeight="1" thickBot="1" x14ac:dyDescent="0.25">
      <c r="A30" s="123"/>
      <c r="B30" s="86">
        <f>(I20*((I18*I67)/I3))/I4</f>
        <v>9.6037456653177173</v>
      </c>
      <c r="C30" s="62">
        <f>(I20*((I17*I67)/I3))/I4</f>
        <v>9.6037456653177173</v>
      </c>
      <c r="D30" s="62">
        <f>(I19*((I18*I67)/I3))/I4</f>
        <v>6.7176710013489505</v>
      </c>
      <c r="E30" s="101">
        <f>(I19*((I17*I67)/I3))/I4</f>
        <v>6.7176710013489505</v>
      </c>
      <c r="F30" s="123"/>
      <c r="H30" s="91" t="s">
        <v>527</v>
      </c>
      <c r="I30" s="141">
        <f>I14-'Excel Calcs'!E39</f>
        <v>-7.9999999999998295E-2</v>
      </c>
    </row>
    <row r="31" spans="1:9" ht="13.5" customHeight="1" thickBot="1" x14ac:dyDescent="0.25">
      <c r="A31" s="123"/>
      <c r="B31" s="972" t="s">
        <v>280</v>
      </c>
      <c r="C31" s="973"/>
      <c r="D31" s="973"/>
      <c r="E31" s="973"/>
      <c r="F31" s="123"/>
      <c r="H31" s="91" t="s">
        <v>1920</v>
      </c>
      <c r="I31" s="141">
        <f>I4-I32</f>
        <v>12.895199999999988</v>
      </c>
    </row>
    <row r="32" spans="1:9" ht="13.5" customHeight="1" thickBot="1" x14ac:dyDescent="0.25">
      <c r="A32" s="123"/>
      <c r="B32" s="104" t="s">
        <v>1384</v>
      </c>
      <c r="C32" s="60" t="s">
        <v>1923</v>
      </c>
      <c r="D32" s="60" t="s">
        <v>281</v>
      </c>
      <c r="E32" s="107" t="s">
        <v>813</v>
      </c>
      <c r="F32" s="123"/>
      <c r="H32" s="91" t="s">
        <v>806</v>
      </c>
      <c r="I32" s="141">
        <f>'Excel Calcs'!K64-'Excel Calcs'!H103</f>
        <v>74.135400000000004</v>
      </c>
    </row>
    <row r="33" spans="1:11" ht="13.5" customHeight="1" thickBot="1" x14ac:dyDescent="0.25">
      <c r="A33" s="123"/>
      <c r="B33" s="86">
        <f>(I24*((I22*I68)/I3))/I4</f>
        <v>12.410229826252687</v>
      </c>
      <c r="C33" s="62">
        <f>(I24*((I21*I68)/I3))/I4</f>
        <v>12.410229826252687</v>
      </c>
      <c r="D33" s="62">
        <f>(I23*((I22*I68)/I3))/I4</f>
        <v>3.9111868404139813</v>
      </c>
      <c r="E33" s="101">
        <f>(I23*((I21*I68)/I3))/I4</f>
        <v>3.9111868404139813</v>
      </c>
      <c r="F33" s="123"/>
      <c r="H33" s="91" t="s">
        <v>1223</v>
      </c>
      <c r="I33" s="141">
        <f>I3-I34</f>
        <v>27.690000000000012</v>
      </c>
    </row>
    <row r="34" spans="1:11" ht="13.5" customHeight="1" thickBot="1" x14ac:dyDescent="0.25">
      <c r="A34" s="123"/>
      <c r="B34" s="972" t="s">
        <v>897</v>
      </c>
      <c r="C34" s="973"/>
      <c r="D34" s="973"/>
      <c r="E34" s="973"/>
      <c r="F34" s="123"/>
      <c r="H34" s="91" t="s">
        <v>118</v>
      </c>
      <c r="I34" s="141">
        <f>I14+'Excel Calcs'!E39</f>
        <v>15.920000000000002</v>
      </c>
    </row>
    <row r="35" spans="1:11" ht="13.5" customHeight="1" thickBot="1" x14ac:dyDescent="0.25">
      <c r="A35" s="123"/>
      <c r="B35" s="104" t="s">
        <v>773</v>
      </c>
      <c r="C35" s="60" t="s">
        <v>1336</v>
      </c>
      <c r="D35" s="60" t="s">
        <v>1896</v>
      </c>
      <c r="E35" s="107" t="s">
        <v>233</v>
      </c>
      <c r="F35" s="123"/>
      <c r="H35" s="91" t="s">
        <v>1496</v>
      </c>
      <c r="I35" s="141">
        <f>I4-I36</f>
        <v>12.895199999999988</v>
      </c>
    </row>
    <row r="36" spans="1:11" ht="13.5" customHeight="1" thickBot="1" x14ac:dyDescent="0.25">
      <c r="A36" s="123"/>
      <c r="B36" s="86">
        <f>(I28*((I26*I69)/I3))/I4</f>
        <v>0</v>
      </c>
      <c r="C36" s="62">
        <f>(I28*((I25*I69)/I3))/I4</f>
        <v>0</v>
      </c>
      <c r="D36" s="62">
        <f>(I27*((I26*I69)/I3))/I4</f>
        <v>0</v>
      </c>
      <c r="E36" s="101">
        <f>(I27*((I25*I69)/I3))/I4</f>
        <v>0</v>
      </c>
      <c r="F36" s="123"/>
      <c r="H36" s="189" t="s">
        <v>400</v>
      </c>
      <c r="I36" s="197">
        <f>I32</f>
        <v>74.135400000000004</v>
      </c>
    </row>
    <row r="37" spans="1:11" ht="13.5" customHeight="1" thickBot="1" x14ac:dyDescent="0.25">
      <c r="A37" s="123"/>
      <c r="B37" s="972" t="s">
        <v>1645</v>
      </c>
      <c r="C37" s="973"/>
      <c r="D37" s="973"/>
      <c r="E37" s="973"/>
      <c r="F37" s="123"/>
      <c r="H37" s="164" t="s">
        <v>1075</v>
      </c>
      <c r="I37" s="211">
        <f>I3-I38</f>
        <v>21.805000000000007</v>
      </c>
    </row>
    <row r="38" spans="1:11" ht="13.5" customHeight="1" thickBot="1" x14ac:dyDescent="0.25">
      <c r="A38" s="123"/>
      <c r="B38" s="104" t="s">
        <v>675</v>
      </c>
      <c r="C38" s="60" t="s">
        <v>1232</v>
      </c>
      <c r="D38" s="60" t="s">
        <v>1927</v>
      </c>
      <c r="E38" s="107" t="s">
        <v>283</v>
      </c>
      <c r="F38" s="123"/>
      <c r="H38" s="91" t="s">
        <v>2175</v>
      </c>
      <c r="I38" s="141">
        <f>IF(AND('Excel Calcs'!B27=8,'Excel Calcs'!B8=1),I3-('Excel Calcs'!Q99/2-('Excel Calcs'!K93/2-'Excel Calcs'!K106)),IF(AND('Excel Calcs'!B27=8,'Excel Calcs'!B8=2),'Excel Calcs'!K25-'Excel Calcs'!K17*2-'Excel Calcs'!Q129/2+'Excel Calcs'!K106-'Excel Calcs'!K93/2,IF(AND('Excel Calcs'!B27=6,'Excel Calcs'!B8=1),'Excel Calcs'!Q99/2+'Excel Calcs'!K106-'Excel Calcs'!K93/2,IF(AND('Excel Calcs'!B27=6,'Excel Calcs'!B8=2),'Excel Calcs'!Q129/2+'Excel Calcs'!K106-'Excel Calcs'!K93/2,I3/2))))</f>
        <v>21.805000000000007</v>
      </c>
      <c r="J38" s="249"/>
      <c r="K38" s="351"/>
    </row>
    <row r="39" spans="1:11" ht="13.5" customHeight="1" thickBot="1" x14ac:dyDescent="0.25">
      <c r="A39" s="123"/>
      <c r="B39" s="86">
        <f>(I32*((I30*I70)/I3))/I4</f>
        <v>-1.4942697545953402E-2</v>
      </c>
      <c r="C39" s="62">
        <f>(I32*((I29*I70)/I3))/I4</f>
        <v>8.1605806972839776</v>
      </c>
      <c r="D39" s="62">
        <f>(I31*((I30*I70)/I3))/I4</f>
        <v>-2.5991506540003579E-3</v>
      </c>
      <c r="E39" s="101">
        <f>(I31*((I29*I70)/I3))/I4</f>
        <v>1.4194611509159758</v>
      </c>
      <c r="F39" s="123"/>
      <c r="H39" s="91" t="s">
        <v>1503</v>
      </c>
      <c r="I39" s="141">
        <f>I4-I40</f>
        <v>43.515299999999996</v>
      </c>
      <c r="K39" s="351"/>
    </row>
    <row r="40" spans="1:11" ht="13.5" customHeight="1" thickBot="1" x14ac:dyDescent="0.25">
      <c r="A40" s="123"/>
      <c r="B40" s="972" t="s">
        <v>2170</v>
      </c>
      <c r="C40" s="973"/>
      <c r="D40" s="973"/>
      <c r="E40" s="973"/>
      <c r="F40" s="123"/>
      <c r="H40" s="91" t="s">
        <v>403</v>
      </c>
      <c r="I40" s="141">
        <f>I4/2</f>
        <v>43.515299999999996</v>
      </c>
      <c r="K40" s="351"/>
    </row>
    <row r="41" spans="1:11" ht="13.5" customHeight="1" thickBot="1" x14ac:dyDescent="0.25">
      <c r="A41" s="123"/>
      <c r="B41" s="104" t="s">
        <v>534</v>
      </c>
      <c r="C41" s="60" t="s">
        <v>1079</v>
      </c>
      <c r="D41" s="60" t="s">
        <v>1652</v>
      </c>
      <c r="E41" s="107" t="s">
        <v>123</v>
      </c>
      <c r="F41" s="123"/>
      <c r="H41" s="196" t="s">
        <v>814</v>
      </c>
      <c r="I41" s="141">
        <f>I3-I42</f>
        <v>21.805000000000007</v>
      </c>
      <c r="K41" s="351"/>
    </row>
    <row r="42" spans="1:11" ht="13.5" customHeight="1" thickBot="1" x14ac:dyDescent="0.25">
      <c r="A42" s="123"/>
      <c r="B42" s="86">
        <f>(I36*((I34*I70)/I3))/I4</f>
        <v>2.9735968116447906</v>
      </c>
      <c r="C42" s="62">
        <f>(I36*((I33*I70)/I3))/I4</f>
        <v>5.1720411880932335</v>
      </c>
      <c r="D42" s="62">
        <f>(I35*((I34*I70)/I3))/I4</f>
        <v>0.51723098014608226</v>
      </c>
      <c r="E42" s="101">
        <f>(I35*((I33*I70)/I3))/I4</f>
        <v>0.89963102011589346</v>
      </c>
      <c r="F42" s="123"/>
      <c r="H42" s="91" t="s">
        <v>1924</v>
      </c>
      <c r="I42" s="141">
        <f>IF(AND('Excel Calcs'!B27=8,'Excel Calcs'!B8=1),('Excel Calcs'!Q114-'Excel Calcs'!Q99)/2+'Excel Calcs'!K106-'Excel Calcs'!K93/2,IF(AND('Excel Calcs'!B27=8,'Excel Calcs'!B8=2),('Excel Calcs'!Q114-'Excel Calcs'!Q129)/2+'Excel Calcs'!K106-'Excel Calcs'!K93/2,IF('Excel Calcs'!B27=6,('Excel Calcs'!Q99-'Excel Calcs'!Q129)/2+'Excel Calcs'!Q129+'Excel Calcs'!K106-'Excel Calcs'!K93/2,I38)))</f>
        <v>21.805000000000007</v>
      </c>
      <c r="J42" s="249"/>
      <c r="K42" s="351"/>
    </row>
    <row r="43" spans="1:11" ht="13.5" customHeight="1" thickBot="1" x14ac:dyDescent="0.25">
      <c r="A43" s="123"/>
      <c r="B43" s="972" t="s">
        <v>1926</v>
      </c>
      <c r="C43" s="973"/>
      <c r="D43" s="973"/>
      <c r="E43" s="973"/>
      <c r="F43" s="123"/>
      <c r="H43" s="91" t="s">
        <v>1076</v>
      </c>
      <c r="I43" s="141">
        <f>I4-I44</f>
        <v>69.780599999999993</v>
      </c>
      <c r="K43" s="351"/>
    </row>
    <row r="44" spans="1:11" ht="13.5" customHeight="1" thickBot="1" x14ac:dyDescent="0.25">
      <c r="A44" s="89"/>
      <c r="B44" s="104" t="s">
        <v>1080</v>
      </c>
      <c r="C44" s="60" t="s">
        <v>1653</v>
      </c>
      <c r="D44" s="60" t="s">
        <v>2179</v>
      </c>
      <c r="E44" s="107" t="s">
        <v>535</v>
      </c>
      <c r="F44" s="89"/>
      <c r="H44" s="189" t="s">
        <v>2176</v>
      </c>
      <c r="I44" s="197">
        <f>IF('Excel Calcs'!B8=1,('Excel Calcs'!Q112+'Excel Calcs'!K46+'Excel Calcs'!Q127)/2+'Excel Calcs'!K46+'Excel Calcs'!Q97+'Excel Calcs'!K29+'Excel Calcs'!K92-'Excel Calcs'!K97,('Excel Calcs'!Q97+'Excel Calcs'!K46+'Excel Calcs'!Q112)/2+'Excel Calcs'!K29+'Excel Calcs'!K92-'Excel Calcs'!K97)</f>
        <v>17.25</v>
      </c>
      <c r="J44" s="249"/>
      <c r="K44" s="636"/>
    </row>
    <row r="45" spans="1:11" ht="13.5" customHeight="1" thickBot="1" x14ac:dyDescent="0.25">
      <c r="A45" s="89"/>
      <c r="B45" s="86">
        <f>(I38*((I40*I71)/I3))/I4</f>
        <v>0</v>
      </c>
      <c r="C45" s="62">
        <f>(I37*((I40*I71)/I3))/I4</f>
        <v>0</v>
      </c>
      <c r="D45" s="62">
        <f>(I38*((I39*I71)/I3))/I4</f>
        <v>0</v>
      </c>
      <c r="E45" s="101">
        <f>(I37*((I39*I71)/I3))/I4</f>
        <v>0</v>
      </c>
      <c r="F45" s="89"/>
      <c r="H45" s="164" t="s">
        <v>674</v>
      </c>
      <c r="I45" s="211">
        <f>I3-I46</f>
        <v>21.805000000000007</v>
      </c>
      <c r="K45" s="351"/>
    </row>
    <row r="46" spans="1:11" ht="13.5" customHeight="1" thickBot="1" x14ac:dyDescent="0.25">
      <c r="A46" s="123"/>
      <c r="B46" s="972" t="s">
        <v>1386</v>
      </c>
      <c r="C46" s="973"/>
      <c r="D46" s="973"/>
      <c r="E46" s="973"/>
      <c r="F46" s="123"/>
      <c r="H46" s="91" t="s">
        <v>1793</v>
      </c>
      <c r="I46" s="141">
        <f>IF('Excel Calcs'!B27=6,'Excel Calcs'!Q99/2+'Excel Calcs'!K106-'Excel Calcs'!K93/2,IF('Excel Calcs'!B27=8,'Excel Calcs'!K25-'Excel Calcs'!K17*2-'Excel Calcs'!Q99/2+'Excel Calcs'!K106-'Excel Calcs'!K93/2,I3/2))</f>
        <v>21.805000000000007</v>
      </c>
      <c r="J46" s="249"/>
      <c r="K46" s="351"/>
    </row>
    <row r="47" spans="1:11" ht="13.5" thickBot="1" x14ac:dyDescent="0.25">
      <c r="A47" s="89"/>
      <c r="B47" s="104" t="s">
        <v>941</v>
      </c>
      <c r="C47" s="60" t="s">
        <v>1505</v>
      </c>
      <c r="D47" s="60" t="s">
        <v>2043</v>
      </c>
      <c r="E47" s="107" t="s">
        <v>406</v>
      </c>
      <c r="F47" s="89"/>
      <c r="H47" s="91" t="s">
        <v>940</v>
      </c>
      <c r="I47" s="141">
        <f>I4-I48</f>
        <v>43.515299999999996</v>
      </c>
      <c r="K47" s="351"/>
    </row>
    <row r="48" spans="1:11" ht="13.5" thickBot="1" x14ac:dyDescent="0.25">
      <c r="A48" s="89"/>
      <c r="B48" s="86">
        <f>(I42*((I44*I72)/I3))/I4</f>
        <v>0</v>
      </c>
      <c r="C48" s="62">
        <f>(I41*((I44*I72)/I3))/I4</f>
        <v>0</v>
      </c>
      <c r="D48" s="62">
        <f>(I42*((I43*I72)/I3))/I4</f>
        <v>0</v>
      </c>
      <c r="E48" s="101">
        <f>(I41*((I43*I72)/I3))/I4</f>
        <v>0</v>
      </c>
      <c r="F48" s="89"/>
      <c r="H48" s="91" t="s">
        <v>2042</v>
      </c>
      <c r="I48" s="141">
        <f>IF(AND('Excel Calcs'!B9=1,'Excel Calcs'!B8=2,OR('Excel Calcs'!B27=6,'Excel Calcs'!B27=8)),('Excel Calcs'!Q97+'Excel Calcs'!K46+'Excel Calcs'!Q112)/2+'Excel Calcs'!K29+'Excel Calcs'!K92-'Excel Calcs'!K97,IF(AND('Excel Calcs'!B9=1,'Excel Calcs'!B8=1,OR('Excel Calcs'!B27=6,'Excel Calcs'!B27=8)),'Excel Calcs'!Q97/2+'Excel Calcs'!K29+'Excel Calcs'!K92-'Excel Calcs'!K97,I4/2))</f>
        <v>43.515299999999996</v>
      </c>
      <c r="K48" s="351"/>
    </row>
    <row r="49" spans="1:10" ht="13.5" thickBot="1" x14ac:dyDescent="0.25">
      <c r="A49" s="123"/>
      <c r="B49" s="972" t="s">
        <v>816</v>
      </c>
      <c r="C49" s="973"/>
      <c r="D49" s="973"/>
      <c r="E49" s="973"/>
      <c r="F49" s="123"/>
      <c r="H49" s="196" t="s">
        <v>282</v>
      </c>
      <c r="I49" s="141">
        <f>I3-I50</f>
        <v>21.805000000000007</v>
      </c>
    </row>
    <row r="50" spans="1:10" ht="13.5" thickBot="1" x14ac:dyDescent="0.25">
      <c r="A50" s="89"/>
      <c r="B50" s="104" t="s">
        <v>1794</v>
      </c>
      <c r="C50" s="60" t="s">
        <v>124</v>
      </c>
      <c r="D50" s="60" t="s">
        <v>676</v>
      </c>
      <c r="E50" s="107" t="s">
        <v>1233</v>
      </c>
      <c r="F50" s="89"/>
      <c r="H50" s="91" t="s">
        <v>1385</v>
      </c>
      <c r="I50" s="141">
        <f>IF(AND('Excel Calcs'!B8=1,'Excel Calcs'!B9=1,OR('Excel Calcs'!B27=6,'Excel Calcs'!B27=8)),'Excel Calcs'!Q129/2+'Excel Calcs'!K106-'Excel Calcs'!K93/2,IF(AND('Excel Calcs'!B8=2,'Excel Calcs'!B9=1,'Excel Calcs'!B27=6),'Excel Calcs'!Q129/2+'Excel Calcs'!K106-'Excel Calcs'!K93/2,IF(AND('Excel Calcs'!B8=2,'Excel Calcs'!B9=1,'Excel Calcs'!B27=8),'Excel Calcs'!K25-'Excel Calcs'!K17*2-'Excel Calcs'!Q129/2+'Excel Calcs'!K106-'Excel Calcs'!K93/2,'Load Calculations'!I46)))</f>
        <v>21.805000000000007</v>
      </c>
    </row>
    <row r="51" spans="1:10" ht="13.5" thickBot="1" x14ac:dyDescent="0.25">
      <c r="A51" s="89"/>
      <c r="B51" s="86">
        <f>(I46*((I48*I73)/I3))/I4</f>
        <v>0</v>
      </c>
      <c r="C51" s="62">
        <f>(I45*((I48*I73)/I3))/I4</f>
        <v>0</v>
      </c>
      <c r="D51" s="62">
        <f>(I46*((I47*I73)/I3))/I4</f>
        <v>0</v>
      </c>
      <c r="E51" s="101">
        <f>(I45*((I47*I73)/I3))/I4</f>
        <v>0</v>
      </c>
      <c r="F51" s="89"/>
      <c r="H51" s="91" t="s">
        <v>532</v>
      </c>
      <c r="I51" s="141">
        <f>I4-I52</f>
        <v>43.515299999999996</v>
      </c>
    </row>
    <row r="52" spans="1:10" ht="13.5" thickBot="1" x14ac:dyDescent="0.25">
      <c r="A52" s="123"/>
      <c r="B52" s="972" t="s">
        <v>405</v>
      </c>
      <c r="C52" s="973"/>
      <c r="D52" s="973"/>
      <c r="E52" s="973"/>
      <c r="F52" s="123"/>
      <c r="H52" s="189" t="s">
        <v>1651</v>
      </c>
      <c r="I52" s="197">
        <f>IF(AND('Excel Calcs'!B8=1,OR('Excel Calcs'!B27=6,'Excel Calcs'!B27=8)),('Excel Calcs'!Q112+'Excel Calcs'!K46+'Excel Calcs'!Q127)/2+'Excel Calcs'!K46+'Excel Calcs'!Q97+'Excel Calcs'!K29+'Excel Calcs'!K92-'Excel Calcs'!K97,IF(AND('Excel Calcs'!B8=2,OR('Excel Calcs'!B27=6,'Excel Calcs'!B27=8)),'Excel Calcs'!Q97+'Excel Calcs'!K29+'Excel Calcs'!K92-'Excel Calcs'!K97+'Excel Calcs'!K46*2+'Excel Calcs'!Q112+'Excel Calcs'!Q127/2,I48))</f>
        <v>43.515299999999996</v>
      </c>
    </row>
    <row r="53" spans="1:10" ht="13.5" thickBot="1" x14ac:dyDescent="0.25">
      <c r="A53" s="89"/>
      <c r="B53" s="104" t="s">
        <v>1506</v>
      </c>
      <c r="C53" s="60" t="s">
        <v>2180</v>
      </c>
      <c r="D53" s="60" t="s">
        <v>536</v>
      </c>
      <c r="E53" s="107" t="s">
        <v>1081</v>
      </c>
      <c r="F53" s="89"/>
      <c r="H53" s="164" t="s">
        <v>1077</v>
      </c>
      <c r="I53" s="211">
        <f t="shared" ref="I53:I60" si="1">I45</f>
        <v>21.805000000000007</v>
      </c>
    </row>
    <row r="54" spans="1:10" ht="13.5" thickBot="1" x14ac:dyDescent="0.25">
      <c r="A54" s="89"/>
      <c r="B54" s="86">
        <f>(I50*((I52*I74)/I3))/I4</f>
        <v>0</v>
      </c>
      <c r="C54" s="62">
        <f>(I49*((I52*I74)/I3))/I4</f>
        <v>0</v>
      </c>
      <c r="D54" s="62">
        <f>(I50*((I51*I74)/I3))/I4</f>
        <v>0</v>
      </c>
      <c r="E54" s="101">
        <f>(I49*((I51*I74)/I3))/I4</f>
        <v>0</v>
      </c>
      <c r="F54" s="89"/>
      <c r="H54" s="91" t="s">
        <v>2177</v>
      </c>
      <c r="I54" s="141">
        <f t="shared" si="1"/>
        <v>21.805000000000007</v>
      </c>
    </row>
    <row r="55" spans="1:10" ht="13.5" thickBot="1" x14ac:dyDescent="0.25">
      <c r="A55" s="123"/>
      <c r="B55" s="972" t="s">
        <v>533</v>
      </c>
      <c r="C55" s="973"/>
      <c r="D55" s="973"/>
      <c r="E55" s="973"/>
      <c r="F55" s="123"/>
      <c r="H55" s="91" t="s">
        <v>1504</v>
      </c>
      <c r="I55" s="141">
        <f t="shared" si="1"/>
        <v>43.515299999999996</v>
      </c>
    </row>
    <row r="56" spans="1:10" ht="13.5" thickBot="1" x14ac:dyDescent="0.25">
      <c r="A56" s="89"/>
      <c r="B56" s="104" t="s">
        <v>1795</v>
      </c>
      <c r="C56" s="60" t="s">
        <v>125</v>
      </c>
      <c r="D56" s="60" t="s">
        <v>677</v>
      </c>
      <c r="E56" s="107" t="s">
        <v>1234</v>
      </c>
      <c r="F56" s="89"/>
      <c r="H56" s="91" t="s">
        <v>404</v>
      </c>
      <c r="I56" s="141">
        <f t="shared" si="1"/>
        <v>43.515299999999996</v>
      </c>
    </row>
    <row r="57" spans="1:10" ht="13.5" thickBot="1" x14ac:dyDescent="0.25">
      <c r="A57" s="89"/>
      <c r="B57" s="86">
        <f>(I54*((I56*I75)/I3))/I4</f>
        <v>0</v>
      </c>
      <c r="C57" s="62">
        <f>(I53*((I56*I75)/I3))/I4</f>
        <v>0</v>
      </c>
      <c r="D57" s="62">
        <f>(I54*((I55*I75)/I3))/I4</f>
        <v>0</v>
      </c>
      <c r="E57" s="101">
        <f>(I53*((I55*I75)/I3))/I4</f>
        <v>0</v>
      </c>
      <c r="F57" s="89"/>
      <c r="H57" s="196" t="s">
        <v>815</v>
      </c>
      <c r="I57" s="141">
        <f t="shared" si="1"/>
        <v>21.805000000000007</v>
      </c>
    </row>
    <row r="58" spans="1:10" ht="13.5" thickBot="1" x14ac:dyDescent="0.25">
      <c r="A58" s="123"/>
      <c r="B58" s="972" t="s">
        <v>122</v>
      </c>
      <c r="C58" s="973"/>
      <c r="D58" s="973"/>
      <c r="E58" s="973"/>
      <c r="F58" s="123"/>
      <c r="H58" s="91" t="s">
        <v>1925</v>
      </c>
      <c r="I58" s="141">
        <f t="shared" si="1"/>
        <v>21.805000000000007</v>
      </c>
    </row>
    <row r="59" spans="1:10" ht="13.5" thickBot="1" x14ac:dyDescent="0.25">
      <c r="A59" s="89"/>
      <c r="B59" s="104" t="s">
        <v>1507</v>
      </c>
      <c r="C59" s="60" t="s">
        <v>2181</v>
      </c>
      <c r="D59" s="60" t="s">
        <v>537</v>
      </c>
      <c r="E59" s="107" t="s">
        <v>1082</v>
      </c>
      <c r="F59" s="89"/>
      <c r="H59" s="91" t="s">
        <v>1078</v>
      </c>
      <c r="I59" s="141">
        <f t="shared" si="1"/>
        <v>43.515299999999996</v>
      </c>
    </row>
    <row r="60" spans="1:10" ht="13.5" thickBot="1" x14ac:dyDescent="0.25">
      <c r="A60" s="89"/>
      <c r="B60" s="86">
        <f>(I58*((I60*I76)/I3))/I4</f>
        <v>0</v>
      </c>
      <c r="C60" s="62">
        <f>(I57*((I60*I76)/I3))/I4</f>
        <v>0</v>
      </c>
      <c r="D60" s="62">
        <f>(I58*((I59*I76)/I3))/I4</f>
        <v>0</v>
      </c>
      <c r="E60" s="101">
        <f>(I57*((I59*I76)/I3))/I4</f>
        <v>0</v>
      </c>
      <c r="F60" s="89"/>
      <c r="H60" s="189" t="s">
        <v>2178</v>
      </c>
      <c r="I60" s="197">
        <f t="shared" si="1"/>
        <v>43.515299999999996</v>
      </c>
    </row>
    <row r="61" spans="1:10" ht="13.5" thickBot="1" x14ac:dyDescent="0.25">
      <c r="A61" s="89"/>
      <c r="B61" s="89"/>
      <c r="C61" s="89"/>
      <c r="D61" s="89"/>
      <c r="E61" s="89"/>
      <c r="F61" s="89"/>
    </row>
    <row r="62" spans="1:10" ht="13.5" thickBot="1" x14ac:dyDescent="0.25">
      <c r="H62" s="924" t="s">
        <v>1897</v>
      </c>
      <c r="I62" s="926"/>
    </row>
    <row r="63" spans="1:10" x14ac:dyDescent="0.2">
      <c r="H63" s="164" t="s">
        <v>90</v>
      </c>
      <c r="I63" s="549">
        <f>IF('Excel Calcs'!B20="TYPEA",'Excel Calcs'!N67*2+'Excel Calcs'!N23+'Excel Calcs'!N45,'Excel Calcs'!K31*2+'Excel Calcs'!K20*2+'Excel Calcs'!K100*4)</f>
        <v>214.4441533333333</v>
      </c>
      <c r="J63" s="732" t="s">
        <v>2016</v>
      </c>
    </row>
    <row r="64" spans="1:10" x14ac:dyDescent="0.2">
      <c r="H64" s="91" t="s">
        <v>1038</v>
      </c>
      <c r="I64" s="756">
        <f>'Excel Calcs'!B30+'Excel Calcs'!B31</f>
        <v>1049</v>
      </c>
      <c r="J64" s="657" t="s">
        <v>2016</v>
      </c>
    </row>
    <row r="65" spans="8:10" x14ac:dyDescent="0.2">
      <c r="H65" s="91" t="s">
        <v>774</v>
      </c>
      <c r="I65" s="756">
        <f>'Excel Calcs'!E21+'Excel Calcs'!E22</f>
        <v>725</v>
      </c>
      <c r="J65" s="657" t="s">
        <v>2016</v>
      </c>
    </row>
    <row r="66" spans="8:10" x14ac:dyDescent="0.2">
      <c r="H66" s="91" t="s">
        <v>1337</v>
      </c>
      <c r="I66" s="756">
        <f>'Excel Calcs'!E49</f>
        <v>31</v>
      </c>
      <c r="J66" s="657" t="s">
        <v>2016</v>
      </c>
    </row>
    <row r="67" spans="8:10" x14ac:dyDescent="0.2">
      <c r="H67" s="91" t="s">
        <v>1230</v>
      </c>
      <c r="I67" s="544">
        <f>IF(AND('Excel Calcs'!B20="TYPEA",'Excel Calcs'!N72=1),'Excel Calcs'!N81,IF('Excel Calcs'!K36=1,'Excel Calcs'!K48,0))</f>
        <v>32.642833333333336</v>
      </c>
      <c r="J67" s="657" t="s">
        <v>2016</v>
      </c>
    </row>
    <row r="68" spans="8:10" x14ac:dyDescent="0.2">
      <c r="H68" s="91" t="s">
        <v>1074</v>
      </c>
      <c r="I68" s="544">
        <f>IF(AND('Excel Calcs'!B20="TYPEA",'Excel Calcs'!N72=1),'Excel Calcs'!N81,IF('Excel Calcs'!K35=1,'Excel Calcs'!K48,0))</f>
        <v>32.642833333333336</v>
      </c>
      <c r="J68" s="657" t="s">
        <v>2016</v>
      </c>
    </row>
    <row r="69" spans="8:10" x14ac:dyDescent="0.2">
      <c r="H69" s="91" t="s">
        <v>2137</v>
      </c>
      <c r="I69" s="544">
        <f>IF('Excel Calcs'!N49=1,'Excel Calcs'!N56,IF('Excel Calcs'!K52=1,'Excel Calcs'!K62,0))</f>
        <v>0</v>
      </c>
      <c r="J69" s="657" t="s">
        <v>2016</v>
      </c>
    </row>
    <row r="70" spans="8:10" x14ac:dyDescent="0.2">
      <c r="H70" s="91" t="s">
        <v>1338</v>
      </c>
      <c r="I70" s="544">
        <f>IF(AND('Excel Calcs'!B20="TYPEA",'Excel Calcs'!N28=1),'Excel Calcs'!N35,IF(AND('Excel Calcs'!B20="TYPEA",'Excel Calcs'!N28=0),0,'Excel Calcs'!K75))</f>
        <v>9.5625</v>
      </c>
      <c r="J70" s="657" t="s">
        <v>2016</v>
      </c>
    </row>
    <row r="71" spans="8:10" x14ac:dyDescent="0.2">
      <c r="H71" s="196" t="s">
        <v>673</v>
      </c>
      <c r="I71" s="544">
        <f>IF(INERTIA="YES",'Excel Calcs'!Q56+'Excel Calcs'!Q60+'Excel Calcs'!Q64+'Excel Calcs'!Q68+'Excel Calcs'!Q72+'Excel Calcs'!Q76,0)</f>
        <v>0</v>
      </c>
      <c r="J71" s="657" t="s">
        <v>2016</v>
      </c>
    </row>
    <row r="72" spans="8:10" x14ac:dyDescent="0.2">
      <c r="H72" s="196" t="s">
        <v>1231</v>
      </c>
      <c r="I72" s="544">
        <f>IF(OR('Excel Calcs'!Q15=1,'Excel Calcs'!Q16=1),'Excel Calcs'!Q81+'Excel Calcs'!Q86,0)</f>
        <v>0</v>
      </c>
      <c r="J72" s="657" t="s">
        <v>2016</v>
      </c>
    </row>
    <row r="73" spans="8:10" x14ac:dyDescent="0.2">
      <c r="H73" s="196" t="s">
        <v>1502</v>
      </c>
      <c r="I73" s="620">
        <f>IF(INERTIA="NO",0,IF(AND('Excel Calcs'!B9=1,'Excel Calcs'!B8=1,OR('Excel Calcs'!B27=6,'Excel Calcs'!B27=8)),'Excel Calcs'!Q109,IF(AND('Excel Calcs'!B9=1,'Excel Calcs'!B8=2,OR('Excel Calcs'!B27=6,'Excel Calcs'!B27=8)),'Excel Calcs'!Q109+'Excel Calcs'!Q124,IF('Excel Calcs'!B20="TYPEC",'Excel Calcs'!Q109+'Excel Calcs'!Q124,'Excel Calcs'!Q109))))</f>
        <v>0</v>
      </c>
      <c r="J73" s="657" t="s">
        <v>2016</v>
      </c>
    </row>
    <row r="74" spans="8:10" x14ac:dyDescent="0.2">
      <c r="H74" s="196" t="s">
        <v>2041</v>
      </c>
      <c r="I74" s="720">
        <f>IF(INERTIA="NO",0,IF(AND('Excel Calcs'!B9=1,'Excel Calcs'!B8=1,OR('Excel Calcs'!B27=6,'Excel Calcs'!B27=8)),'Excel Calcs'!Q124+'Excel Calcs'!Q139,IF(AND('Excel Calcs'!B9=1,'Excel Calcs'!B8=2,OR('Excel Calcs'!B27=6,'Excel Calcs'!B27=8)),'Excel Calcs'!Q139,0)))</f>
        <v>0</v>
      </c>
      <c r="J74" s="657" t="s">
        <v>2016</v>
      </c>
    </row>
    <row r="75" spans="8:10" x14ac:dyDescent="0.2">
      <c r="H75" s="91" t="s">
        <v>939</v>
      </c>
      <c r="I75" s="632">
        <f>IF(INERTIA="NO",0,IF(AND('Excel Calcs'!B9=1,'Excel Calcs'!B8=1,OR('Excel Calcs'!B27=6,'Excel Calcs'!B27=8)),'Excel Calcs'!Q110,IF(AND('Excel Calcs'!B9=1,'Excel Calcs'!B8=2,OR('Excel Calcs'!B27=6,'Excel Calcs'!B27=8)),'Excel Calcs'!Q110+'Excel Calcs'!Q125,IF('Excel Calcs'!B20="TYPEC",'Excel Calcs'!Q110+'Excel Calcs'!Q125,'Excel Calcs'!Q110))))</f>
        <v>0</v>
      </c>
      <c r="J75" s="657" t="s">
        <v>2016</v>
      </c>
    </row>
    <row r="76" spans="8:10" ht="13.5" thickBot="1" x14ac:dyDescent="0.25">
      <c r="H76" s="189" t="s">
        <v>1650</v>
      </c>
      <c r="I76" s="623">
        <f>IF(INERTIA="NO",0,IF(AND('Excel Calcs'!B9=1,'Excel Calcs'!B8=1,OR('Excel Calcs'!B27=6,'Excel Calcs'!B27=8)),'Excel Calcs'!Q125+'Excel Calcs'!Q140,IF(AND('Excel Calcs'!B9=1,'Excel Calcs'!B8=2,OR('Excel Calcs'!B27=6,'Excel Calcs'!B27=8)),'Excel Calcs'!Q140,0)))</f>
        <v>0</v>
      </c>
      <c r="J76" s="730" t="s">
        <v>2016</v>
      </c>
    </row>
  </sheetData>
  <mergeCells count="27">
    <mergeCell ref="H62:I62"/>
    <mergeCell ref="B46:E46"/>
    <mergeCell ref="B49:E49"/>
    <mergeCell ref="B52:E52"/>
    <mergeCell ref="B55:E55"/>
    <mergeCell ref="B58:E58"/>
    <mergeCell ref="B31:E31"/>
    <mergeCell ref="B34:E34"/>
    <mergeCell ref="B37:E37"/>
    <mergeCell ref="B40:E40"/>
    <mergeCell ref="B43:E43"/>
    <mergeCell ref="B16:E16"/>
    <mergeCell ref="B19:E19"/>
    <mergeCell ref="B22:E22"/>
    <mergeCell ref="B25:E25"/>
    <mergeCell ref="B28:E28"/>
    <mergeCell ref="B8:B9"/>
    <mergeCell ref="C8:C9"/>
    <mergeCell ref="D8:D9"/>
    <mergeCell ref="E8:E9"/>
    <mergeCell ref="A15:F15"/>
    <mergeCell ref="A1:F1"/>
    <mergeCell ref="H2:I2"/>
    <mergeCell ref="B5:B6"/>
    <mergeCell ref="C5:C6"/>
    <mergeCell ref="D5:D6"/>
    <mergeCell ref="E5:E6"/>
  </mergeCells>
  <pageMargins left="0.7" right="0.7" top="0.75" bottom="0.75" header="0.3" footer="0.3"/>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F33"/>
  <sheetViews>
    <sheetView showGridLines="0" workbookViewId="0">
      <selection activeCell="F47" sqref="F47"/>
    </sheetView>
  </sheetViews>
  <sheetFormatPr defaultRowHeight="12.75" x14ac:dyDescent="0.2"/>
  <cols>
    <col min="1" max="1" width="3.28515625" customWidth="1"/>
    <col min="2" max="2" width="2.7109375" customWidth="1"/>
    <col min="3" max="3" width="26.85546875" bestFit="1" customWidth="1"/>
    <col min="5" max="5" width="2.7109375" customWidth="1"/>
  </cols>
  <sheetData>
    <row r="2" spans="2:6" ht="13.5" thickBot="1" x14ac:dyDescent="0.25">
      <c r="B2" s="266"/>
      <c r="C2" s="974" t="s">
        <v>88</v>
      </c>
      <c r="D2" s="974"/>
      <c r="E2" s="266"/>
    </row>
    <row r="3" spans="2:6" x14ac:dyDescent="0.2">
      <c r="B3" s="266"/>
      <c r="C3" s="554" t="s">
        <v>229</v>
      </c>
      <c r="D3" s="721">
        <f>IF('Excel Calcs'!B20="TYPEA",'Excel Calcs'!B39-'Excel Calcs'!E5-'Excel Calcs'!E34,'Excel Calcs'!B39-'Excel Calcs'!K72-'Excel Calcs'!E34-'Excel Calcs'!E5)</f>
        <v>12.416</v>
      </c>
      <c r="E3" s="266"/>
    </row>
    <row r="4" spans="2:6" x14ac:dyDescent="0.2">
      <c r="B4" s="266"/>
      <c r="C4" s="468" t="s">
        <v>1464</v>
      </c>
      <c r="D4" s="751">
        <f>IF(Center_DistanceO&lt;&gt;0,D5,IF(MOTORLOCATION="BEHIND",'Excel Calcs'!B48+'Excel Calcs'!B18+'Excel Calcs'!E15,IF(MOTORLOCATION="BESIDE",'Excel Calcs'!B60,FALSE)))</f>
        <v>15.88</v>
      </c>
      <c r="E4" s="266"/>
    </row>
    <row r="5" spans="2:6" ht="13.5" thickBot="1" x14ac:dyDescent="0.25">
      <c r="B5" s="266"/>
      <c r="C5" s="468" t="s">
        <v>1035</v>
      </c>
      <c r="D5" s="287">
        <f>IF(Center_DistanceO&lt;&gt;0,SQRT(D6^2-D3^2),IF(D13&lt;D14,D4,TAN(RADIANS(90-D14))*D3))</f>
        <v>15.88</v>
      </c>
      <c r="E5" s="266"/>
    </row>
    <row r="6" spans="2:6" x14ac:dyDescent="0.2">
      <c r="B6" s="266"/>
      <c r="C6" s="554" t="s">
        <v>1331</v>
      </c>
      <c r="D6" s="653">
        <f>IF(Center_DistanceO&lt;&gt;0,Center_DistanceO,SQRT(D3^2+D5^2))</f>
        <v>20.157664944134776</v>
      </c>
      <c r="E6" s="266"/>
      <c r="F6" s="249"/>
    </row>
    <row r="7" spans="2:6" x14ac:dyDescent="0.2">
      <c r="B7" s="266"/>
      <c r="C7" s="468" t="s">
        <v>497</v>
      </c>
      <c r="D7" s="287">
        <f>D6-D10/2</f>
        <v>18.88829057737566</v>
      </c>
      <c r="E7" s="266"/>
    </row>
    <row r="8" spans="2:6" x14ac:dyDescent="0.2">
      <c r="B8" s="266"/>
      <c r="C8" s="468" t="s">
        <v>1606</v>
      </c>
      <c r="D8" s="287">
        <f>D6+D10/2</f>
        <v>21.427039310893893</v>
      </c>
      <c r="E8" s="266"/>
    </row>
    <row r="9" spans="2:6" x14ac:dyDescent="0.2">
      <c r="B9" s="266"/>
      <c r="C9" s="468" t="s">
        <v>2131</v>
      </c>
      <c r="D9" s="287">
        <v>2</v>
      </c>
      <c r="E9" s="266"/>
    </row>
    <row r="10" spans="2:6" ht="13.5" thickBot="1" x14ac:dyDescent="0.25">
      <c r="B10" s="266"/>
      <c r="C10" s="457" t="s">
        <v>2132</v>
      </c>
      <c r="D10" s="471">
        <f>(SQRT((D9/2)^2+((D9/2)*TAN(ATAN(D3/D4)))^2))*2</f>
        <v>2.5387487335182337</v>
      </c>
      <c r="E10" s="266"/>
    </row>
    <row r="11" spans="2:6" x14ac:dyDescent="0.2">
      <c r="B11" s="266"/>
      <c r="C11" s="582" t="s">
        <v>498</v>
      </c>
      <c r="D11" s="601">
        <f>'Excel Calcs'!E36</f>
        <v>5.25</v>
      </c>
      <c r="E11" s="266"/>
    </row>
    <row r="12" spans="2:6" x14ac:dyDescent="0.2">
      <c r="B12" s="266"/>
      <c r="C12" s="468" t="s">
        <v>87</v>
      </c>
      <c r="D12" s="287">
        <f>(SQRT((D11/2)^2+((D11/2)*TAN(ATAN(D3/D4)))^2))*2</f>
        <v>6.6642154254853629</v>
      </c>
      <c r="E12" s="266"/>
    </row>
    <row r="13" spans="2:6" x14ac:dyDescent="0.2">
      <c r="B13" s="266"/>
      <c r="C13" s="468" t="s">
        <v>1754</v>
      </c>
      <c r="D13" s="287">
        <f>DEGREES(ATAN(D3/D4))</f>
        <v>38.020571137704025</v>
      </c>
      <c r="E13" s="266"/>
    </row>
    <row r="14" spans="2:6" ht="13.5" thickBot="1" x14ac:dyDescent="0.25">
      <c r="B14" s="266"/>
      <c r="C14" s="457" t="s">
        <v>2130</v>
      </c>
      <c r="D14" s="471">
        <v>45</v>
      </c>
      <c r="E14" s="266"/>
    </row>
    <row r="15" spans="2:6" x14ac:dyDescent="0.2">
      <c r="B15" s="266"/>
      <c r="C15" s="266"/>
      <c r="D15" s="266"/>
      <c r="E15" s="266"/>
    </row>
    <row r="19" spans="2:5" ht="13.5" thickBot="1" x14ac:dyDescent="0.25">
      <c r="B19" s="270"/>
      <c r="C19" s="975" t="s">
        <v>1332</v>
      </c>
      <c r="D19" s="975"/>
      <c r="E19" s="270"/>
    </row>
    <row r="20" spans="2:5" x14ac:dyDescent="0.2">
      <c r="B20" s="270"/>
      <c r="C20" s="760" t="s">
        <v>230</v>
      </c>
      <c r="D20" s="628">
        <f t="shared" ref="D20:D21" si="0">D7</f>
        <v>18.88829057737566</v>
      </c>
      <c r="E20" s="270"/>
    </row>
    <row r="21" spans="2:5" ht="13.5" thickBot="1" x14ac:dyDescent="0.25">
      <c r="B21" s="270"/>
      <c r="C21" s="578" t="s">
        <v>1333</v>
      </c>
      <c r="D21" s="543">
        <f t="shared" si="0"/>
        <v>21.427039310893893</v>
      </c>
      <c r="E21" s="270"/>
    </row>
    <row r="22" spans="2:5" x14ac:dyDescent="0.2">
      <c r="B22" s="270"/>
      <c r="C22" s="270"/>
      <c r="D22" s="270"/>
      <c r="E22" s="270"/>
    </row>
    <row r="31" spans="2:5" x14ac:dyDescent="0.2">
      <c r="C31" s="976" t="s">
        <v>2199</v>
      </c>
      <c r="D31" s="976"/>
    </row>
    <row r="32" spans="2:5" x14ac:dyDescent="0.2">
      <c r="C32" s="809" t="s">
        <v>2200</v>
      </c>
      <c r="D32" s="809">
        <f>'Excel Calcs'!E13</f>
        <v>2.125</v>
      </c>
    </row>
    <row r="33" spans="3:4" x14ac:dyDescent="0.2">
      <c r="C33" s="809" t="s">
        <v>2201</v>
      </c>
      <c r="D33" s="809">
        <f>'Excel Calcs'!B54</f>
        <v>2.4375</v>
      </c>
    </row>
  </sheetData>
  <mergeCells count="3">
    <mergeCell ref="C2:D2"/>
    <mergeCell ref="C19:D19"/>
    <mergeCell ref="C31:D31"/>
  </mergeCells>
  <pageMargins left="0.7" right="0.7" top="0.75" bottom="0.75" header="0.3" footer="0.3"/>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J67"/>
  <sheetViews>
    <sheetView showGridLines="0" zoomScale="85" workbookViewId="0"/>
  </sheetViews>
  <sheetFormatPr defaultColWidth="8.85546875" defaultRowHeight="12.75" x14ac:dyDescent="0.2"/>
  <cols>
    <col min="1" max="1" width="1" style="204" customWidth="1"/>
    <col min="2" max="2" width="22.28515625" style="204" bestFit="1" customWidth="1"/>
    <col min="3" max="3" width="12.7109375" style="204" bestFit="1" customWidth="1"/>
    <col min="4" max="4" width="18.140625" style="204" bestFit="1" customWidth="1"/>
    <col min="5" max="5" width="14.42578125" style="204" bestFit="1" customWidth="1"/>
    <col min="6" max="6" width="19.42578125" style="204" bestFit="1" customWidth="1"/>
    <col min="7" max="7" width="6.42578125" style="204" customWidth="1"/>
    <col min="8" max="8" width="23.7109375" style="204" bestFit="1" customWidth="1"/>
    <col min="9" max="9" width="4.7109375" style="204" customWidth="1"/>
    <col min="10" max="10" width="44" style="204" customWidth="1"/>
    <col min="11" max="11" width="27.85546875" style="204" customWidth="1"/>
    <col min="12" max="16384" width="8.85546875" style="204"/>
  </cols>
  <sheetData>
    <row r="1" spans="2:10" ht="6" customHeight="1" thickBot="1" x14ac:dyDescent="0.25"/>
    <row r="2" spans="2:10" ht="12.75" customHeight="1" x14ac:dyDescent="0.2">
      <c r="B2" s="980" t="s">
        <v>459</v>
      </c>
      <c r="C2" s="981"/>
      <c r="D2" s="981"/>
      <c r="E2" s="981"/>
      <c r="F2" s="981"/>
      <c r="G2" s="982"/>
    </row>
    <row r="3" spans="2:10" ht="33" customHeight="1" thickBot="1" x14ac:dyDescent="0.25">
      <c r="B3" s="983"/>
      <c r="C3" s="984"/>
      <c r="D3" s="984"/>
      <c r="E3" s="984"/>
      <c r="F3" s="984"/>
      <c r="G3" s="985"/>
    </row>
    <row r="4" spans="2:10" ht="8.25" customHeight="1" thickBot="1" x14ac:dyDescent="0.25">
      <c r="B4" s="218"/>
      <c r="C4" s="218"/>
      <c r="D4" s="218"/>
      <c r="E4" s="218"/>
      <c r="F4" s="218"/>
      <c r="G4" s="218"/>
    </row>
    <row r="5" spans="2:10" ht="13.5" thickBot="1" x14ac:dyDescent="0.25">
      <c r="B5" s="87" t="s">
        <v>323</v>
      </c>
      <c r="C5" s="87" t="s">
        <v>1550</v>
      </c>
      <c r="D5" s="87" t="s">
        <v>850</v>
      </c>
      <c r="E5" s="87" t="s">
        <v>45</v>
      </c>
      <c r="F5" s="353" t="s">
        <v>183</v>
      </c>
      <c r="G5" s="986" t="s">
        <v>1138</v>
      </c>
      <c r="H5" s="598"/>
    </row>
    <row r="6" spans="2:10" ht="12.95" customHeight="1" thickTop="1" x14ac:dyDescent="0.2">
      <c r="B6" s="384" t="s">
        <v>1551</v>
      </c>
      <c r="C6" s="700">
        <f>'Excel Calcs'!H104</f>
        <v>24.889999999999993</v>
      </c>
      <c r="D6" s="84">
        <v>0</v>
      </c>
      <c r="E6" s="84">
        <v>0</v>
      </c>
      <c r="F6" s="84">
        <v>0</v>
      </c>
      <c r="G6" s="987"/>
      <c r="H6" s="742" t="s">
        <v>486</v>
      </c>
      <c r="I6" s="992"/>
      <c r="J6" s="990" t="s">
        <v>1013</v>
      </c>
    </row>
    <row r="7" spans="2:10" ht="12.95" customHeight="1" thickBot="1" x14ac:dyDescent="0.25">
      <c r="B7" s="600" t="s">
        <v>2084</v>
      </c>
      <c r="C7" s="746">
        <f>'Excel Calcs'!H102</f>
        <v>68.5</v>
      </c>
      <c r="D7" s="185">
        <v>0</v>
      </c>
      <c r="E7" s="185">
        <v>0</v>
      </c>
      <c r="F7" s="185">
        <v>0</v>
      </c>
      <c r="G7" s="987"/>
      <c r="H7" s="770" t="s">
        <v>882</v>
      </c>
      <c r="I7" s="993"/>
      <c r="J7" s="991"/>
    </row>
    <row r="8" spans="2:10" ht="12.95" customHeight="1" thickTop="1" x14ac:dyDescent="0.2">
      <c r="B8" s="384" t="s">
        <v>460</v>
      </c>
      <c r="C8" s="84">
        <v>0</v>
      </c>
      <c r="D8" s="547">
        <f>'Excel Calcs'!H103</f>
        <v>19.214599999999997</v>
      </c>
      <c r="E8" s="84">
        <v>0</v>
      </c>
      <c r="F8" s="84">
        <v>0</v>
      </c>
      <c r="G8" s="987"/>
      <c r="H8" s="652" t="s">
        <v>1620</v>
      </c>
      <c r="I8" s="993"/>
      <c r="J8" s="994" t="s">
        <v>1583</v>
      </c>
    </row>
    <row r="9" spans="2:10" ht="12.95" customHeight="1" thickBot="1" x14ac:dyDescent="0.25">
      <c r="B9" s="614" t="s">
        <v>991</v>
      </c>
      <c r="C9" s="395">
        <v>0</v>
      </c>
      <c r="D9" s="705">
        <f>'Excel Calcs'!H99</f>
        <v>106.24519999999998</v>
      </c>
      <c r="E9" s="395">
        <v>0</v>
      </c>
      <c r="F9" s="395">
        <v>0</v>
      </c>
      <c r="G9" s="987"/>
      <c r="H9" s="740" t="s">
        <v>908</v>
      </c>
      <c r="I9" s="992"/>
      <c r="J9" s="991"/>
    </row>
    <row r="10" spans="2:10" ht="12.95" customHeight="1" x14ac:dyDescent="0.2">
      <c r="B10" s="701" t="s">
        <v>1552</v>
      </c>
      <c r="C10" s="191">
        <v>0</v>
      </c>
      <c r="D10" s="191">
        <v>0</v>
      </c>
      <c r="E10" s="191">
        <v>0</v>
      </c>
      <c r="F10" s="191">
        <v>0</v>
      </c>
      <c r="G10" s="987"/>
      <c r="H10" s="615" t="s">
        <v>46</v>
      </c>
      <c r="I10" s="993"/>
      <c r="J10" s="448"/>
    </row>
    <row r="11" spans="2:10" ht="12.95" customHeight="1" x14ac:dyDescent="0.2">
      <c r="B11" s="375" t="s">
        <v>2085</v>
      </c>
      <c r="C11" s="68">
        <v>0</v>
      </c>
      <c r="D11" s="191">
        <v>0</v>
      </c>
      <c r="E11" s="68">
        <v>0</v>
      </c>
      <c r="F11" s="68">
        <v>0</v>
      </c>
      <c r="G11" s="987"/>
      <c r="H11" s="795" t="s">
        <v>46</v>
      </c>
      <c r="I11" s="993"/>
      <c r="J11" s="448"/>
    </row>
    <row r="12" spans="2:10" ht="12.95" customHeight="1" x14ac:dyDescent="0.2">
      <c r="B12" s="375" t="s">
        <v>461</v>
      </c>
      <c r="C12" s="68">
        <v>0</v>
      </c>
      <c r="D12" s="191">
        <v>0</v>
      </c>
      <c r="E12" s="68">
        <v>0</v>
      </c>
      <c r="F12" s="68">
        <v>0</v>
      </c>
      <c r="G12" s="987"/>
      <c r="H12" s="795" t="s">
        <v>46</v>
      </c>
      <c r="I12" s="993"/>
      <c r="J12" s="448"/>
    </row>
    <row r="13" spans="2:10" ht="12.95" customHeight="1" x14ac:dyDescent="0.2">
      <c r="B13" s="375" t="s">
        <v>1139</v>
      </c>
      <c r="C13" s="68">
        <v>0</v>
      </c>
      <c r="D13" s="191">
        <v>0</v>
      </c>
      <c r="E13" s="68">
        <v>0</v>
      </c>
      <c r="F13" s="68">
        <v>0</v>
      </c>
      <c r="G13" s="987"/>
      <c r="H13" s="795" t="s">
        <v>46</v>
      </c>
      <c r="I13" s="993"/>
    </row>
    <row r="14" spans="2:10" ht="12.95" customHeight="1" x14ac:dyDescent="0.2">
      <c r="B14" s="375" t="s">
        <v>1715</v>
      </c>
      <c r="C14" s="68">
        <v>0</v>
      </c>
      <c r="D14" s="191">
        <v>0</v>
      </c>
      <c r="E14" s="68">
        <v>0</v>
      </c>
      <c r="F14" s="68">
        <v>0</v>
      </c>
      <c r="G14" s="987"/>
      <c r="H14" s="795" t="s">
        <v>46</v>
      </c>
      <c r="I14" s="993"/>
    </row>
    <row r="15" spans="2:10" ht="12.95" customHeight="1" x14ac:dyDescent="0.2">
      <c r="B15" s="486" t="s">
        <v>730</v>
      </c>
      <c r="C15" s="68">
        <v>0</v>
      </c>
      <c r="D15" s="191">
        <v>0</v>
      </c>
      <c r="E15" s="110">
        <v>0</v>
      </c>
      <c r="F15" s="110">
        <v>0</v>
      </c>
      <c r="G15" s="987"/>
      <c r="H15" s="795" t="s">
        <v>46</v>
      </c>
      <c r="I15" s="993"/>
    </row>
    <row r="16" spans="2:10" ht="12.95" customHeight="1" x14ac:dyDescent="0.2">
      <c r="B16" s="486" t="s">
        <v>1282</v>
      </c>
      <c r="C16" s="68">
        <v>0</v>
      </c>
      <c r="D16" s="191">
        <v>0</v>
      </c>
      <c r="E16" s="68">
        <v>0</v>
      </c>
      <c r="F16" s="110">
        <v>0</v>
      </c>
      <c r="G16" s="987"/>
      <c r="H16" s="795" t="s">
        <v>46</v>
      </c>
      <c r="I16" s="993"/>
    </row>
    <row r="17" spans="2:10" ht="12.95" customHeight="1" x14ac:dyDescent="0.2">
      <c r="B17" s="486" t="s">
        <v>1856</v>
      </c>
      <c r="C17" s="68">
        <v>0</v>
      </c>
      <c r="D17" s="191">
        <v>0</v>
      </c>
      <c r="E17" s="110">
        <v>0</v>
      </c>
      <c r="F17" s="110">
        <v>0</v>
      </c>
      <c r="G17" s="987"/>
      <c r="H17" s="795" t="s">
        <v>46</v>
      </c>
      <c r="I17" s="993"/>
    </row>
    <row r="18" spans="2:10" ht="12.95" customHeight="1" x14ac:dyDescent="0.2">
      <c r="B18" s="486" t="s">
        <v>184</v>
      </c>
      <c r="C18" s="68">
        <v>0</v>
      </c>
      <c r="D18" s="191">
        <v>0</v>
      </c>
      <c r="E18" s="68">
        <v>0</v>
      </c>
      <c r="F18" s="110">
        <v>0</v>
      </c>
      <c r="G18" s="987"/>
      <c r="H18" s="795" t="s">
        <v>46</v>
      </c>
      <c r="I18" s="993"/>
      <c r="J18" s="448"/>
    </row>
    <row r="19" spans="2:10" ht="12.95" customHeight="1" x14ac:dyDescent="0.2">
      <c r="B19" s="486" t="s">
        <v>731</v>
      </c>
      <c r="C19" s="68">
        <v>0</v>
      </c>
      <c r="D19" s="191">
        <v>0</v>
      </c>
      <c r="E19" s="110">
        <v>0</v>
      </c>
      <c r="F19" s="110">
        <v>0</v>
      </c>
      <c r="G19" s="987"/>
      <c r="H19" s="795" t="s">
        <v>46</v>
      </c>
      <c r="I19" s="993"/>
      <c r="J19" s="448"/>
    </row>
    <row r="20" spans="2:10" ht="12.95" customHeight="1" x14ac:dyDescent="0.2">
      <c r="B20" s="486" t="s">
        <v>1283</v>
      </c>
      <c r="C20" s="110">
        <v>0</v>
      </c>
      <c r="D20" s="68">
        <v>0</v>
      </c>
      <c r="E20" s="68">
        <v>0</v>
      </c>
      <c r="F20" s="110">
        <v>0</v>
      </c>
      <c r="G20" s="987"/>
      <c r="H20" s="795" t="s">
        <v>46</v>
      </c>
      <c r="I20" s="993"/>
      <c r="J20" s="448"/>
    </row>
    <row r="21" spans="2:10" ht="12.95" customHeight="1" x14ac:dyDescent="0.2">
      <c r="B21" s="375" t="s">
        <v>1873</v>
      </c>
      <c r="C21" s="68">
        <v>0</v>
      </c>
      <c r="D21" s="68">
        <v>0</v>
      </c>
      <c r="E21" s="68">
        <v>0</v>
      </c>
      <c r="F21" s="68">
        <v>0</v>
      </c>
      <c r="G21" s="988"/>
      <c r="H21" s="795" t="s">
        <v>46</v>
      </c>
      <c r="I21" s="495"/>
      <c r="J21" s="448"/>
    </row>
    <row r="22" spans="2:10" ht="12.95" customHeight="1" x14ac:dyDescent="0.2">
      <c r="B22" s="727" t="s">
        <v>210</v>
      </c>
      <c r="C22" s="191">
        <v>0</v>
      </c>
      <c r="D22" s="191">
        <v>0</v>
      </c>
      <c r="E22" s="191">
        <v>0</v>
      </c>
      <c r="F22" s="191">
        <v>0</v>
      </c>
      <c r="G22" s="988"/>
      <c r="H22" s="795" t="s">
        <v>46</v>
      </c>
      <c r="I22" s="495"/>
      <c r="J22" s="448"/>
    </row>
    <row r="23" spans="2:10" ht="12.95" customHeight="1" x14ac:dyDescent="0.2">
      <c r="B23" s="486" t="s">
        <v>883</v>
      </c>
      <c r="C23" s="68">
        <v>0</v>
      </c>
      <c r="D23" s="68">
        <v>0</v>
      </c>
      <c r="E23" s="68">
        <v>0</v>
      </c>
      <c r="F23" s="68">
        <v>0</v>
      </c>
      <c r="G23" s="988"/>
      <c r="H23" s="795" t="s">
        <v>46</v>
      </c>
      <c r="I23" s="495"/>
      <c r="J23" s="448"/>
    </row>
    <row r="24" spans="2:10" ht="12.95" customHeight="1" x14ac:dyDescent="0.2">
      <c r="B24" s="486" t="s">
        <v>1448</v>
      </c>
      <c r="C24" s="68">
        <v>0</v>
      </c>
      <c r="D24" s="68">
        <v>0</v>
      </c>
      <c r="E24" s="68">
        <v>0</v>
      </c>
      <c r="F24" s="68">
        <v>0</v>
      </c>
      <c r="G24" s="988"/>
      <c r="H24" s="795" t="s">
        <v>46</v>
      </c>
      <c r="I24" s="495"/>
      <c r="J24" s="448"/>
    </row>
    <row r="25" spans="2:10" ht="12.95" customHeight="1" thickBot="1" x14ac:dyDescent="0.25">
      <c r="B25" s="486" t="s">
        <v>211</v>
      </c>
      <c r="C25" s="185">
        <v>0</v>
      </c>
      <c r="D25" s="185">
        <v>0</v>
      </c>
      <c r="E25" s="185">
        <v>0</v>
      </c>
      <c r="F25" s="185">
        <v>0</v>
      </c>
      <c r="G25" s="989"/>
      <c r="H25" s="795" t="s">
        <v>46</v>
      </c>
      <c r="I25" s="495"/>
      <c r="J25" s="448"/>
    </row>
    <row r="26" spans="2:10" ht="13.5" thickBot="1" x14ac:dyDescent="0.25">
      <c r="B26" s="667"/>
      <c r="C26" s="274"/>
      <c r="D26" s="274"/>
      <c r="E26" s="274"/>
      <c r="F26" s="274"/>
      <c r="G26" s="678"/>
    </row>
    <row r="27" spans="2:10" ht="12.75" customHeight="1" thickBot="1" x14ac:dyDescent="0.25">
      <c r="B27" s="87" t="s">
        <v>323</v>
      </c>
      <c r="C27" s="87" t="s">
        <v>1550</v>
      </c>
      <c r="D27" s="87" t="s">
        <v>850</v>
      </c>
      <c r="E27" s="87" t="s">
        <v>45</v>
      </c>
      <c r="F27" s="640" t="s">
        <v>183</v>
      </c>
      <c r="G27" s="977" t="s">
        <v>1553</v>
      </c>
    </row>
    <row r="28" spans="2:10" ht="12.95" customHeight="1" x14ac:dyDescent="0.2">
      <c r="B28" s="384" t="s">
        <v>1554</v>
      </c>
      <c r="C28" s="84">
        <v>0</v>
      </c>
      <c r="D28" s="84">
        <v>0</v>
      </c>
      <c r="E28" s="84">
        <v>0</v>
      </c>
      <c r="F28" s="672">
        <v>0</v>
      </c>
      <c r="G28" s="978"/>
      <c r="H28" s="309" t="s">
        <v>46</v>
      </c>
    </row>
    <row r="29" spans="2:10" ht="12.95" customHeight="1" x14ac:dyDescent="0.2">
      <c r="B29" s="375" t="s">
        <v>2086</v>
      </c>
      <c r="C29" s="68">
        <v>0</v>
      </c>
      <c r="D29" s="68">
        <v>0</v>
      </c>
      <c r="E29" s="68">
        <v>0</v>
      </c>
      <c r="F29" s="569">
        <v>0</v>
      </c>
      <c r="G29" s="978"/>
      <c r="H29" s="309" t="s">
        <v>46</v>
      </c>
    </row>
    <row r="30" spans="2:10" ht="12.95" customHeight="1" x14ac:dyDescent="0.2">
      <c r="B30" s="375" t="s">
        <v>462</v>
      </c>
      <c r="C30" s="68">
        <v>0</v>
      </c>
      <c r="D30" s="68">
        <v>0</v>
      </c>
      <c r="E30" s="68">
        <v>0</v>
      </c>
      <c r="F30" s="569">
        <v>0</v>
      </c>
      <c r="G30" s="978"/>
      <c r="H30" s="309" t="s">
        <v>46</v>
      </c>
    </row>
    <row r="31" spans="2:10" ht="12.95" customHeight="1" x14ac:dyDescent="0.2">
      <c r="B31" s="375" t="s">
        <v>992</v>
      </c>
      <c r="C31" s="68">
        <v>0</v>
      </c>
      <c r="D31" s="68">
        <v>0</v>
      </c>
      <c r="E31" s="68">
        <v>0</v>
      </c>
      <c r="F31" s="569">
        <v>0</v>
      </c>
      <c r="G31" s="978"/>
      <c r="H31" s="309" t="s">
        <v>46</v>
      </c>
    </row>
    <row r="32" spans="2:10" ht="12.95" customHeight="1" x14ac:dyDescent="0.2">
      <c r="B32" s="375" t="s">
        <v>1555</v>
      </c>
      <c r="C32" s="68">
        <v>0</v>
      </c>
      <c r="D32" s="68">
        <v>0</v>
      </c>
      <c r="E32" s="68">
        <v>0</v>
      </c>
      <c r="F32" s="569">
        <v>0</v>
      </c>
      <c r="G32" s="978"/>
      <c r="H32" s="309" t="s">
        <v>46</v>
      </c>
    </row>
    <row r="33" spans="2:8" ht="12.95" customHeight="1" x14ac:dyDescent="0.2">
      <c r="B33" s="375" t="s">
        <v>2087</v>
      </c>
      <c r="C33" s="68">
        <v>0</v>
      </c>
      <c r="D33" s="68">
        <v>0</v>
      </c>
      <c r="E33" s="68">
        <v>0</v>
      </c>
      <c r="F33" s="569">
        <v>0</v>
      </c>
      <c r="G33" s="978"/>
      <c r="H33" s="309" t="s">
        <v>46</v>
      </c>
    </row>
    <row r="34" spans="2:8" ht="12.95" customHeight="1" x14ac:dyDescent="0.2">
      <c r="B34" s="375" t="s">
        <v>463</v>
      </c>
      <c r="C34" s="68">
        <v>0</v>
      </c>
      <c r="D34" s="68">
        <v>0</v>
      </c>
      <c r="E34" s="68">
        <v>0</v>
      </c>
      <c r="F34" s="569">
        <v>0</v>
      </c>
      <c r="G34" s="978"/>
      <c r="H34" s="309" t="s">
        <v>46</v>
      </c>
    </row>
    <row r="35" spans="2:8" ht="12.95" customHeight="1" x14ac:dyDescent="0.2">
      <c r="B35" s="375" t="s">
        <v>993</v>
      </c>
      <c r="C35" s="68">
        <v>0</v>
      </c>
      <c r="D35" s="68">
        <v>0</v>
      </c>
      <c r="E35" s="68">
        <v>0</v>
      </c>
      <c r="F35" s="569">
        <v>0</v>
      </c>
      <c r="G35" s="978"/>
      <c r="H35" s="309" t="s">
        <v>46</v>
      </c>
    </row>
    <row r="36" spans="2:8" ht="12.95" customHeight="1" x14ac:dyDescent="0.2">
      <c r="B36" s="375" t="s">
        <v>1556</v>
      </c>
      <c r="C36" s="68">
        <v>0</v>
      </c>
      <c r="D36" s="68">
        <v>0</v>
      </c>
      <c r="E36" s="68">
        <v>0</v>
      </c>
      <c r="F36" s="569">
        <v>0</v>
      </c>
      <c r="G36" s="978"/>
      <c r="H36" s="309" t="s">
        <v>46</v>
      </c>
    </row>
    <row r="37" spans="2:8" ht="12.95" customHeight="1" x14ac:dyDescent="0.2">
      <c r="B37" s="375" t="s">
        <v>600</v>
      </c>
      <c r="C37" s="68">
        <v>0</v>
      </c>
      <c r="D37" s="68">
        <v>0</v>
      </c>
      <c r="E37" s="110">
        <v>0</v>
      </c>
      <c r="F37" s="575">
        <v>0</v>
      </c>
      <c r="G37" s="978"/>
      <c r="H37" s="309" t="s">
        <v>46</v>
      </c>
    </row>
    <row r="38" spans="2:8" ht="12.95" customHeight="1" x14ac:dyDescent="0.2">
      <c r="B38" s="375" t="s">
        <v>1140</v>
      </c>
      <c r="C38" s="68">
        <v>0</v>
      </c>
      <c r="D38" s="68">
        <v>0</v>
      </c>
      <c r="E38" s="110">
        <v>0</v>
      </c>
      <c r="F38" s="575">
        <v>0</v>
      </c>
      <c r="G38" s="978"/>
      <c r="H38" s="309" t="s">
        <v>46</v>
      </c>
    </row>
    <row r="39" spans="2:8" ht="12.95" customHeight="1" x14ac:dyDescent="0.2">
      <c r="B39" s="375" t="s">
        <v>1716</v>
      </c>
      <c r="C39" s="68">
        <v>0</v>
      </c>
      <c r="D39" s="68">
        <v>0</v>
      </c>
      <c r="E39" s="110">
        <v>0</v>
      </c>
      <c r="F39" s="575">
        <v>0</v>
      </c>
      <c r="G39" s="978"/>
      <c r="H39" s="309" t="s">
        <v>46</v>
      </c>
    </row>
    <row r="40" spans="2:8" ht="12.95" customHeight="1" x14ac:dyDescent="0.2">
      <c r="B40" s="375" t="s">
        <v>47</v>
      </c>
      <c r="C40" s="68">
        <v>0</v>
      </c>
      <c r="D40" s="68">
        <v>0</v>
      </c>
      <c r="E40" s="110">
        <v>0</v>
      </c>
      <c r="F40" s="575">
        <v>0</v>
      </c>
      <c r="G40" s="978"/>
      <c r="H40" s="309" t="s">
        <v>46</v>
      </c>
    </row>
    <row r="41" spans="2:8" ht="12.95" customHeight="1" x14ac:dyDescent="0.2">
      <c r="B41" s="375" t="s">
        <v>601</v>
      </c>
      <c r="C41" s="68">
        <v>0</v>
      </c>
      <c r="D41" s="68">
        <v>0</v>
      </c>
      <c r="E41" s="110">
        <v>0</v>
      </c>
      <c r="F41" s="575">
        <v>0</v>
      </c>
      <c r="G41" s="978"/>
      <c r="H41" s="309" t="s">
        <v>46</v>
      </c>
    </row>
    <row r="42" spans="2:8" ht="12.95" customHeight="1" thickBot="1" x14ac:dyDescent="0.25">
      <c r="B42" s="375" t="s">
        <v>1141</v>
      </c>
      <c r="C42" s="68">
        <v>0</v>
      </c>
      <c r="D42" s="68">
        <v>0</v>
      </c>
      <c r="E42" s="110">
        <v>0</v>
      </c>
      <c r="F42" s="575">
        <v>0</v>
      </c>
      <c r="G42" s="979"/>
      <c r="H42" s="309" t="s">
        <v>46</v>
      </c>
    </row>
    <row r="43" spans="2:8" ht="12.75" customHeight="1" thickBot="1" x14ac:dyDescent="0.25">
      <c r="B43" s="466"/>
      <c r="C43" s="277"/>
      <c r="D43" s="277"/>
      <c r="E43" s="277"/>
      <c r="F43" s="277"/>
      <c r="G43" s="715"/>
    </row>
    <row r="44" spans="2:8" ht="13.5" thickBot="1" x14ac:dyDescent="0.25">
      <c r="B44" s="87" t="s">
        <v>323</v>
      </c>
      <c r="C44" s="87" t="s">
        <v>1550</v>
      </c>
      <c r="D44" s="87" t="s">
        <v>2088</v>
      </c>
      <c r="E44" s="87" t="s">
        <v>851</v>
      </c>
      <c r="F44" s="353" t="s">
        <v>602</v>
      </c>
      <c r="G44" s="977" t="s">
        <v>324</v>
      </c>
    </row>
    <row r="45" spans="2:8" ht="12.95" customHeight="1" x14ac:dyDescent="0.2">
      <c r="B45" s="463" t="s">
        <v>2089</v>
      </c>
      <c r="C45" s="84">
        <v>0</v>
      </c>
      <c r="D45" s="84">
        <v>0</v>
      </c>
      <c r="E45" s="84">
        <v>0</v>
      </c>
      <c r="F45" s="84">
        <v>0</v>
      </c>
      <c r="G45" s="978"/>
      <c r="H45" s="309" t="s">
        <v>46</v>
      </c>
    </row>
    <row r="46" spans="2:8" ht="12.95" customHeight="1" x14ac:dyDescent="0.2">
      <c r="B46" s="477" t="s">
        <v>464</v>
      </c>
      <c r="C46" s="68">
        <v>0</v>
      </c>
      <c r="D46" s="68">
        <v>0</v>
      </c>
      <c r="E46" s="68">
        <v>0</v>
      </c>
      <c r="F46" s="68">
        <v>0</v>
      </c>
      <c r="G46" s="978"/>
      <c r="H46" s="309" t="s">
        <v>46</v>
      </c>
    </row>
    <row r="47" spans="2:8" ht="12.95" customHeight="1" x14ac:dyDescent="0.2">
      <c r="B47" s="477" t="s">
        <v>994</v>
      </c>
      <c r="C47" s="68">
        <v>0</v>
      </c>
      <c r="D47" s="68">
        <v>0</v>
      </c>
      <c r="E47" s="68">
        <v>0</v>
      </c>
      <c r="F47" s="68">
        <v>0</v>
      </c>
      <c r="G47" s="978"/>
      <c r="H47" s="309" t="s">
        <v>46</v>
      </c>
    </row>
    <row r="48" spans="2:8" ht="12.95" customHeight="1" x14ac:dyDescent="0.2">
      <c r="B48" s="477" t="s">
        <v>1557</v>
      </c>
      <c r="C48" s="68">
        <v>0</v>
      </c>
      <c r="D48" s="68">
        <v>0</v>
      </c>
      <c r="E48" s="68">
        <v>0</v>
      </c>
      <c r="F48" s="68">
        <v>0</v>
      </c>
      <c r="G48" s="978"/>
      <c r="H48" s="309" t="s">
        <v>46</v>
      </c>
    </row>
    <row r="49" spans="2:8" ht="12.95" customHeight="1" x14ac:dyDescent="0.2">
      <c r="B49" s="477" t="s">
        <v>2090</v>
      </c>
      <c r="C49" s="68">
        <v>0</v>
      </c>
      <c r="D49" s="68">
        <v>0</v>
      </c>
      <c r="E49" s="68">
        <v>0</v>
      </c>
      <c r="F49" s="68">
        <v>0</v>
      </c>
      <c r="G49" s="978"/>
      <c r="H49" s="309" t="s">
        <v>46</v>
      </c>
    </row>
    <row r="50" spans="2:8" ht="12.95" customHeight="1" x14ac:dyDescent="0.2">
      <c r="B50" s="477" t="s">
        <v>603</v>
      </c>
      <c r="C50" s="68">
        <v>0</v>
      </c>
      <c r="D50" s="68">
        <v>0</v>
      </c>
      <c r="E50" s="68">
        <v>0</v>
      </c>
      <c r="F50" s="68">
        <v>0</v>
      </c>
      <c r="G50" s="978"/>
      <c r="H50" s="309" t="s">
        <v>46</v>
      </c>
    </row>
    <row r="51" spans="2:8" ht="12.95" customHeight="1" x14ac:dyDescent="0.2">
      <c r="B51" s="477" t="s">
        <v>1142</v>
      </c>
      <c r="C51" s="68">
        <v>0</v>
      </c>
      <c r="D51" s="68">
        <v>0</v>
      </c>
      <c r="E51" s="68">
        <v>0</v>
      </c>
      <c r="F51" s="68">
        <v>0</v>
      </c>
      <c r="G51" s="978"/>
      <c r="H51" s="309" t="s">
        <v>46</v>
      </c>
    </row>
    <row r="52" spans="2:8" ht="12.95" customHeight="1" x14ac:dyDescent="0.2">
      <c r="B52" s="477" t="s">
        <v>1717</v>
      </c>
      <c r="C52" s="68">
        <v>0</v>
      </c>
      <c r="D52" s="68">
        <v>0</v>
      </c>
      <c r="E52" s="68">
        <v>0</v>
      </c>
      <c r="F52" s="68">
        <v>0</v>
      </c>
      <c r="G52" s="978"/>
      <c r="H52" s="309" t="s">
        <v>46</v>
      </c>
    </row>
    <row r="53" spans="2:8" ht="12.95" customHeight="1" x14ac:dyDescent="0.2">
      <c r="B53" s="477" t="s">
        <v>48</v>
      </c>
      <c r="C53" s="68">
        <v>0</v>
      </c>
      <c r="D53" s="68">
        <v>0</v>
      </c>
      <c r="E53" s="68">
        <v>0</v>
      </c>
      <c r="F53" s="68">
        <v>0</v>
      </c>
      <c r="G53" s="978"/>
      <c r="H53" s="309" t="s">
        <v>46</v>
      </c>
    </row>
    <row r="54" spans="2:8" ht="12.95" customHeight="1" thickBot="1" x14ac:dyDescent="0.25">
      <c r="B54" s="477" t="s">
        <v>2091</v>
      </c>
      <c r="C54" s="110">
        <v>0</v>
      </c>
      <c r="D54" s="110">
        <v>0</v>
      </c>
      <c r="E54" s="110">
        <v>0</v>
      </c>
      <c r="F54" s="110">
        <v>0</v>
      </c>
      <c r="G54" s="979"/>
      <c r="H54" s="309" t="s">
        <v>46</v>
      </c>
    </row>
    <row r="55" spans="2:8" ht="13.5" thickBot="1" x14ac:dyDescent="0.25">
      <c r="B55" s="254"/>
      <c r="C55" s="254"/>
      <c r="D55" s="254"/>
      <c r="E55" s="254"/>
      <c r="F55" s="254"/>
    </row>
    <row r="56" spans="2:8" ht="13.5" thickBot="1" x14ac:dyDescent="0.25">
      <c r="B56" s="87" t="s">
        <v>323</v>
      </c>
      <c r="C56" s="87" t="s">
        <v>1550</v>
      </c>
      <c r="D56" s="87" t="s">
        <v>2088</v>
      </c>
      <c r="E56" s="87" t="s">
        <v>851</v>
      </c>
      <c r="F56" s="353" t="s">
        <v>602</v>
      </c>
      <c r="G56" s="977" t="s">
        <v>185</v>
      </c>
    </row>
    <row r="57" spans="2:8" x14ac:dyDescent="0.2">
      <c r="B57" s="463" t="s">
        <v>1558</v>
      </c>
      <c r="C57" s="84">
        <v>0</v>
      </c>
      <c r="D57" s="84">
        <v>0</v>
      </c>
      <c r="E57" s="84">
        <v>0</v>
      </c>
      <c r="F57" s="84">
        <v>0</v>
      </c>
      <c r="G57" s="978"/>
      <c r="H57" s="309" t="s">
        <v>46</v>
      </c>
    </row>
    <row r="58" spans="2:8" x14ac:dyDescent="0.2">
      <c r="B58" s="477" t="s">
        <v>2092</v>
      </c>
      <c r="C58" s="68">
        <v>0</v>
      </c>
      <c r="D58" s="68">
        <v>0</v>
      </c>
      <c r="E58" s="68">
        <v>0</v>
      </c>
      <c r="F58" s="68">
        <v>0</v>
      </c>
      <c r="G58" s="978"/>
      <c r="H58" s="309" t="s">
        <v>46</v>
      </c>
    </row>
    <row r="59" spans="2:8" x14ac:dyDescent="0.2">
      <c r="B59" s="477" t="s">
        <v>465</v>
      </c>
      <c r="C59" s="68">
        <v>0</v>
      </c>
      <c r="D59" s="68">
        <v>0</v>
      </c>
      <c r="E59" s="68">
        <v>0</v>
      </c>
      <c r="F59" s="68">
        <v>0</v>
      </c>
      <c r="G59" s="978"/>
      <c r="H59" s="309" t="s">
        <v>46</v>
      </c>
    </row>
    <row r="60" spans="2:8" x14ac:dyDescent="0.2">
      <c r="B60" s="477" t="s">
        <v>1143</v>
      </c>
      <c r="C60" s="68">
        <v>0</v>
      </c>
      <c r="D60" s="68">
        <v>0</v>
      </c>
      <c r="E60" s="68">
        <v>0</v>
      </c>
      <c r="F60" s="68">
        <v>0</v>
      </c>
      <c r="G60" s="978"/>
      <c r="H60" s="309" t="s">
        <v>46</v>
      </c>
    </row>
    <row r="61" spans="2:8" x14ac:dyDescent="0.2">
      <c r="B61" s="477" t="s">
        <v>1718</v>
      </c>
      <c r="C61" s="68">
        <v>0</v>
      </c>
      <c r="D61" s="68">
        <v>0</v>
      </c>
      <c r="E61" s="68">
        <v>0</v>
      </c>
      <c r="F61" s="68">
        <v>0</v>
      </c>
      <c r="G61" s="978"/>
      <c r="H61" s="309" t="s">
        <v>46</v>
      </c>
    </row>
    <row r="62" spans="2:8" x14ac:dyDescent="0.2">
      <c r="B62" s="477" t="s">
        <v>49</v>
      </c>
      <c r="C62" s="68">
        <v>0</v>
      </c>
      <c r="D62" s="68">
        <v>0</v>
      </c>
      <c r="E62" s="68">
        <v>0</v>
      </c>
      <c r="F62" s="68">
        <v>0</v>
      </c>
      <c r="G62" s="978"/>
      <c r="H62" s="309" t="s">
        <v>46</v>
      </c>
    </row>
    <row r="63" spans="2:8" x14ac:dyDescent="0.2">
      <c r="B63" s="477" t="s">
        <v>604</v>
      </c>
      <c r="C63" s="68">
        <v>0</v>
      </c>
      <c r="D63" s="68">
        <v>0</v>
      </c>
      <c r="E63" s="68">
        <v>0</v>
      </c>
      <c r="F63" s="68">
        <v>0</v>
      </c>
      <c r="G63" s="978"/>
      <c r="H63" s="309" t="s">
        <v>46</v>
      </c>
    </row>
    <row r="64" spans="2:8" x14ac:dyDescent="0.2">
      <c r="B64" s="477" t="s">
        <v>1144</v>
      </c>
      <c r="C64" s="68">
        <v>0</v>
      </c>
      <c r="D64" s="68">
        <v>0</v>
      </c>
      <c r="E64" s="68">
        <v>0</v>
      </c>
      <c r="F64" s="68">
        <v>0</v>
      </c>
      <c r="G64" s="978"/>
      <c r="H64" s="309" t="s">
        <v>46</v>
      </c>
    </row>
    <row r="65" spans="2:8" x14ac:dyDescent="0.2">
      <c r="B65" s="477" t="s">
        <v>1719</v>
      </c>
      <c r="C65" s="68">
        <v>0</v>
      </c>
      <c r="D65" s="68">
        <v>0</v>
      </c>
      <c r="E65" s="68">
        <v>0</v>
      </c>
      <c r="F65" s="68">
        <v>0</v>
      </c>
      <c r="G65" s="978"/>
      <c r="H65" s="309" t="s">
        <v>46</v>
      </c>
    </row>
    <row r="66" spans="2:8" ht="13.5" thickBot="1" x14ac:dyDescent="0.25">
      <c r="B66" s="477" t="s">
        <v>1145</v>
      </c>
      <c r="C66" s="185">
        <v>0</v>
      </c>
      <c r="D66" s="68">
        <v>0</v>
      </c>
      <c r="E66" s="110">
        <v>0</v>
      </c>
      <c r="F66" s="110">
        <v>0</v>
      </c>
      <c r="G66" s="978"/>
      <c r="H66" s="309" t="s">
        <v>46</v>
      </c>
    </row>
    <row r="67" spans="2:8" x14ac:dyDescent="0.2">
      <c r="B67" s="466"/>
      <c r="C67" s="277"/>
      <c r="D67" s="277"/>
      <c r="E67" s="277"/>
      <c r="F67" s="277"/>
      <c r="G67" s="768"/>
    </row>
  </sheetData>
  <mergeCells count="9">
    <mergeCell ref="G44:G54"/>
    <mergeCell ref="G56:G66"/>
    <mergeCell ref="B2:G3"/>
    <mergeCell ref="G5:G25"/>
    <mergeCell ref="J6:J7"/>
    <mergeCell ref="I6:I8"/>
    <mergeCell ref="J8:J9"/>
    <mergeCell ref="I9:I20"/>
    <mergeCell ref="G27:G42"/>
  </mergeCells>
  <pageMargins left="0.7" right="0.7" top="0.75" bottom="0.75" header="0.3" footer="0.3"/>
  <pageSetup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26"/>
  <sheetViews>
    <sheetView showGridLines="0" zoomScale="85" workbookViewId="0"/>
  </sheetViews>
  <sheetFormatPr defaultRowHeight="12.75" x14ac:dyDescent="0.2"/>
  <cols>
    <col min="1" max="1" width="3" customWidth="1"/>
    <col min="2" max="2" width="14.85546875" customWidth="1"/>
    <col min="3" max="3" width="10.7109375" customWidth="1"/>
    <col min="4" max="4" width="11.28515625" customWidth="1"/>
    <col min="5" max="9" width="10.7109375" customWidth="1"/>
    <col min="10" max="10" width="10.85546875" customWidth="1"/>
    <col min="11" max="14" width="10.7109375" customWidth="1"/>
    <col min="15" max="16" width="16.42578125" customWidth="1"/>
    <col min="17" max="17" width="18.42578125" customWidth="1"/>
    <col min="18" max="18" width="18.28515625" customWidth="1"/>
    <col min="19" max="19" width="11" bestFit="1" customWidth="1"/>
    <col min="20" max="20" width="3" customWidth="1"/>
  </cols>
  <sheetData>
    <row r="1" spans="1:20" ht="13.5" thickBot="1" x14ac:dyDescent="0.25">
      <c r="A1" s="275"/>
      <c r="B1" s="47"/>
      <c r="C1" s="47"/>
      <c r="D1" s="47"/>
      <c r="E1" s="47"/>
      <c r="F1" s="47"/>
      <c r="G1" s="47"/>
      <c r="H1" s="47"/>
      <c r="I1" s="47"/>
      <c r="J1" s="47"/>
      <c r="K1" s="47"/>
      <c r="L1" s="47"/>
      <c r="M1" s="47"/>
      <c r="N1" s="47"/>
      <c r="O1" s="47"/>
      <c r="P1" s="47"/>
      <c r="Q1" s="47"/>
      <c r="R1" s="47"/>
      <c r="S1" s="47"/>
      <c r="T1" s="275"/>
    </row>
    <row r="2" spans="1:20" ht="26.25" thickBot="1" x14ac:dyDescent="0.25">
      <c r="A2" s="275"/>
      <c r="B2" s="343" t="s">
        <v>753</v>
      </c>
      <c r="C2" s="36" t="s">
        <v>72</v>
      </c>
      <c r="D2" s="36" t="s">
        <v>622</v>
      </c>
      <c r="E2" s="36" t="s">
        <v>213</v>
      </c>
      <c r="F2" s="36" t="s">
        <v>488</v>
      </c>
      <c r="G2" s="36" t="s">
        <v>1874</v>
      </c>
      <c r="H2" s="36" t="s">
        <v>1584</v>
      </c>
      <c r="I2" s="36" t="s">
        <v>2113</v>
      </c>
      <c r="J2" s="36" t="s">
        <v>1740</v>
      </c>
      <c r="K2" s="36" t="s">
        <v>1313</v>
      </c>
      <c r="L2" s="36" t="s">
        <v>754</v>
      </c>
      <c r="M2" s="36" t="s">
        <v>214</v>
      </c>
      <c r="N2" s="36" t="s">
        <v>489</v>
      </c>
      <c r="O2" s="36" t="s">
        <v>1585</v>
      </c>
      <c r="P2" s="36" t="s">
        <v>1586</v>
      </c>
      <c r="Q2" s="36" t="s">
        <v>73</v>
      </c>
      <c r="R2" s="36" t="s">
        <v>74</v>
      </c>
      <c r="S2" s="388" t="s">
        <v>1886</v>
      </c>
      <c r="T2" s="275"/>
    </row>
    <row r="3" spans="1:20" x14ac:dyDescent="0.2">
      <c r="A3" s="275"/>
      <c r="B3" s="521">
        <v>56</v>
      </c>
      <c r="C3" s="56">
        <v>10.625</v>
      </c>
      <c r="D3" s="56">
        <v>6.5</v>
      </c>
      <c r="E3" s="56">
        <v>1.125</v>
      </c>
      <c r="F3" s="56">
        <v>4.5</v>
      </c>
      <c r="G3" s="56">
        <v>3</v>
      </c>
      <c r="H3" s="56">
        <v>2.4375</v>
      </c>
      <c r="I3" s="56">
        <v>1.5</v>
      </c>
      <c r="J3" s="56">
        <v>3.8125</v>
      </c>
      <c r="K3" s="56">
        <v>2.875</v>
      </c>
      <c r="L3" s="56">
        <v>0.375</v>
      </c>
      <c r="M3" s="56">
        <v>7.8E-2</v>
      </c>
      <c r="N3" s="56">
        <v>0.875</v>
      </c>
      <c r="O3" s="56">
        <v>0.3125</v>
      </c>
      <c r="P3" s="56">
        <v>1</v>
      </c>
      <c r="Q3" s="56">
        <v>0.375</v>
      </c>
      <c r="R3" s="56">
        <v>4</v>
      </c>
      <c r="S3" s="670">
        <v>3</v>
      </c>
      <c r="T3" s="275"/>
    </row>
    <row r="4" spans="1:20" x14ac:dyDescent="0.2">
      <c r="A4" s="460"/>
      <c r="B4" s="430" t="s">
        <v>1668</v>
      </c>
      <c r="C4" s="18">
        <v>10.5</v>
      </c>
      <c r="D4" s="18">
        <v>7.5</v>
      </c>
      <c r="E4" s="18">
        <v>1.125</v>
      </c>
      <c r="F4" s="18">
        <v>5.5</v>
      </c>
      <c r="G4" s="18">
        <v>3</v>
      </c>
      <c r="H4" s="18">
        <v>2.75</v>
      </c>
      <c r="I4" s="18">
        <v>2</v>
      </c>
      <c r="J4" s="18">
        <v>3.75</v>
      </c>
      <c r="K4" s="18">
        <v>3.375</v>
      </c>
      <c r="L4" s="18">
        <v>0.375</v>
      </c>
      <c r="M4" s="18">
        <v>0.11899999999999999</v>
      </c>
      <c r="N4" s="18">
        <v>0.8125</v>
      </c>
      <c r="O4" s="18">
        <v>0.3125</v>
      </c>
      <c r="P4" s="18">
        <v>1</v>
      </c>
      <c r="Q4" s="18">
        <v>0.375</v>
      </c>
      <c r="R4" s="18">
        <v>4</v>
      </c>
      <c r="S4" s="581">
        <v>5</v>
      </c>
      <c r="T4" s="275"/>
    </row>
    <row r="5" spans="1:20" x14ac:dyDescent="0.2">
      <c r="A5" s="460"/>
      <c r="B5" s="430" t="s">
        <v>556</v>
      </c>
      <c r="C5" s="18">
        <v>10.5</v>
      </c>
      <c r="D5" s="18">
        <v>8.5</v>
      </c>
      <c r="E5" s="18">
        <v>1.125</v>
      </c>
      <c r="F5" s="18">
        <v>6.5</v>
      </c>
      <c r="G5" s="18">
        <v>3</v>
      </c>
      <c r="H5" s="18">
        <v>2.75</v>
      </c>
      <c r="I5" s="18">
        <v>2.5</v>
      </c>
      <c r="J5" s="18">
        <v>3.75</v>
      </c>
      <c r="K5" s="18">
        <v>3.875</v>
      </c>
      <c r="L5" s="18">
        <v>0.375</v>
      </c>
      <c r="M5" s="18">
        <v>0.11899999999999999</v>
      </c>
      <c r="N5" s="18">
        <v>0.8125</v>
      </c>
      <c r="O5" s="18">
        <v>0.3125</v>
      </c>
      <c r="P5" s="18">
        <v>1</v>
      </c>
      <c r="Q5" s="18">
        <v>0.375</v>
      </c>
      <c r="R5" s="18">
        <v>4</v>
      </c>
      <c r="S5" s="581">
        <v>6</v>
      </c>
      <c r="T5" s="275"/>
    </row>
    <row r="6" spans="1:20" x14ac:dyDescent="0.2">
      <c r="A6" s="460"/>
      <c r="B6" s="430" t="s">
        <v>2</v>
      </c>
      <c r="C6" s="18">
        <v>12.75</v>
      </c>
      <c r="D6" s="18">
        <v>9.5</v>
      </c>
      <c r="E6" s="18">
        <v>1.5</v>
      </c>
      <c r="F6" s="18">
        <v>6.5</v>
      </c>
      <c r="G6" s="18">
        <v>3</v>
      </c>
      <c r="H6" s="18">
        <v>3.75</v>
      </c>
      <c r="I6" s="18">
        <v>2.25</v>
      </c>
      <c r="J6" s="18">
        <v>4.5</v>
      </c>
      <c r="K6" s="18">
        <v>4.25</v>
      </c>
      <c r="L6" s="18">
        <v>0.5</v>
      </c>
      <c r="M6" s="18">
        <v>0.13400000000000001</v>
      </c>
      <c r="N6" s="18">
        <v>1.5</v>
      </c>
      <c r="O6" s="18">
        <v>0.375</v>
      </c>
      <c r="P6" s="18">
        <v>1.75</v>
      </c>
      <c r="Q6" s="18">
        <v>0.5</v>
      </c>
      <c r="R6" s="18">
        <v>6</v>
      </c>
      <c r="S6" s="581">
        <v>9</v>
      </c>
      <c r="T6" s="275"/>
    </row>
    <row r="7" spans="1:20" x14ac:dyDescent="0.2">
      <c r="A7" s="460"/>
      <c r="B7" s="430" t="s">
        <v>1101</v>
      </c>
      <c r="C7" s="18">
        <v>12.75</v>
      </c>
      <c r="D7" s="18">
        <v>10.5</v>
      </c>
      <c r="E7" s="18">
        <v>1.5</v>
      </c>
      <c r="F7" s="18">
        <v>7.5</v>
      </c>
      <c r="G7" s="18">
        <v>3</v>
      </c>
      <c r="H7" s="18">
        <v>3.75</v>
      </c>
      <c r="I7" s="18">
        <v>2.75</v>
      </c>
      <c r="J7" s="18">
        <v>4.5</v>
      </c>
      <c r="K7" s="18">
        <v>4.75</v>
      </c>
      <c r="L7" s="18">
        <v>0.5</v>
      </c>
      <c r="M7" s="18">
        <v>0.13400000000000001</v>
      </c>
      <c r="N7" s="18">
        <v>1.5</v>
      </c>
      <c r="O7" s="18">
        <v>0.375</v>
      </c>
      <c r="P7" s="18">
        <v>1.75</v>
      </c>
      <c r="Q7" s="18">
        <v>0.5</v>
      </c>
      <c r="R7" s="18">
        <v>6</v>
      </c>
      <c r="S7" s="581">
        <v>9.5</v>
      </c>
      <c r="T7" s="275"/>
    </row>
    <row r="8" spans="1:20" x14ac:dyDescent="0.2">
      <c r="A8" s="460"/>
      <c r="B8" s="430" t="s">
        <v>423</v>
      </c>
      <c r="C8" s="18">
        <v>15</v>
      </c>
      <c r="D8" s="18">
        <v>11</v>
      </c>
      <c r="E8" s="18">
        <v>1.75</v>
      </c>
      <c r="F8" s="18">
        <v>7.5</v>
      </c>
      <c r="G8" s="18">
        <v>3.5</v>
      </c>
      <c r="H8" s="18">
        <v>4.25</v>
      </c>
      <c r="I8" s="18">
        <v>2.75</v>
      </c>
      <c r="J8" s="18">
        <v>5.25</v>
      </c>
      <c r="K8" s="18">
        <v>4.75</v>
      </c>
      <c r="L8" s="18">
        <v>0.5</v>
      </c>
      <c r="M8" s="18">
        <v>0.16400000000000001</v>
      </c>
      <c r="N8" s="18">
        <v>1.5</v>
      </c>
      <c r="O8" s="18">
        <v>0.375</v>
      </c>
      <c r="P8" s="18">
        <v>1.75</v>
      </c>
      <c r="Q8" s="18">
        <v>0.5</v>
      </c>
      <c r="R8" s="18">
        <v>6</v>
      </c>
      <c r="S8" s="581">
        <v>13.5</v>
      </c>
      <c r="T8" s="275"/>
    </row>
    <row r="9" spans="1:20" x14ac:dyDescent="0.2">
      <c r="A9" s="460"/>
      <c r="B9" s="430" t="s">
        <v>1521</v>
      </c>
      <c r="C9" s="18">
        <v>15</v>
      </c>
      <c r="D9" s="18">
        <v>12.5</v>
      </c>
      <c r="E9" s="18">
        <v>1.75</v>
      </c>
      <c r="F9" s="18">
        <v>9</v>
      </c>
      <c r="G9" s="18">
        <v>3.5</v>
      </c>
      <c r="H9" s="18">
        <v>4.25</v>
      </c>
      <c r="I9" s="18">
        <v>3.5</v>
      </c>
      <c r="J9" s="18">
        <v>5.25</v>
      </c>
      <c r="K9" s="18">
        <v>5.5</v>
      </c>
      <c r="L9" s="18">
        <v>0.5</v>
      </c>
      <c r="M9" s="18">
        <v>0.16400000000000001</v>
      </c>
      <c r="N9" s="18">
        <v>1.5</v>
      </c>
      <c r="O9" s="18">
        <v>0.375</v>
      </c>
      <c r="P9" s="18">
        <v>1.75</v>
      </c>
      <c r="Q9" s="18">
        <v>0.5</v>
      </c>
      <c r="R9" s="18">
        <v>6</v>
      </c>
      <c r="S9" s="581">
        <v>15.5</v>
      </c>
      <c r="T9" s="275"/>
    </row>
    <row r="10" spans="1:20" x14ac:dyDescent="0.2">
      <c r="A10" s="460"/>
      <c r="B10" s="430" t="s">
        <v>2059</v>
      </c>
      <c r="C10" s="18">
        <v>17.75</v>
      </c>
      <c r="D10" s="18">
        <v>15.125</v>
      </c>
      <c r="E10" s="18">
        <v>2</v>
      </c>
      <c r="F10" s="18">
        <v>10.75</v>
      </c>
      <c r="G10" s="18">
        <v>4</v>
      </c>
      <c r="H10" s="18">
        <v>5</v>
      </c>
      <c r="I10" s="18">
        <v>4.125</v>
      </c>
      <c r="J10" s="18">
        <v>6.25</v>
      </c>
      <c r="K10" s="18">
        <v>6.625</v>
      </c>
      <c r="L10" s="18">
        <v>0.625</v>
      </c>
      <c r="M10" s="18">
        <v>0.1875</v>
      </c>
      <c r="N10" s="18">
        <v>1.375</v>
      </c>
      <c r="O10" s="18">
        <v>0.5</v>
      </c>
      <c r="P10" s="18">
        <v>1.75</v>
      </c>
      <c r="Q10" s="18">
        <v>0.625</v>
      </c>
      <c r="R10" s="18">
        <v>9</v>
      </c>
      <c r="S10" s="581">
        <v>17</v>
      </c>
      <c r="T10" s="275"/>
    </row>
    <row r="11" spans="1:20" x14ac:dyDescent="0.2">
      <c r="A11" s="460"/>
      <c r="B11" s="430" t="s">
        <v>1100</v>
      </c>
      <c r="C11" s="18">
        <v>17.75</v>
      </c>
      <c r="D11" s="18">
        <v>16.875</v>
      </c>
      <c r="E11" s="18">
        <v>2</v>
      </c>
      <c r="F11" s="18">
        <v>12.5</v>
      </c>
      <c r="G11" s="18">
        <v>4</v>
      </c>
      <c r="H11" s="18">
        <v>5</v>
      </c>
      <c r="I11" s="18">
        <v>5</v>
      </c>
      <c r="J11" s="18">
        <v>6.25</v>
      </c>
      <c r="K11" s="18">
        <v>7.5</v>
      </c>
      <c r="L11" s="18">
        <v>0.625</v>
      </c>
      <c r="M11" s="18">
        <v>0.1875</v>
      </c>
      <c r="N11" s="18">
        <v>1.375</v>
      </c>
      <c r="O11" s="18">
        <v>0.5</v>
      </c>
      <c r="P11" s="18">
        <v>1.75</v>
      </c>
      <c r="Q11" s="18">
        <v>0.625</v>
      </c>
      <c r="R11" s="18">
        <v>9</v>
      </c>
      <c r="S11" s="581">
        <v>18</v>
      </c>
      <c r="T11" s="275"/>
    </row>
    <row r="12" spans="1:20" x14ac:dyDescent="0.2">
      <c r="A12" s="460"/>
      <c r="B12" s="430" t="s">
        <v>958</v>
      </c>
      <c r="C12" s="18">
        <v>19.75</v>
      </c>
      <c r="D12" s="18">
        <v>16.875</v>
      </c>
      <c r="E12" s="18">
        <v>2</v>
      </c>
      <c r="F12" s="18">
        <v>12.5</v>
      </c>
      <c r="G12" s="18">
        <v>4.5</v>
      </c>
      <c r="H12" s="18">
        <v>5.5</v>
      </c>
      <c r="I12" s="18">
        <v>4.75</v>
      </c>
      <c r="J12" s="18">
        <v>7</v>
      </c>
      <c r="K12" s="18">
        <v>7.5</v>
      </c>
      <c r="L12" s="18">
        <v>0.625</v>
      </c>
      <c r="M12" s="18">
        <v>0.1875</v>
      </c>
      <c r="N12" s="18">
        <v>1.625</v>
      </c>
      <c r="O12" s="18">
        <v>0.5</v>
      </c>
      <c r="P12" s="18">
        <v>2</v>
      </c>
      <c r="Q12" s="18">
        <v>0.625</v>
      </c>
      <c r="R12" s="18">
        <v>9</v>
      </c>
      <c r="S12" s="581">
        <v>21</v>
      </c>
      <c r="T12" s="275"/>
    </row>
    <row r="13" spans="1:20" x14ac:dyDescent="0.2">
      <c r="A13" s="460"/>
      <c r="B13" s="430" t="s">
        <v>1</v>
      </c>
      <c r="C13" s="18">
        <v>19.75</v>
      </c>
      <c r="D13" s="18">
        <v>18.375</v>
      </c>
      <c r="E13" s="18">
        <v>2</v>
      </c>
      <c r="F13" s="18">
        <v>14</v>
      </c>
      <c r="G13" s="18">
        <v>4.5</v>
      </c>
      <c r="H13" s="18">
        <v>5.5</v>
      </c>
      <c r="I13" s="18">
        <v>5.5</v>
      </c>
      <c r="J13" s="18">
        <v>7</v>
      </c>
      <c r="K13" s="18">
        <v>8.25</v>
      </c>
      <c r="L13" s="18">
        <v>0.625</v>
      </c>
      <c r="M13" s="18">
        <v>0.1875</v>
      </c>
      <c r="N13" s="18">
        <v>1.625</v>
      </c>
      <c r="O13" s="18">
        <v>0.5</v>
      </c>
      <c r="P13" s="18">
        <v>2</v>
      </c>
      <c r="Q13" s="18">
        <v>0.625</v>
      </c>
      <c r="R13" s="18">
        <v>9</v>
      </c>
      <c r="S13" s="581">
        <v>22</v>
      </c>
      <c r="T13" s="275"/>
    </row>
    <row r="14" spans="1:20" x14ac:dyDescent="0.2">
      <c r="A14" s="460"/>
      <c r="B14" s="430" t="s">
        <v>828</v>
      </c>
      <c r="C14" s="18">
        <v>22.75</v>
      </c>
      <c r="D14" s="18">
        <v>19.25</v>
      </c>
      <c r="E14" s="18">
        <v>2.5</v>
      </c>
      <c r="F14" s="18">
        <v>14</v>
      </c>
      <c r="G14" s="18">
        <v>5.25</v>
      </c>
      <c r="H14" s="18">
        <v>6.25</v>
      </c>
      <c r="I14" s="18">
        <v>5.25</v>
      </c>
      <c r="J14" s="18">
        <v>8</v>
      </c>
      <c r="K14" s="18">
        <v>8.5</v>
      </c>
      <c r="L14" s="18">
        <v>0.75</v>
      </c>
      <c r="M14" s="18">
        <v>0.1875</v>
      </c>
      <c r="N14" s="18">
        <v>2.125</v>
      </c>
      <c r="O14" s="18">
        <v>0.625</v>
      </c>
      <c r="P14" s="18">
        <v>2.5</v>
      </c>
      <c r="Q14" s="18">
        <v>0.75</v>
      </c>
      <c r="R14" s="18">
        <v>9</v>
      </c>
      <c r="S14" s="581">
        <v>30</v>
      </c>
      <c r="T14" s="275"/>
    </row>
    <row r="15" spans="1:20" x14ac:dyDescent="0.2">
      <c r="A15" s="460"/>
      <c r="B15" s="430" t="s">
        <v>1942</v>
      </c>
      <c r="C15" s="18">
        <v>22.75</v>
      </c>
      <c r="D15" s="18">
        <v>20.75</v>
      </c>
      <c r="E15" s="18">
        <v>2.5</v>
      </c>
      <c r="F15" s="18">
        <v>15.5</v>
      </c>
      <c r="G15" s="18">
        <v>5.25</v>
      </c>
      <c r="H15" s="18">
        <v>6.25</v>
      </c>
      <c r="I15" s="18">
        <v>6</v>
      </c>
      <c r="J15" s="18">
        <v>8</v>
      </c>
      <c r="K15" s="18">
        <v>9.25</v>
      </c>
      <c r="L15" s="18">
        <v>0.75</v>
      </c>
      <c r="M15" s="18">
        <v>0.1875</v>
      </c>
      <c r="N15" s="18">
        <v>2.125</v>
      </c>
      <c r="O15" s="18">
        <v>0.625</v>
      </c>
      <c r="P15" s="18">
        <v>2.5</v>
      </c>
      <c r="Q15" s="18">
        <v>0.75</v>
      </c>
      <c r="R15" s="18">
        <v>9</v>
      </c>
      <c r="S15" s="581">
        <v>31</v>
      </c>
      <c r="T15" s="275"/>
    </row>
    <row r="16" spans="1:20" x14ac:dyDescent="0.2">
      <c r="A16" s="460"/>
      <c r="B16" s="430" t="s">
        <v>827</v>
      </c>
      <c r="C16" s="18">
        <v>25.5</v>
      </c>
      <c r="D16" s="18">
        <v>20.5</v>
      </c>
      <c r="E16" s="18">
        <v>2.5</v>
      </c>
      <c r="F16" s="18">
        <v>15.5</v>
      </c>
      <c r="G16" s="18">
        <v>6</v>
      </c>
      <c r="H16" s="18">
        <v>7</v>
      </c>
      <c r="I16" s="18">
        <v>5.625</v>
      </c>
      <c r="J16" s="18">
        <v>9</v>
      </c>
      <c r="K16" s="18">
        <v>9.125</v>
      </c>
      <c r="L16" s="18">
        <v>0.75</v>
      </c>
      <c r="M16" s="18">
        <v>0.25</v>
      </c>
      <c r="N16" s="18">
        <v>2</v>
      </c>
      <c r="O16" s="18">
        <v>0.625</v>
      </c>
      <c r="P16" s="18">
        <v>2.5</v>
      </c>
      <c r="Q16" s="18">
        <v>0.75</v>
      </c>
      <c r="R16" s="18">
        <v>11</v>
      </c>
      <c r="S16" s="581">
        <v>45</v>
      </c>
      <c r="T16" s="275"/>
    </row>
    <row r="17" spans="1:20" x14ac:dyDescent="0.2">
      <c r="A17" s="460"/>
      <c r="B17" s="430" t="s">
        <v>296</v>
      </c>
      <c r="C17" s="18">
        <v>25.5</v>
      </c>
      <c r="D17" s="18">
        <v>21.5</v>
      </c>
      <c r="E17" s="18">
        <v>2.5</v>
      </c>
      <c r="F17" s="18">
        <v>16.5</v>
      </c>
      <c r="G17" s="18">
        <v>6</v>
      </c>
      <c r="H17" s="18">
        <v>7</v>
      </c>
      <c r="I17" s="18">
        <v>6.125</v>
      </c>
      <c r="J17" s="18">
        <v>9</v>
      </c>
      <c r="K17" s="18">
        <v>9.625</v>
      </c>
      <c r="L17" s="18">
        <v>0.75</v>
      </c>
      <c r="M17" s="18">
        <v>0.25</v>
      </c>
      <c r="N17" s="18">
        <v>2</v>
      </c>
      <c r="O17" s="18">
        <v>0.625</v>
      </c>
      <c r="P17" s="18">
        <v>2.5</v>
      </c>
      <c r="Q17" s="18">
        <v>0.75</v>
      </c>
      <c r="R17" s="18">
        <v>11</v>
      </c>
      <c r="S17" s="581">
        <v>46</v>
      </c>
      <c r="T17" s="275"/>
    </row>
    <row r="18" spans="1:20" x14ac:dyDescent="0.2">
      <c r="A18" s="460"/>
      <c r="B18" s="430" t="s">
        <v>692</v>
      </c>
      <c r="C18" s="18">
        <v>28.75</v>
      </c>
      <c r="D18" s="18">
        <v>22.375</v>
      </c>
      <c r="E18" s="18">
        <v>3</v>
      </c>
      <c r="F18" s="18">
        <v>16.5</v>
      </c>
      <c r="G18" s="18">
        <v>7</v>
      </c>
      <c r="H18" s="18">
        <v>8</v>
      </c>
      <c r="I18" s="18">
        <v>6.125</v>
      </c>
      <c r="J18" s="18">
        <v>10</v>
      </c>
      <c r="K18" s="18">
        <v>9.875</v>
      </c>
      <c r="L18" s="18">
        <v>0.875</v>
      </c>
      <c r="M18" s="18">
        <v>0.25</v>
      </c>
      <c r="N18" s="18">
        <v>2.5625</v>
      </c>
      <c r="O18" s="18">
        <v>0.75</v>
      </c>
      <c r="P18" s="18">
        <v>3</v>
      </c>
      <c r="Q18" s="18">
        <v>0.75</v>
      </c>
      <c r="R18" s="18">
        <v>14</v>
      </c>
      <c r="S18" s="581">
        <v>55</v>
      </c>
      <c r="T18" s="275"/>
    </row>
    <row r="19" spans="1:20" x14ac:dyDescent="0.2">
      <c r="A19" s="460"/>
      <c r="B19" s="430" t="s">
        <v>144</v>
      </c>
      <c r="C19" s="18">
        <v>28.75</v>
      </c>
      <c r="D19" s="18">
        <v>23.875</v>
      </c>
      <c r="E19" s="18">
        <v>3</v>
      </c>
      <c r="F19" s="18">
        <v>18</v>
      </c>
      <c r="G19" s="18">
        <v>7</v>
      </c>
      <c r="H19" s="18">
        <v>8</v>
      </c>
      <c r="I19" s="18">
        <v>6.875</v>
      </c>
      <c r="J19" s="18">
        <v>10</v>
      </c>
      <c r="K19" s="18">
        <v>10.625</v>
      </c>
      <c r="L19" s="18">
        <v>0.875</v>
      </c>
      <c r="M19" s="18">
        <v>0.25</v>
      </c>
      <c r="N19" s="18">
        <v>2.5625</v>
      </c>
      <c r="O19" s="18">
        <v>0.75</v>
      </c>
      <c r="P19" s="18">
        <v>3</v>
      </c>
      <c r="Q19" s="18">
        <v>0.75</v>
      </c>
      <c r="R19" s="18">
        <v>14</v>
      </c>
      <c r="S19" s="581">
        <v>56</v>
      </c>
      <c r="T19" s="275"/>
    </row>
    <row r="20" spans="1:20" x14ac:dyDescent="0.2">
      <c r="A20" s="460"/>
      <c r="B20" s="491" t="s">
        <v>738</v>
      </c>
      <c r="C20" s="58">
        <v>31.25</v>
      </c>
      <c r="D20" s="58">
        <v>24.625</v>
      </c>
      <c r="E20" s="58">
        <v>3</v>
      </c>
      <c r="F20" s="58">
        <v>19.25</v>
      </c>
      <c r="G20" s="58">
        <v>7.5</v>
      </c>
      <c r="H20" s="58">
        <v>9</v>
      </c>
      <c r="I20" s="58">
        <v>7.25</v>
      </c>
      <c r="J20" s="58">
        <v>11</v>
      </c>
      <c r="K20" s="58">
        <v>11</v>
      </c>
      <c r="L20" s="58">
        <v>0.875</v>
      </c>
      <c r="M20" s="58">
        <v>0.3125</v>
      </c>
      <c r="N20" s="58">
        <v>2.5</v>
      </c>
      <c r="O20" s="58">
        <v>0.75</v>
      </c>
      <c r="P20" s="58">
        <v>3</v>
      </c>
      <c r="Q20" s="18">
        <v>0.75</v>
      </c>
      <c r="R20" s="58">
        <v>14</v>
      </c>
      <c r="S20" s="581">
        <v>74</v>
      </c>
      <c r="T20" s="275"/>
    </row>
    <row r="21" spans="1:20" x14ac:dyDescent="0.2">
      <c r="A21" s="460"/>
      <c r="B21" s="430" t="s">
        <v>188</v>
      </c>
      <c r="C21" s="18">
        <v>31.25</v>
      </c>
      <c r="D21" s="18">
        <v>26.625</v>
      </c>
      <c r="E21" s="18">
        <v>3</v>
      </c>
      <c r="F21" s="18">
        <v>21.25</v>
      </c>
      <c r="G21" s="18">
        <v>7.5</v>
      </c>
      <c r="H21" s="18">
        <v>9</v>
      </c>
      <c r="I21" s="18">
        <v>8.25</v>
      </c>
      <c r="J21" s="18">
        <v>11</v>
      </c>
      <c r="K21" s="18">
        <v>12</v>
      </c>
      <c r="L21" s="18">
        <v>0.875</v>
      </c>
      <c r="M21" s="18">
        <v>0.3125</v>
      </c>
      <c r="N21" s="18">
        <v>2.5</v>
      </c>
      <c r="O21" s="18">
        <v>0.75</v>
      </c>
      <c r="P21" s="18">
        <v>3</v>
      </c>
      <c r="Q21" s="18">
        <v>0.75</v>
      </c>
      <c r="R21" s="18">
        <v>14</v>
      </c>
      <c r="S21" s="581">
        <v>75</v>
      </c>
      <c r="T21" s="275"/>
    </row>
    <row r="22" spans="1:20" x14ac:dyDescent="0.2">
      <c r="A22" s="460"/>
      <c r="B22" s="430" t="s">
        <v>1314</v>
      </c>
      <c r="C22" s="18">
        <v>31.25</v>
      </c>
      <c r="D22" s="18">
        <v>30.125</v>
      </c>
      <c r="E22" s="18">
        <v>3</v>
      </c>
      <c r="F22" s="18">
        <v>24.75</v>
      </c>
      <c r="G22" s="18">
        <v>7.5</v>
      </c>
      <c r="H22" s="18">
        <v>9</v>
      </c>
      <c r="I22" s="18">
        <v>10</v>
      </c>
      <c r="J22" s="18">
        <v>11</v>
      </c>
      <c r="K22" s="18">
        <v>13.75</v>
      </c>
      <c r="L22" s="18">
        <v>0.875</v>
      </c>
      <c r="M22" s="18">
        <v>0.3125</v>
      </c>
      <c r="N22" s="18">
        <v>2.5</v>
      </c>
      <c r="O22" s="18">
        <v>0.75</v>
      </c>
      <c r="P22" s="18">
        <v>3</v>
      </c>
      <c r="Q22" s="18">
        <v>0.75</v>
      </c>
      <c r="R22" s="18">
        <v>14</v>
      </c>
      <c r="S22" s="581">
        <v>89</v>
      </c>
      <c r="T22" s="275"/>
    </row>
    <row r="23" spans="1:20" ht="13.5" thickBot="1" x14ac:dyDescent="0.25">
      <c r="A23" s="460"/>
      <c r="B23" s="472" t="s">
        <v>356</v>
      </c>
      <c r="C23" s="34">
        <v>31.25</v>
      </c>
      <c r="D23" s="34">
        <v>35.125</v>
      </c>
      <c r="E23" s="34">
        <v>3</v>
      </c>
      <c r="F23" s="34">
        <v>29.75</v>
      </c>
      <c r="G23" s="34">
        <v>7.5</v>
      </c>
      <c r="H23" s="34">
        <v>9</v>
      </c>
      <c r="I23" s="34">
        <v>12.5</v>
      </c>
      <c r="J23" s="34">
        <v>11</v>
      </c>
      <c r="K23" s="34">
        <v>16.25</v>
      </c>
      <c r="L23" s="34">
        <v>0.875</v>
      </c>
      <c r="M23" s="34">
        <v>0.3125</v>
      </c>
      <c r="N23" s="34">
        <v>2.5</v>
      </c>
      <c r="O23" s="34">
        <v>0.75</v>
      </c>
      <c r="P23" s="34">
        <v>3</v>
      </c>
      <c r="Q23" s="34">
        <v>0.75</v>
      </c>
      <c r="R23" s="34">
        <v>14</v>
      </c>
      <c r="S23" s="786">
        <v>95</v>
      </c>
      <c r="T23" s="275"/>
    </row>
    <row r="24" spans="1:20" x14ac:dyDescent="0.2">
      <c r="A24" s="460"/>
      <c r="B24" s="48"/>
      <c r="C24" s="48"/>
      <c r="D24" s="48"/>
      <c r="E24" s="48"/>
      <c r="F24" s="48"/>
      <c r="G24" s="48"/>
      <c r="H24" s="48"/>
      <c r="I24" s="48"/>
      <c r="J24" s="48"/>
      <c r="K24" s="48"/>
      <c r="L24" s="48"/>
      <c r="M24" s="48"/>
      <c r="N24" s="48"/>
      <c r="O24" s="48"/>
      <c r="P24" s="48"/>
      <c r="Q24" s="48"/>
      <c r="R24" s="48"/>
      <c r="S24" s="48"/>
      <c r="T24" s="275"/>
    </row>
    <row r="26" spans="1:20" ht="374.25" customHeight="1" x14ac:dyDescent="0.2"/>
  </sheetData>
  <pageMargins left="0.7" right="0.7" top="0.75" bottom="0.75" header="0.3" footer="0.3"/>
  <pageSetup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0"/>
  <sheetViews>
    <sheetView showGridLines="0" zoomScale="85" workbookViewId="0"/>
  </sheetViews>
  <sheetFormatPr defaultRowHeight="12.75" x14ac:dyDescent="0.2"/>
  <cols>
    <col min="1" max="1" width="3.28515625" customWidth="1"/>
    <col min="2" max="2" width="16" customWidth="1"/>
    <col min="3" max="3" width="14.5703125" customWidth="1"/>
    <col min="4" max="5" width="20.5703125" customWidth="1"/>
    <col min="6" max="8" width="18.7109375" customWidth="1"/>
    <col min="9" max="9" width="26.7109375" customWidth="1"/>
    <col min="10" max="10" width="3" customWidth="1"/>
  </cols>
  <sheetData>
    <row r="1" spans="1:10" ht="15.75" thickBot="1" x14ac:dyDescent="0.3">
      <c r="A1" s="143"/>
      <c r="B1" s="143"/>
      <c r="C1" s="143"/>
      <c r="D1" s="13"/>
      <c r="E1" s="13"/>
      <c r="F1" s="13"/>
      <c r="G1" s="13"/>
      <c r="H1" s="13"/>
      <c r="I1" s="13"/>
      <c r="J1" s="151"/>
    </row>
    <row r="2" spans="1:10" ht="43.5" customHeight="1" thickBot="1" x14ac:dyDescent="0.3">
      <c r="A2" s="143"/>
      <c r="B2" s="461" t="s">
        <v>767</v>
      </c>
      <c r="C2" s="681" t="s">
        <v>1602</v>
      </c>
      <c r="D2" s="207" t="s">
        <v>1176</v>
      </c>
      <c r="E2" s="222" t="s">
        <v>2012</v>
      </c>
      <c r="F2" s="207" t="s">
        <v>631</v>
      </c>
      <c r="G2" s="222" t="s">
        <v>2012</v>
      </c>
      <c r="H2" s="461" t="s">
        <v>768</v>
      </c>
      <c r="I2" s="737" t="s">
        <v>1461</v>
      </c>
      <c r="J2" s="151"/>
    </row>
    <row r="3" spans="1:10" ht="15.75" thickBot="1" x14ac:dyDescent="0.3">
      <c r="A3" s="143"/>
      <c r="B3" s="207" t="s">
        <v>84</v>
      </c>
      <c r="C3" s="251"/>
      <c r="D3" s="207" t="s">
        <v>765</v>
      </c>
      <c r="E3" s="222" t="s">
        <v>1460</v>
      </c>
      <c r="F3" s="207" t="s">
        <v>766</v>
      </c>
      <c r="G3" s="222" t="s">
        <v>1749</v>
      </c>
      <c r="H3" s="207" t="s">
        <v>1603</v>
      </c>
      <c r="I3" s="222" t="s">
        <v>630</v>
      </c>
      <c r="J3" s="151"/>
    </row>
    <row r="4" spans="1:10" ht="15" x14ac:dyDescent="0.25">
      <c r="A4" s="143"/>
      <c r="B4" s="285">
        <v>0.375</v>
      </c>
      <c r="C4" s="634" t="s">
        <v>496</v>
      </c>
      <c r="D4" s="285">
        <v>0.57799999999999996</v>
      </c>
      <c r="E4" s="500">
        <v>0.23499999999999999</v>
      </c>
      <c r="F4" s="285">
        <v>0.65100000000000002</v>
      </c>
      <c r="G4" s="500">
        <v>0.29699999999999999</v>
      </c>
      <c r="H4" s="445">
        <v>0.68799999999999994</v>
      </c>
      <c r="I4" s="483">
        <v>0.58599999999999997</v>
      </c>
      <c r="J4" s="151"/>
    </row>
    <row r="5" spans="1:10" ht="15" x14ac:dyDescent="0.25">
      <c r="A5" s="195"/>
      <c r="B5" s="414">
        <v>0.5</v>
      </c>
      <c r="C5" s="559" t="s">
        <v>1177</v>
      </c>
      <c r="D5" s="414">
        <v>0.64900000000000002</v>
      </c>
      <c r="E5" s="510">
        <v>0.26800000000000002</v>
      </c>
      <c r="F5" s="414">
        <v>0.79500000000000004</v>
      </c>
      <c r="G5" s="510">
        <v>0.35899999999999999</v>
      </c>
      <c r="H5" s="271">
        <v>0.81200000000000006</v>
      </c>
      <c r="I5" s="421">
        <v>0.68300000000000005</v>
      </c>
      <c r="J5" s="151"/>
    </row>
    <row r="6" spans="1:10" ht="15" x14ac:dyDescent="0.25">
      <c r="A6" s="195"/>
      <c r="B6" s="414">
        <v>0.625</v>
      </c>
      <c r="C6" s="559" t="s">
        <v>83</v>
      </c>
      <c r="D6" s="414">
        <v>0.86599999999999999</v>
      </c>
      <c r="E6" s="510">
        <v>0.36399999999999999</v>
      </c>
      <c r="F6" s="414">
        <v>1.01</v>
      </c>
      <c r="G6" s="510">
        <v>0.48399999999999999</v>
      </c>
      <c r="H6" s="271">
        <v>1.0620000000000001</v>
      </c>
      <c r="I6" s="421">
        <v>0.873</v>
      </c>
      <c r="J6" s="151"/>
    </row>
    <row r="7" spans="1:10" ht="15" x14ac:dyDescent="0.25">
      <c r="A7" s="195"/>
      <c r="B7" s="414">
        <v>0.75</v>
      </c>
      <c r="C7" s="559" t="s">
        <v>1750</v>
      </c>
      <c r="D7" s="414">
        <v>1.083</v>
      </c>
      <c r="E7" s="510">
        <v>0.44400000000000001</v>
      </c>
      <c r="F7" s="414">
        <v>1.23</v>
      </c>
      <c r="G7" s="510">
        <v>0.60899999999999999</v>
      </c>
      <c r="H7" s="271">
        <v>1.3120000000000001</v>
      </c>
      <c r="I7" s="421">
        <v>1.079</v>
      </c>
      <c r="J7" s="151"/>
    </row>
    <row r="8" spans="1:10" ht="15.75" thickBot="1" x14ac:dyDescent="0.3">
      <c r="A8" s="195"/>
      <c r="B8" s="362">
        <v>0.875</v>
      </c>
      <c r="C8" s="548" t="s">
        <v>1751</v>
      </c>
      <c r="D8" s="362">
        <v>1.2989999999999999</v>
      </c>
      <c r="E8" s="523">
        <v>0.52400000000000002</v>
      </c>
      <c r="F8" s="362">
        <v>1.44</v>
      </c>
      <c r="G8" s="523">
        <v>0.73399999999999999</v>
      </c>
      <c r="H8" s="267">
        <v>1.4690000000000001</v>
      </c>
      <c r="I8" s="273">
        <v>1.2709999999999999</v>
      </c>
      <c r="J8" s="151"/>
    </row>
    <row r="9" spans="1:10" ht="120" customHeight="1" thickBot="1" x14ac:dyDescent="0.3">
      <c r="A9" s="13"/>
      <c r="B9" s="258"/>
      <c r="C9" s="258"/>
      <c r="D9" s="288"/>
      <c r="E9" s="515"/>
      <c r="F9" s="288"/>
      <c r="G9" s="515"/>
      <c r="H9" s="288"/>
      <c r="I9" s="763"/>
      <c r="J9" s="151"/>
    </row>
    <row r="10" spans="1:10" x14ac:dyDescent="0.2">
      <c r="A10" s="151"/>
      <c r="B10" s="151"/>
      <c r="C10" s="151"/>
      <c r="D10" s="151"/>
      <c r="E10" s="151"/>
      <c r="F10" s="151"/>
      <c r="G10" s="151"/>
      <c r="H10" s="151"/>
      <c r="I10" s="151"/>
      <c r="J10" s="151"/>
    </row>
  </sheetData>
  <pageMargins left="0.7" right="0.7" top="0.75" bottom="0.75" header="0.3" footer="0.3"/>
  <pageSetup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23"/>
  <sheetViews>
    <sheetView showGridLines="0" zoomScale="85" workbookViewId="0"/>
  </sheetViews>
  <sheetFormatPr defaultColWidth="8.85546875" defaultRowHeight="12.75" x14ac:dyDescent="0.2"/>
  <cols>
    <col min="1" max="1" width="3.5703125" customWidth="1"/>
    <col min="2" max="2" width="12.5703125" bestFit="1" customWidth="1"/>
    <col min="3" max="3" width="7.5703125" bestFit="1" customWidth="1"/>
    <col min="4" max="4" width="7.42578125" bestFit="1" customWidth="1"/>
    <col min="5" max="5" width="7.140625" bestFit="1" customWidth="1"/>
    <col min="6" max="6" width="8.140625" bestFit="1" customWidth="1"/>
    <col min="7" max="8" width="7.42578125" bestFit="1" customWidth="1"/>
    <col min="9" max="9" width="10.28515625" bestFit="1" customWidth="1"/>
    <col min="10" max="12" width="7.42578125" bestFit="1" customWidth="1"/>
    <col min="13" max="13" width="7.5703125" bestFit="1" customWidth="1"/>
    <col min="14" max="15" width="8.7109375" bestFit="1" customWidth="1"/>
    <col min="16" max="16" width="8.5703125" bestFit="1" customWidth="1"/>
    <col min="17" max="17" width="8.85546875" bestFit="1" customWidth="1"/>
    <col min="18" max="18" width="8.42578125" bestFit="1" customWidth="1"/>
    <col min="19" max="19" width="8.42578125" customWidth="1"/>
    <col min="20" max="20" width="8.5703125" bestFit="1" customWidth="1"/>
    <col min="21" max="21" width="3.7109375" customWidth="1"/>
    <col min="22" max="22" width="2.7109375" customWidth="1"/>
    <col min="23" max="23" width="5.85546875" bestFit="1" customWidth="1"/>
    <col min="24" max="24" width="5.140625" bestFit="1" customWidth="1"/>
    <col min="25" max="25" width="6" customWidth="1"/>
    <col min="26" max="26" width="7.140625" customWidth="1"/>
  </cols>
  <sheetData>
    <row r="1" spans="1:24" ht="13.5" thickBot="1" x14ac:dyDescent="0.25">
      <c r="A1" s="275"/>
      <c r="B1" s="47"/>
      <c r="C1" s="47"/>
      <c r="D1" s="47"/>
      <c r="E1" s="47"/>
      <c r="F1" s="47"/>
      <c r="G1" s="47"/>
      <c r="H1" s="47"/>
      <c r="I1" s="47"/>
      <c r="J1" s="47"/>
      <c r="K1" s="47"/>
      <c r="L1" s="47"/>
      <c r="M1" s="47"/>
      <c r="N1" s="47"/>
      <c r="O1" s="47"/>
      <c r="P1" s="47"/>
      <c r="Q1" s="47"/>
      <c r="R1" s="47"/>
      <c r="S1" s="47"/>
      <c r="T1" s="47"/>
      <c r="U1" s="275"/>
    </row>
    <row r="2" spans="1:24" ht="18" customHeight="1" thickBot="1" x14ac:dyDescent="0.25">
      <c r="A2" s="275"/>
      <c r="B2" s="343" t="s">
        <v>1293</v>
      </c>
      <c r="C2" s="36" t="s">
        <v>1944</v>
      </c>
      <c r="D2" s="36" t="s">
        <v>425</v>
      </c>
      <c r="E2" s="36" t="s">
        <v>960</v>
      </c>
      <c r="F2" s="36" t="s">
        <v>297</v>
      </c>
      <c r="G2" s="36" t="s">
        <v>424</v>
      </c>
      <c r="H2" s="36" t="s">
        <v>557</v>
      </c>
      <c r="I2" s="36" t="s">
        <v>693</v>
      </c>
      <c r="J2" s="36" t="s">
        <v>1669</v>
      </c>
      <c r="K2" s="36" t="s">
        <v>4</v>
      </c>
      <c r="L2" s="36" t="s">
        <v>1103</v>
      </c>
      <c r="M2" s="36" t="s">
        <v>1815</v>
      </c>
      <c r="N2" s="36" t="s">
        <v>1102</v>
      </c>
      <c r="O2" s="36" t="s">
        <v>3</v>
      </c>
      <c r="P2" s="407" t="s">
        <v>1943</v>
      </c>
      <c r="Q2" s="407" t="s">
        <v>1523</v>
      </c>
      <c r="R2" s="407" t="s">
        <v>959</v>
      </c>
      <c r="S2" s="571" t="s">
        <v>1522</v>
      </c>
      <c r="T2" s="728" t="s">
        <v>1028</v>
      </c>
      <c r="U2" s="275"/>
      <c r="V2" s="377"/>
      <c r="W2" s="377"/>
      <c r="X2" s="377"/>
    </row>
    <row r="3" spans="1:24" x14ac:dyDescent="0.2">
      <c r="A3" s="275"/>
      <c r="B3" s="521">
        <v>56</v>
      </c>
      <c r="C3" s="56">
        <v>15.48</v>
      </c>
      <c r="D3" s="56">
        <v>3.5</v>
      </c>
      <c r="E3" s="56">
        <v>2.44</v>
      </c>
      <c r="F3" s="56">
        <v>3</v>
      </c>
      <c r="G3" s="56">
        <v>0.34399999999999997</v>
      </c>
      <c r="H3" s="56">
        <v>6.625</v>
      </c>
      <c r="I3" s="56">
        <v>1.375</v>
      </c>
      <c r="J3" s="56">
        <v>0.51600000000000001</v>
      </c>
      <c r="K3" s="56">
        <v>0.188</v>
      </c>
      <c r="L3" s="56">
        <v>0.625</v>
      </c>
      <c r="M3" s="56">
        <v>1.875</v>
      </c>
      <c r="N3" s="56">
        <v>5.72</v>
      </c>
      <c r="O3" s="56">
        <v>2.75</v>
      </c>
      <c r="P3" s="56">
        <v>4.5</v>
      </c>
      <c r="Q3" s="56">
        <v>6.5</v>
      </c>
      <c r="R3" s="643">
        <v>0.75</v>
      </c>
      <c r="S3" s="707">
        <v>0.19</v>
      </c>
      <c r="T3" s="629">
        <v>1</v>
      </c>
      <c r="U3" s="275"/>
      <c r="V3" s="377"/>
      <c r="W3" s="377"/>
      <c r="X3" s="377"/>
    </row>
    <row r="4" spans="1:24" ht="12.75" customHeight="1" x14ac:dyDescent="0.2">
      <c r="A4" s="460"/>
      <c r="B4" s="430" t="s">
        <v>1668</v>
      </c>
      <c r="C4" s="18">
        <v>15.56</v>
      </c>
      <c r="D4" s="18">
        <v>3.5</v>
      </c>
      <c r="E4" s="18">
        <v>2.75</v>
      </c>
      <c r="F4" s="18">
        <v>4</v>
      </c>
      <c r="G4" s="18">
        <v>0.34375</v>
      </c>
      <c r="H4" s="18">
        <v>6.625</v>
      </c>
      <c r="I4" s="18">
        <v>1.375</v>
      </c>
      <c r="J4" s="18">
        <v>0.76600000000000001</v>
      </c>
      <c r="K4" s="18">
        <v>0.188</v>
      </c>
      <c r="L4" s="18">
        <v>0.875</v>
      </c>
      <c r="M4" s="18">
        <v>2.25</v>
      </c>
      <c r="N4" s="18">
        <v>6.38</v>
      </c>
      <c r="O4" s="18">
        <v>2.25</v>
      </c>
      <c r="P4" s="18">
        <v>5.94</v>
      </c>
      <c r="Q4" s="18">
        <v>6.5</v>
      </c>
      <c r="R4" s="772">
        <v>0.5</v>
      </c>
      <c r="S4" s="464">
        <v>0.19</v>
      </c>
      <c r="T4" s="791">
        <v>1.5</v>
      </c>
      <c r="U4" s="275"/>
      <c r="V4" s="15"/>
    </row>
    <row r="5" spans="1:24" x14ac:dyDescent="0.2">
      <c r="A5" s="460"/>
      <c r="B5" s="430" t="s">
        <v>556</v>
      </c>
      <c r="C5" s="18">
        <v>15.56</v>
      </c>
      <c r="D5" s="18">
        <v>3.5</v>
      </c>
      <c r="E5" s="18">
        <v>2.75</v>
      </c>
      <c r="F5" s="18">
        <v>5</v>
      </c>
      <c r="G5" s="18">
        <v>0.34375</v>
      </c>
      <c r="H5" s="18">
        <v>6.625</v>
      </c>
      <c r="I5" s="18">
        <v>1.375</v>
      </c>
      <c r="J5" s="18">
        <v>0.76600000000000001</v>
      </c>
      <c r="K5" s="18">
        <v>0.188</v>
      </c>
      <c r="L5" s="18">
        <v>0.875</v>
      </c>
      <c r="M5" s="18">
        <v>2.25</v>
      </c>
      <c r="N5" s="18">
        <v>6.38</v>
      </c>
      <c r="O5" s="18">
        <v>2.25</v>
      </c>
      <c r="P5" s="18">
        <v>5.94</v>
      </c>
      <c r="Q5" s="18">
        <v>6.5</v>
      </c>
      <c r="R5" s="772">
        <v>0.5</v>
      </c>
      <c r="S5" s="464">
        <v>0.19</v>
      </c>
      <c r="T5" s="791">
        <v>2</v>
      </c>
      <c r="U5" s="275"/>
      <c r="V5" s="201"/>
    </row>
    <row r="6" spans="1:24" x14ac:dyDescent="0.2">
      <c r="A6" s="460"/>
      <c r="B6" s="430" t="s">
        <v>2</v>
      </c>
      <c r="C6" s="18">
        <v>18.05</v>
      </c>
      <c r="D6" s="18">
        <v>4.5</v>
      </c>
      <c r="E6" s="18">
        <v>3.75</v>
      </c>
      <c r="F6" s="18">
        <v>4.5</v>
      </c>
      <c r="G6" s="18">
        <v>0.41</v>
      </c>
      <c r="H6" s="18">
        <v>7.875</v>
      </c>
      <c r="I6" s="18">
        <v>1.75</v>
      </c>
      <c r="J6" s="18">
        <v>0.98399999999999999</v>
      </c>
      <c r="K6" s="18">
        <v>0.25</v>
      </c>
      <c r="L6" s="18">
        <v>1.125</v>
      </c>
      <c r="M6" s="18">
        <v>2.75</v>
      </c>
      <c r="N6" s="18">
        <v>7.18</v>
      </c>
      <c r="O6" s="18">
        <v>2.75</v>
      </c>
      <c r="P6" s="18">
        <v>6.5</v>
      </c>
      <c r="Q6" s="18">
        <v>8.6300000000000008</v>
      </c>
      <c r="R6" s="772">
        <v>0.5</v>
      </c>
      <c r="S6" s="464">
        <v>0.56000000000000005</v>
      </c>
      <c r="T6" s="791">
        <v>3</v>
      </c>
      <c r="U6" s="275"/>
      <c r="V6" s="201"/>
    </row>
    <row r="7" spans="1:24" x14ac:dyDescent="0.2">
      <c r="A7" s="460"/>
      <c r="B7" s="430" t="s">
        <v>1101</v>
      </c>
      <c r="C7" s="18">
        <v>18.05</v>
      </c>
      <c r="D7" s="18">
        <v>4.5</v>
      </c>
      <c r="E7" s="18">
        <v>3.75</v>
      </c>
      <c r="F7" s="18">
        <v>5.5</v>
      </c>
      <c r="G7" s="18">
        <v>0.41</v>
      </c>
      <c r="H7" s="18">
        <v>7.875</v>
      </c>
      <c r="I7" s="18">
        <v>1.75</v>
      </c>
      <c r="J7" s="18">
        <v>0.98399999999999999</v>
      </c>
      <c r="K7" s="18">
        <v>0.25</v>
      </c>
      <c r="L7" s="18">
        <v>1.125</v>
      </c>
      <c r="M7" s="18">
        <v>2.75</v>
      </c>
      <c r="N7" s="18">
        <v>7.18</v>
      </c>
      <c r="O7" s="18">
        <v>2.75</v>
      </c>
      <c r="P7" s="18">
        <v>6.5</v>
      </c>
      <c r="Q7" s="18">
        <v>8.6300000000000008</v>
      </c>
      <c r="R7" s="772">
        <v>0.5</v>
      </c>
      <c r="S7" s="464">
        <v>0.56000000000000005</v>
      </c>
      <c r="T7" s="791">
        <v>5</v>
      </c>
      <c r="U7" s="275"/>
      <c r="V7" s="201"/>
    </row>
    <row r="8" spans="1:24" x14ac:dyDescent="0.2">
      <c r="A8" s="460"/>
      <c r="B8" s="430" t="s">
        <v>423</v>
      </c>
      <c r="C8" s="18">
        <v>20.51</v>
      </c>
      <c r="D8" s="18">
        <v>5.25</v>
      </c>
      <c r="E8" s="18">
        <v>4.25</v>
      </c>
      <c r="F8" s="18">
        <v>5.5</v>
      </c>
      <c r="G8" s="18">
        <v>0.41</v>
      </c>
      <c r="H8" s="18">
        <v>9.5630000000000006</v>
      </c>
      <c r="I8" s="18">
        <v>2.375</v>
      </c>
      <c r="J8" s="18">
        <v>1.2030000000000001</v>
      </c>
      <c r="K8" s="18">
        <v>0.313</v>
      </c>
      <c r="L8" s="18">
        <v>1.375</v>
      </c>
      <c r="M8" s="18">
        <v>3.375</v>
      </c>
      <c r="N8" s="18">
        <v>9.2100000000000009</v>
      </c>
      <c r="O8" s="18">
        <v>3.5</v>
      </c>
      <c r="P8" s="18">
        <v>8</v>
      </c>
      <c r="Q8" s="18">
        <v>9.5</v>
      </c>
      <c r="R8" s="772">
        <v>0.5</v>
      </c>
      <c r="S8" s="464">
        <v>0.46500000000000002</v>
      </c>
      <c r="T8" s="791">
        <v>7.5</v>
      </c>
      <c r="U8" s="275"/>
      <c r="V8" s="201"/>
    </row>
    <row r="9" spans="1:24" x14ac:dyDescent="0.2">
      <c r="A9" s="460"/>
      <c r="B9" s="430" t="s">
        <v>1521</v>
      </c>
      <c r="C9" s="18">
        <v>20.51</v>
      </c>
      <c r="D9" s="18">
        <v>5.25</v>
      </c>
      <c r="E9" s="18">
        <v>4.25</v>
      </c>
      <c r="F9" s="18">
        <v>7</v>
      </c>
      <c r="G9" s="18">
        <v>0.41</v>
      </c>
      <c r="H9" s="18">
        <v>9.5630000000000006</v>
      </c>
      <c r="I9" s="18">
        <v>2.375</v>
      </c>
      <c r="J9" s="18">
        <v>1.2030000000000001</v>
      </c>
      <c r="K9" s="18">
        <v>0.313</v>
      </c>
      <c r="L9" s="18">
        <v>1.375</v>
      </c>
      <c r="M9" s="18">
        <v>3.375</v>
      </c>
      <c r="N9" s="18">
        <v>9.2100000000000009</v>
      </c>
      <c r="O9" s="18">
        <v>3.5</v>
      </c>
      <c r="P9" s="18">
        <v>8</v>
      </c>
      <c r="Q9" s="18">
        <v>9.5</v>
      </c>
      <c r="R9" s="772">
        <v>0.5</v>
      </c>
      <c r="S9" s="464">
        <v>0.46500000000000002</v>
      </c>
      <c r="T9" s="791">
        <v>10</v>
      </c>
      <c r="U9" s="275"/>
      <c r="V9" s="201"/>
    </row>
    <row r="10" spans="1:24" x14ac:dyDescent="0.2">
      <c r="A10" s="460"/>
      <c r="B10" s="430" t="s">
        <v>2059</v>
      </c>
      <c r="C10" s="18">
        <v>23.28</v>
      </c>
      <c r="D10" s="18">
        <v>6.25</v>
      </c>
      <c r="E10" s="18">
        <v>5</v>
      </c>
      <c r="F10" s="18">
        <v>8.25</v>
      </c>
      <c r="G10" s="18">
        <v>0.53100000000000003</v>
      </c>
      <c r="H10" s="18">
        <v>12.938000000000001</v>
      </c>
      <c r="I10" s="18">
        <v>2.875</v>
      </c>
      <c r="J10" s="18">
        <v>1.4059999999999999</v>
      </c>
      <c r="K10" s="18">
        <v>0.375</v>
      </c>
      <c r="L10" s="18">
        <v>1.625</v>
      </c>
      <c r="M10" s="18">
        <v>4</v>
      </c>
      <c r="N10" s="18">
        <v>10.039999999999999</v>
      </c>
      <c r="O10" s="18">
        <v>4.25</v>
      </c>
      <c r="P10" s="18">
        <v>11.5</v>
      </c>
      <c r="Q10" s="18">
        <v>11.5</v>
      </c>
      <c r="R10" s="772">
        <v>0.75</v>
      </c>
      <c r="S10" s="464">
        <v>0.38</v>
      </c>
      <c r="T10" s="791">
        <v>15</v>
      </c>
      <c r="U10" s="275"/>
      <c r="V10" s="201"/>
    </row>
    <row r="11" spans="1:24" x14ac:dyDescent="0.2">
      <c r="A11" s="460"/>
      <c r="B11" s="430" t="s">
        <v>1100</v>
      </c>
      <c r="C11" s="18">
        <v>23.28</v>
      </c>
      <c r="D11" s="18">
        <v>6.25</v>
      </c>
      <c r="E11" s="18">
        <v>5</v>
      </c>
      <c r="F11" s="18">
        <v>10</v>
      </c>
      <c r="G11" s="18">
        <v>0.53100000000000003</v>
      </c>
      <c r="H11" s="18">
        <v>12.938000000000001</v>
      </c>
      <c r="I11" s="18">
        <v>2.875</v>
      </c>
      <c r="J11" s="18">
        <v>1.4059999999999999</v>
      </c>
      <c r="K11" s="18">
        <v>0.375</v>
      </c>
      <c r="L11" s="18">
        <v>1.625</v>
      </c>
      <c r="M11" s="18">
        <v>4</v>
      </c>
      <c r="N11" s="18">
        <v>10.039999999999999</v>
      </c>
      <c r="O11" s="18">
        <v>4.25</v>
      </c>
      <c r="P11" s="18">
        <v>11.5</v>
      </c>
      <c r="Q11" s="18">
        <v>11.5</v>
      </c>
      <c r="R11" s="772">
        <v>0.75</v>
      </c>
      <c r="S11" s="464">
        <v>0.38</v>
      </c>
      <c r="T11" s="791">
        <v>20</v>
      </c>
      <c r="U11" s="275"/>
      <c r="V11" s="201"/>
    </row>
    <row r="12" spans="1:24" x14ac:dyDescent="0.2">
      <c r="A12" s="460"/>
      <c r="B12" s="430" t="s">
        <v>958</v>
      </c>
      <c r="C12" s="18">
        <v>27.76</v>
      </c>
      <c r="D12" s="18">
        <v>7</v>
      </c>
      <c r="E12" s="18">
        <v>5.5</v>
      </c>
      <c r="F12" s="18">
        <v>9.5</v>
      </c>
      <c r="G12" s="18">
        <v>0.53100000000000003</v>
      </c>
      <c r="H12" s="18">
        <v>14.625</v>
      </c>
      <c r="I12" s="18">
        <v>3.25</v>
      </c>
      <c r="J12" s="18">
        <v>1.5940000000000001</v>
      </c>
      <c r="K12" s="18">
        <v>0.5</v>
      </c>
      <c r="L12" s="18">
        <v>1.875</v>
      </c>
      <c r="M12" s="18">
        <v>4.625</v>
      </c>
      <c r="N12" s="18">
        <v>13.11</v>
      </c>
      <c r="O12" s="18">
        <v>4.75</v>
      </c>
      <c r="P12" s="18">
        <v>12.84</v>
      </c>
      <c r="Q12" s="18">
        <v>12.75</v>
      </c>
      <c r="R12" s="772">
        <v>0.92</v>
      </c>
      <c r="S12" s="464">
        <v>0.39</v>
      </c>
      <c r="T12" s="791">
        <v>25</v>
      </c>
      <c r="U12" s="275"/>
      <c r="V12" s="201"/>
    </row>
    <row r="13" spans="1:24" x14ac:dyDescent="0.2">
      <c r="A13" s="460"/>
      <c r="B13" s="430" t="s">
        <v>1</v>
      </c>
      <c r="C13" s="18">
        <v>27.76</v>
      </c>
      <c r="D13" s="18">
        <v>7</v>
      </c>
      <c r="E13" s="18">
        <v>5.5</v>
      </c>
      <c r="F13" s="18">
        <v>11</v>
      </c>
      <c r="G13" s="18">
        <v>0.53100000000000003</v>
      </c>
      <c r="H13" s="18">
        <v>14.625</v>
      </c>
      <c r="I13" s="18">
        <v>3.25</v>
      </c>
      <c r="J13" s="18">
        <v>1.5940000000000001</v>
      </c>
      <c r="K13" s="18">
        <v>0.5</v>
      </c>
      <c r="L13" s="18">
        <v>1.875</v>
      </c>
      <c r="M13" s="18">
        <v>4.625</v>
      </c>
      <c r="N13" s="18">
        <v>13.11</v>
      </c>
      <c r="O13" s="18">
        <v>4.75</v>
      </c>
      <c r="P13" s="18">
        <v>12.84</v>
      </c>
      <c r="Q13" s="18">
        <v>12.75</v>
      </c>
      <c r="R13" s="772">
        <v>0.92</v>
      </c>
      <c r="S13" s="464">
        <v>0.39</v>
      </c>
      <c r="T13" s="791">
        <v>30</v>
      </c>
      <c r="U13" s="275"/>
      <c r="V13" s="201"/>
    </row>
    <row r="14" spans="1:24" x14ac:dyDescent="0.2">
      <c r="A14" s="460"/>
      <c r="B14" s="430" t="s">
        <v>828</v>
      </c>
      <c r="C14" s="18">
        <v>30.28</v>
      </c>
      <c r="D14" s="18">
        <v>8</v>
      </c>
      <c r="E14" s="18">
        <v>6.25</v>
      </c>
      <c r="F14" s="18">
        <v>10.5</v>
      </c>
      <c r="G14" s="18">
        <v>0.65600000000000003</v>
      </c>
      <c r="H14" s="18">
        <v>16.5</v>
      </c>
      <c r="I14" s="18">
        <v>3.875</v>
      </c>
      <c r="J14" s="18">
        <v>1.8440000000000001</v>
      </c>
      <c r="K14" s="18">
        <v>0.5</v>
      </c>
      <c r="L14" s="18">
        <v>2.125</v>
      </c>
      <c r="M14" s="18">
        <v>5.25</v>
      </c>
      <c r="N14" s="18">
        <v>14.61</v>
      </c>
      <c r="O14" s="18">
        <v>5.25</v>
      </c>
      <c r="P14" s="18">
        <v>14</v>
      </c>
      <c r="Q14" s="18">
        <v>14.5</v>
      </c>
      <c r="R14" s="772">
        <v>1</v>
      </c>
      <c r="S14" s="464">
        <v>0.44</v>
      </c>
      <c r="T14" s="791">
        <v>40</v>
      </c>
      <c r="U14" s="275"/>
      <c r="V14" s="201"/>
    </row>
    <row r="15" spans="1:24" x14ac:dyDescent="0.2">
      <c r="A15" s="460"/>
      <c r="B15" s="430" t="s">
        <v>1942</v>
      </c>
      <c r="C15" s="18">
        <v>30.28</v>
      </c>
      <c r="D15" s="18">
        <v>8</v>
      </c>
      <c r="E15" s="18">
        <v>6.25</v>
      </c>
      <c r="F15" s="18">
        <v>12</v>
      </c>
      <c r="G15" s="18">
        <v>0.65600000000000003</v>
      </c>
      <c r="H15" s="18">
        <v>16.5</v>
      </c>
      <c r="I15" s="18">
        <v>3.875</v>
      </c>
      <c r="J15" s="18">
        <v>1.8440000000000001</v>
      </c>
      <c r="K15" s="18">
        <v>0.5</v>
      </c>
      <c r="L15" s="18">
        <v>2.125</v>
      </c>
      <c r="M15" s="18">
        <v>5.25</v>
      </c>
      <c r="N15" s="18">
        <v>14.61</v>
      </c>
      <c r="O15" s="18">
        <v>5.25</v>
      </c>
      <c r="P15" s="18">
        <v>14</v>
      </c>
      <c r="Q15" s="18">
        <v>14.5</v>
      </c>
      <c r="R15" s="772">
        <v>1</v>
      </c>
      <c r="S15" s="464">
        <v>0.44</v>
      </c>
      <c r="T15" s="791">
        <v>50</v>
      </c>
      <c r="U15" s="275"/>
      <c r="V15" s="201"/>
    </row>
    <row r="16" spans="1:24" x14ac:dyDescent="0.2">
      <c r="A16" s="460"/>
      <c r="B16" s="430" t="s">
        <v>827</v>
      </c>
      <c r="C16" s="18">
        <v>33.479999999999997</v>
      </c>
      <c r="D16" s="18">
        <v>9</v>
      </c>
      <c r="E16" s="18">
        <v>7</v>
      </c>
      <c r="F16" s="18">
        <v>11.25</v>
      </c>
      <c r="G16" s="18">
        <v>0.65600000000000003</v>
      </c>
      <c r="H16" s="18">
        <v>19.5</v>
      </c>
      <c r="I16" s="18">
        <v>4.25</v>
      </c>
      <c r="J16" s="18">
        <v>2.016</v>
      </c>
      <c r="K16" s="18">
        <v>0.625</v>
      </c>
      <c r="L16" s="18">
        <v>2.375</v>
      </c>
      <c r="M16" s="18">
        <v>5.875</v>
      </c>
      <c r="N16" s="18">
        <v>18.100000000000001</v>
      </c>
      <c r="O16" s="18">
        <v>5.875</v>
      </c>
      <c r="P16" s="18">
        <v>15</v>
      </c>
      <c r="Q16" s="18">
        <v>17</v>
      </c>
      <c r="R16" s="772">
        <v>1.375</v>
      </c>
      <c r="S16" s="464">
        <v>0</v>
      </c>
      <c r="T16" s="791">
        <v>60</v>
      </c>
      <c r="U16" s="275"/>
      <c r="V16" s="201"/>
    </row>
    <row r="17" spans="1:24" x14ac:dyDescent="0.2">
      <c r="A17" s="460"/>
      <c r="B17" s="430" t="s">
        <v>296</v>
      </c>
      <c r="C17" s="18">
        <v>33.479999999999997</v>
      </c>
      <c r="D17" s="18">
        <v>9</v>
      </c>
      <c r="E17" s="18">
        <v>7</v>
      </c>
      <c r="F17" s="18">
        <v>12.25</v>
      </c>
      <c r="G17" s="18">
        <v>0.65600000000000003</v>
      </c>
      <c r="H17" s="18">
        <v>19.5</v>
      </c>
      <c r="I17" s="18">
        <v>4.25</v>
      </c>
      <c r="J17" s="18">
        <v>2.016</v>
      </c>
      <c r="K17" s="18">
        <v>0.625</v>
      </c>
      <c r="L17" s="18">
        <v>2.375</v>
      </c>
      <c r="M17" s="18">
        <v>5.875</v>
      </c>
      <c r="N17" s="18">
        <v>18.100000000000001</v>
      </c>
      <c r="O17" s="18">
        <v>5.875</v>
      </c>
      <c r="P17" s="18">
        <v>15</v>
      </c>
      <c r="Q17" s="18">
        <v>17</v>
      </c>
      <c r="R17" s="772">
        <v>1.375</v>
      </c>
      <c r="S17" s="464">
        <v>0</v>
      </c>
      <c r="T17" s="791">
        <v>75</v>
      </c>
      <c r="U17" s="275"/>
      <c r="V17" s="201"/>
    </row>
    <row r="18" spans="1:24" x14ac:dyDescent="0.2">
      <c r="A18" s="460"/>
      <c r="B18" s="430" t="s">
        <v>692</v>
      </c>
      <c r="C18" s="18">
        <v>38.200000000000003</v>
      </c>
      <c r="D18" s="18">
        <v>10</v>
      </c>
      <c r="E18" s="18">
        <v>8</v>
      </c>
      <c r="F18" s="18">
        <v>12.25</v>
      </c>
      <c r="G18" s="18">
        <v>0.81299999999999994</v>
      </c>
      <c r="H18" s="18">
        <v>22.5</v>
      </c>
      <c r="I18" s="18">
        <v>5.625</v>
      </c>
      <c r="J18" s="18">
        <v>2.4529999999999998</v>
      </c>
      <c r="K18" s="18">
        <v>0.75</v>
      </c>
      <c r="L18" s="18">
        <v>2.875</v>
      </c>
      <c r="M18" s="18">
        <v>7.25</v>
      </c>
      <c r="N18" s="18">
        <v>19.350000000000001</v>
      </c>
      <c r="O18" s="18">
        <v>6.625</v>
      </c>
      <c r="P18" s="18">
        <v>16</v>
      </c>
      <c r="Q18" s="18">
        <v>19</v>
      </c>
      <c r="R18" s="772">
        <v>1.125</v>
      </c>
      <c r="S18" s="464">
        <v>0</v>
      </c>
      <c r="T18" s="791">
        <v>100</v>
      </c>
      <c r="U18" s="275"/>
      <c r="V18" s="201"/>
    </row>
    <row r="19" spans="1:24" x14ac:dyDescent="0.2">
      <c r="A19" s="460"/>
      <c r="B19" s="430" t="s">
        <v>144</v>
      </c>
      <c r="C19" s="18">
        <v>38.200000000000003</v>
      </c>
      <c r="D19" s="18">
        <v>10</v>
      </c>
      <c r="E19" s="18">
        <v>8</v>
      </c>
      <c r="F19" s="18">
        <v>13.75</v>
      </c>
      <c r="G19" s="18">
        <v>0.81299999999999994</v>
      </c>
      <c r="H19" s="18">
        <v>22.5</v>
      </c>
      <c r="I19" s="18">
        <v>5.625</v>
      </c>
      <c r="J19" s="18">
        <v>2.4529999999999998</v>
      </c>
      <c r="K19" s="18">
        <v>0.75</v>
      </c>
      <c r="L19" s="18">
        <v>2.875</v>
      </c>
      <c r="M19" s="18">
        <v>7.25</v>
      </c>
      <c r="N19" s="18">
        <v>19.350000000000001</v>
      </c>
      <c r="O19" s="18">
        <v>6.625</v>
      </c>
      <c r="P19" s="18">
        <v>16</v>
      </c>
      <c r="Q19" s="18">
        <v>19</v>
      </c>
      <c r="R19" s="772">
        <v>1.125</v>
      </c>
      <c r="S19" s="464">
        <v>0</v>
      </c>
      <c r="T19" s="791">
        <v>125</v>
      </c>
      <c r="U19" s="275"/>
      <c r="V19" s="201"/>
    </row>
    <row r="20" spans="1:24" x14ac:dyDescent="0.2">
      <c r="A20" s="460"/>
      <c r="B20" s="491" t="s">
        <v>738</v>
      </c>
      <c r="C20" s="58">
        <v>44.75</v>
      </c>
      <c r="D20" s="58">
        <v>11</v>
      </c>
      <c r="E20" s="58">
        <v>9</v>
      </c>
      <c r="F20" s="58">
        <v>14.5</v>
      </c>
      <c r="G20" s="58">
        <v>0.81299999999999994</v>
      </c>
      <c r="H20" s="58">
        <v>28.75</v>
      </c>
      <c r="I20" s="58">
        <v>6.875</v>
      </c>
      <c r="J20" s="58">
        <v>2.875</v>
      </c>
      <c r="K20" s="58">
        <v>0.875</v>
      </c>
      <c r="L20" s="58">
        <v>3.375</v>
      </c>
      <c r="M20" s="58">
        <v>8.375</v>
      </c>
      <c r="N20" s="58">
        <v>22.68</v>
      </c>
      <c r="O20" s="58">
        <v>7.5</v>
      </c>
      <c r="P20" s="58">
        <v>23.375</v>
      </c>
      <c r="Q20" s="58">
        <v>22</v>
      </c>
      <c r="R20" s="772">
        <v>3.4380000000000002</v>
      </c>
      <c r="S20" s="617">
        <v>0</v>
      </c>
      <c r="T20" s="546">
        <v>200</v>
      </c>
      <c r="U20" s="275"/>
      <c r="V20" s="201"/>
    </row>
    <row r="21" spans="1:24" ht="13.5" thickBot="1" x14ac:dyDescent="0.25">
      <c r="A21" s="460"/>
      <c r="B21" s="472" t="s">
        <v>188</v>
      </c>
      <c r="C21" s="34">
        <v>44.75</v>
      </c>
      <c r="D21" s="34">
        <v>11</v>
      </c>
      <c r="E21" s="34">
        <v>9</v>
      </c>
      <c r="F21" s="34">
        <v>16.5</v>
      </c>
      <c r="G21" s="34">
        <v>0.81299999999999994</v>
      </c>
      <c r="H21" s="34">
        <v>28.75</v>
      </c>
      <c r="I21" s="34">
        <v>6.875</v>
      </c>
      <c r="J21" s="34">
        <v>2.875</v>
      </c>
      <c r="K21" s="34">
        <v>0.875</v>
      </c>
      <c r="L21" s="34">
        <v>3.375</v>
      </c>
      <c r="M21" s="34">
        <v>8.375</v>
      </c>
      <c r="N21" s="34">
        <v>22.68</v>
      </c>
      <c r="O21" s="34">
        <v>7.5</v>
      </c>
      <c r="P21" s="34">
        <v>23.375</v>
      </c>
      <c r="Q21" s="34">
        <v>22</v>
      </c>
      <c r="R21" s="797">
        <v>3.4380000000000002</v>
      </c>
      <c r="S21" s="535">
        <v>0</v>
      </c>
      <c r="T21" s="604">
        <v>250</v>
      </c>
      <c r="U21" s="275"/>
      <c r="V21" s="201"/>
    </row>
    <row r="22" spans="1:24" x14ac:dyDescent="0.2">
      <c r="A22" s="460"/>
      <c r="B22" s="48"/>
      <c r="C22" s="48"/>
      <c r="D22" s="48"/>
      <c r="E22" s="48"/>
      <c r="F22" s="48"/>
      <c r="G22" s="48"/>
      <c r="H22" s="48"/>
      <c r="I22" s="48"/>
      <c r="J22" s="48"/>
      <c r="K22" s="48"/>
      <c r="L22" s="48"/>
      <c r="M22" s="48"/>
      <c r="N22" s="48"/>
      <c r="O22" s="48"/>
      <c r="P22" s="48"/>
      <c r="Q22" s="48"/>
      <c r="R22" s="48"/>
      <c r="S22" s="48"/>
      <c r="T22" s="48"/>
      <c r="U22" s="275"/>
      <c r="V22" s="201"/>
      <c r="X22" s="603"/>
    </row>
    <row r="23" spans="1:24" x14ac:dyDescent="0.2">
      <c r="U23" s="377"/>
      <c r="V23" s="201"/>
      <c r="W23" s="15"/>
      <c r="X23" s="15"/>
    </row>
  </sheetData>
  <pageMargins left="0.7" right="0.7" top="0.75" bottom="0.75" header="0.3" footer="0.3"/>
  <pageSetup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A1:V36"/>
  <sheetViews>
    <sheetView showGridLines="0" zoomScale="85" workbookViewId="0">
      <selection activeCell="AE26" sqref="AE26"/>
    </sheetView>
  </sheetViews>
  <sheetFormatPr defaultColWidth="8.85546875" defaultRowHeight="12.75" x14ac:dyDescent="0.2"/>
  <cols>
    <col min="1" max="1" width="3.140625" customWidth="1"/>
    <col min="2" max="2" width="8.7109375" customWidth="1"/>
    <col min="3" max="3" width="10.7109375" customWidth="1"/>
    <col min="4" max="4" width="12" customWidth="1"/>
    <col min="5" max="5" width="20.140625" bestFit="1" customWidth="1"/>
    <col min="6" max="6" width="13.42578125" bestFit="1" customWidth="1"/>
    <col min="7" max="7" width="15" bestFit="1" customWidth="1"/>
    <col min="8" max="8" width="22.28515625" customWidth="1"/>
    <col min="9" max="9" width="7.42578125" bestFit="1" customWidth="1"/>
    <col min="10" max="10" width="7.42578125" customWidth="1"/>
    <col min="11" max="11" width="10.7109375" customWidth="1"/>
    <col min="12" max="13" width="8.140625" bestFit="1" customWidth="1"/>
    <col min="14" max="14" width="11.7109375" customWidth="1"/>
    <col min="15" max="15" width="12" customWidth="1"/>
    <col min="16" max="18" width="9.7109375" customWidth="1"/>
    <col min="19" max="19" width="10.28515625" customWidth="1"/>
    <col min="20" max="21" width="9" customWidth="1"/>
    <col min="22" max="25" width="3.140625" bestFit="1" customWidth="1"/>
  </cols>
  <sheetData>
    <row r="1" spans="1:22" ht="13.5" thickBot="1" x14ac:dyDescent="0.25">
      <c r="A1" s="437"/>
      <c r="B1" s="473"/>
      <c r="C1" s="473"/>
      <c r="D1" s="437"/>
      <c r="E1" s="79"/>
      <c r="F1" s="79"/>
      <c r="G1" s="79"/>
      <c r="H1" s="79"/>
      <c r="I1" s="79"/>
      <c r="J1" s="79"/>
      <c r="K1" s="79"/>
      <c r="L1" s="79"/>
      <c r="M1" s="79"/>
      <c r="N1" s="79"/>
      <c r="O1" s="79"/>
      <c r="P1" s="79"/>
      <c r="Q1" s="79"/>
      <c r="R1" s="79"/>
      <c r="S1" s="79"/>
      <c r="T1" s="79"/>
      <c r="U1" s="79"/>
      <c r="V1" s="437"/>
    </row>
    <row r="2" spans="1:22" ht="39" thickBot="1" x14ac:dyDescent="0.25">
      <c r="A2" s="437"/>
      <c r="B2" s="473"/>
      <c r="C2" s="473"/>
      <c r="D2" s="784" t="s">
        <v>332</v>
      </c>
      <c r="E2" s="784" t="s">
        <v>466</v>
      </c>
      <c r="F2" s="784" t="s">
        <v>996</v>
      </c>
      <c r="G2" s="784" t="s">
        <v>2191</v>
      </c>
      <c r="H2" s="784" t="s">
        <v>997</v>
      </c>
      <c r="I2" s="784" t="s">
        <v>734</v>
      </c>
      <c r="J2" s="784" t="s">
        <v>1860</v>
      </c>
      <c r="K2" s="784" t="s">
        <v>187</v>
      </c>
      <c r="L2" s="784" t="s">
        <v>735</v>
      </c>
      <c r="M2" s="784" t="s">
        <v>51</v>
      </c>
      <c r="N2" s="784" t="s">
        <v>606</v>
      </c>
      <c r="O2" s="784" t="s">
        <v>468</v>
      </c>
      <c r="P2" s="784" t="s">
        <v>2019</v>
      </c>
      <c r="Q2" s="784" t="s">
        <v>736</v>
      </c>
      <c r="R2" s="784" t="s">
        <v>1287</v>
      </c>
      <c r="S2" s="784" t="s">
        <v>1342</v>
      </c>
      <c r="T2" s="784" t="s">
        <v>52</v>
      </c>
      <c r="U2" s="784" t="s">
        <v>607</v>
      </c>
      <c r="V2" s="437"/>
    </row>
    <row r="3" spans="1:22" ht="16.5" customHeight="1" thickBot="1" x14ac:dyDescent="0.25">
      <c r="A3" s="437"/>
      <c r="B3" s="473"/>
      <c r="C3" s="473"/>
      <c r="D3" s="842" t="s">
        <v>1155</v>
      </c>
      <c r="E3" s="843"/>
      <c r="F3" s="844"/>
      <c r="G3" s="844"/>
      <c r="H3" s="842" t="s">
        <v>141</v>
      </c>
      <c r="I3" s="842" t="s">
        <v>854</v>
      </c>
      <c r="J3" s="842" t="s">
        <v>1288</v>
      </c>
      <c r="K3" s="842" t="s">
        <v>1431</v>
      </c>
      <c r="L3" s="842" t="s">
        <v>998</v>
      </c>
      <c r="M3" s="842" t="s">
        <v>1723</v>
      </c>
      <c r="N3" s="842" t="s">
        <v>1148</v>
      </c>
      <c r="O3" s="842" t="s">
        <v>1289</v>
      </c>
      <c r="P3" s="842" t="s">
        <v>1471</v>
      </c>
      <c r="Q3" s="842" t="s">
        <v>999</v>
      </c>
      <c r="R3" s="842" t="s">
        <v>1560</v>
      </c>
      <c r="S3" s="842" t="s">
        <v>641</v>
      </c>
      <c r="T3" s="842" t="s">
        <v>189</v>
      </c>
      <c r="U3" s="842" t="s">
        <v>855</v>
      </c>
      <c r="V3" s="437"/>
    </row>
    <row r="4" spans="1:22" ht="12" customHeight="1" x14ac:dyDescent="0.2">
      <c r="A4" s="437"/>
      <c r="B4" s="849" t="s">
        <v>1524</v>
      </c>
      <c r="C4" s="850" t="s">
        <v>716</v>
      </c>
      <c r="D4" s="851">
        <v>1</v>
      </c>
      <c r="E4" s="852" t="s">
        <v>514</v>
      </c>
      <c r="F4" s="835" t="s">
        <v>245</v>
      </c>
      <c r="G4" s="835" t="s">
        <v>2192</v>
      </c>
      <c r="H4" s="835" t="s">
        <v>381</v>
      </c>
      <c r="I4" s="835">
        <v>9</v>
      </c>
      <c r="J4" s="835">
        <v>13</v>
      </c>
      <c r="K4" s="724">
        <f t="shared" ref="K4:K11" si="0">VLOOKUP(CONCATENATE("8","STL GALV"),Material_List_Table,MATCH(MAT_KEYT,Material_List_Column_Names,0),FALSE)</f>
        <v>0.15601000000000001</v>
      </c>
      <c r="L4" s="835">
        <v>0.25</v>
      </c>
      <c r="M4" s="835">
        <v>0.5</v>
      </c>
      <c r="N4" s="835" t="s">
        <v>1721</v>
      </c>
      <c r="O4" s="835" t="s">
        <v>1722</v>
      </c>
      <c r="P4" s="835">
        <f t="shared" ref="P4:P9" si="1">(R4-Q4)/2+Q4</f>
        <v>3</v>
      </c>
      <c r="Q4" s="835">
        <v>2.25</v>
      </c>
      <c r="R4" s="835">
        <v>3.75</v>
      </c>
      <c r="S4" s="835">
        <f t="shared" ref="S4:S9" si="2">(U4-T4)/2+T4</f>
        <v>6.5</v>
      </c>
      <c r="T4" s="835">
        <v>4.25</v>
      </c>
      <c r="U4" s="836">
        <v>8.75</v>
      </c>
      <c r="V4" s="437"/>
    </row>
    <row r="5" spans="1:22" ht="12" customHeight="1" x14ac:dyDescent="0.2">
      <c r="A5" s="437"/>
      <c r="B5" s="853" t="s">
        <v>1524</v>
      </c>
      <c r="C5" s="845" t="s">
        <v>716</v>
      </c>
      <c r="D5" s="846">
        <v>2</v>
      </c>
      <c r="E5" s="847" t="s">
        <v>1349</v>
      </c>
      <c r="F5" s="18" t="s">
        <v>2145</v>
      </c>
      <c r="G5" s="18" t="s">
        <v>2192</v>
      </c>
      <c r="H5" s="18" t="s">
        <v>1052</v>
      </c>
      <c r="I5" s="18">
        <v>9</v>
      </c>
      <c r="J5" s="18">
        <v>13</v>
      </c>
      <c r="K5" s="834">
        <f t="shared" si="0"/>
        <v>0.15601000000000001</v>
      </c>
      <c r="L5" s="18">
        <v>0.25</v>
      </c>
      <c r="M5" s="18">
        <v>0.5</v>
      </c>
      <c r="N5" s="18" t="s">
        <v>1722</v>
      </c>
      <c r="O5" s="18" t="s">
        <v>1721</v>
      </c>
      <c r="P5" s="917">
        <f t="shared" si="1"/>
        <v>4.5</v>
      </c>
      <c r="Q5" s="917">
        <v>3.75</v>
      </c>
      <c r="R5" s="917">
        <v>5.25</v>
      </c>
      <c r="S5" s="917">
        <f t="shared" si="2"/>
        <v>3.8125</v>
      </c>
      <c r="T5" s="917">
        <v>1.5625</v>
      </c>
      <c r="U5" s="918">
        <v>6.0625</v>
      </c>
      <c r="V5" s="437"/>
    </row>
    <row r="6" spans="1:22" x14ac:dyDescent="0.2">
      <c r="A6" s="473"/>
      <c r="B6" s="853" t="s">
        <v>1524</v>
      </c>
      <c r="C6" s="845" t="s">
        <v>716</v>
      </c>
      <c r="D6" s="848">
        <v>3</v>
      </c>
      <c r="E6" s="847" t="s">
        <v>1147</v>
      </c>
      <c r="F6" s="18" t="s">
        <v>1285</v>
      </c>
      <c r="G6" s="18" t="s">
        <v>140</v>
      </c>
      <c r="H6" s="18" t="s">
        <v>355</v>
      </c>
      <c r="I6" s="18">
        <v>9</v>
      </c>
      <c r="J6" s="18">
        <v>13</v>
      </c>
      <c r="K6" s="834">
        <f t="shared" si="0"/>
        <v>0.15601000000000001</v>
      </c>
      <c r="L6" s="18">
        <v>0.25</v>
      </c>
      <c r="M6" s="18">
        <v>0.75</v>
      </c>
      <c r="N6" s="18" t="s">
        <v>1721</v>
      </c>
      <c r="O6" s="18" t="s">
        <v>1722</v>
      </c>
      <c r="P6" s="18">
        <f t="shared" si="1"/>
        <v>3</v>
      </c>
      <c r="Q6" s="18">
        <v>1.125</v>
      </c>
      <c r="R6" s="18">
        <v>4.875</v>
      </c>
      <c r="S6" s="18">
        <f t="shared" si="2"/>
        <v>6.5</v>
      </c>
      <c r="T6" s="18">
        <v>3.8125</v>
      </c>
      <c r="U6" s="606">
        <v>9.1875</v>
      </c>
      <c r="V6" s="437"/>
    </row>
    <row r="7" spans="1:22" x14ac:dyDescent="0.2">
      <c r="A7" s="473"/>
      <c r="B7" s="853" t="s">
        <v>1524</v>
      </c>
      <c r="C7" s="845" t="s">
        <v>716</v>
      </c>
      <c r="D7" s="848">
        <v>4</v>
      </c>
      <c r="E7" s="847" t="s">
        <v>995</v>
      </c>
      <c r="F7" s="18" t="s">
        <v>1014</v>
      </c>
      <c r="G7" s="18" t="s">
        <v>140</v>
      </c>
      <c r="H7" s="18" t="s">
        <v>1449</v>
      </c>
      <c r="I7" s="18">
        <f t="shared" ref="I7:J7" si="3">I6</f>
        <v>9</v>
      </c>
      <c r="J7" s="18">
        <f t="shared" si="3"/>
        <v>13</v>
      </c>
      <c r="K7" s="834">
        <f t="shared" si="0"/>
        <v>0.15601000000000001</v>
      </c>
      <c r="L7" s="18">
        <f t="shared" ref="L7:M7" si="4">L6</f>
        <v>0.25</v>
      </c>
      <c r="M7" s="18">
        <f t="shared" si="4"/>
        <v>0.75</v>
      </c>
      <c r="N7" s="18" t="s">
        <v>1722</v>
      </c>
      <c r="O7" s="18" t="s">
        <v>1721</v>
      </c>
      <c r="P7" s="18">
        <f t="shared" si="1"/>
        <v>4.5</v>
      </c>
      <c r="Q7" s="18">
        <v>2.625</v>
      </c>
      <c r="R7" s="18">
        <v>6.375</v>
      </c>
      <c r="S7" s="18">
        <f t="shared" si="2"/>
        <v>3.8125</v>
      </c>
      <c r="T7" s="18">
        <v>1.125</v>
      </c>
      <c r="U7" s="606">
        <v>6.5</v>
      </c>
      <c r="V7" s="437"/>
    </row>
    <row r="8" spans="1:22" x14ac:dyDescent="0.2">
      <c r="A8" s="473"/>
      <c r="B8" s="853" t="s">
        <v>1524</v>
      </c>
      <c r="C8" s="845" t="s">
        <v>716</v>
      </c>
      <c r="D8" s="848">
        <v>5</v>
      </c>
      <c r="E8" s="847" t="s">
        <v>853</v>
      </c>
      <c r="F8" s="18" t="s">
        <v>1167</v>
      </c>
      <c r="G8" s="18" t="s">
        <v>140</v>
      </c>
      <c r="H8" s="18" t="s">
        <v>884</v>
      </c>
      <c r="I8" s="18">
        <f t="shared" ref="I8:J8" si="5">I6</f>
        <v>9</v>
      </c>
      <c r="J8" s="18">
        <f t="shared" si="5"/>
        <v>13</v>
      </c>
      <c r="K8" s="834">
        <f t="shared" si="0"/>
        <v>0.15601000000000001</v>
      </c>
      <c r="L8" s="18">
        <f t="shared" ref="L8:M8" si="6">L6</f>
        <v>0.25</v>
      </c>
      <c r="M8" s="18">
        <f t="shared" si="6"/>
        <v>0.75</v>
      </c>
      <c r="N8" s="18" t="s">
        <v>1721</v>
      </c>
      <c r="O8" s="18" t="s">
        <v>1722</v>
      </c>
      <c r="P8" s="18">
        <f t="shared" si="1"/>
        <v>3</v>
      </c>
      <c r="Q8" s="18">
        <v>1.125</v>
      </c>
      <c r="R8" s="18">
        <v>4.875</v>
      </c>
      <c r="S8" s="18">
        <f t="shared" si="2"/>
        <v>6.5</v>
      </c>
      <c r="T8" s="18">
        <v>3.125</v>
      </c>
      <c r="U8" s="606">
        <v>9.875</v>
      </c>
      <c r="V8" s="437"/>
    </row>
    <row r="9" spans="1:22" ht="12.75" customHeight="1" x14ac:dyDescent="0.2">
      <c r="A9" s="473"/>
      <c r="B9" s="853" t="s">
        <v>1524</v>
      </c>
      <c r="C9" s="845" t="s">
        <v>716</v>
      </c>
      <c r="D9" s="848">
        <v>6</v>
      </c>
      <c r="E9" s="847" t="s">
        <v>605</v>
      </c>
      <c r="F9" s="18" t="s">
        <v>752</v>
      </c>
      <c r="G9" s="18" t="s">
        <v>140</v>
      </c>
      <c r="H9" s="18" t="s">
        <v>1991</v>
      </c>
      <c r="I9" s="18">
        <f t="shared" ref="I9:J9" si="7">I6</f>
        <v>9</v>
      </c>
      <c r="J9" s="18">
        <f t="shared" si="7"/>
        <v>13</v>
      </c>
      <c r="K9" s="834">
        <f t="shared" si="0"/>
        <v>0.15601000000000001</v>
      </c>
      <c r="L9" s="18">
        <f t="shared" ref="L9:M9" si="8">L6</f>
        <v>0.25</v>
      </c>
      <c r="M9" s="18">
        <f t="shared" si="8"/>
        <v>0.75</v>
      </c>
      <c r="N9" s="18" t="s">
        <v>1722</v>
      </c>
      <c r="O9" s="18" t="s">
        <v>1721</v>
      </c>
      <c r="P9" s="18">
        <f t="shared" si="1"/>
        <v>4.5</v>
      </c>
      <c r="Q9" s="18">
        <v>2.625</v>
      </c>
      <c r="R9" s="18">
        <v>6.375</v>
      </c>
      <c r="S9" s="18">
        <f t="shared" si="2"/>
        <v>4.5</v>
      </c>
      <c r="T9" s="18">
        <v>1.125</v>
      </c>
      <c r="U9" s="606">
        <v>7.875</v>
      </c>
      <c r="V9" s="437"/>
    </row>
    <row r="10" spans="1:22" ht="12.75" customHeight="1" x14ac:dyDescent="0.2">
      <c r="A10" s="473"/>
      <c r="B10" s="853" t="s">
        <v>1524</v>
      </c>
      <c r="C10" s="845" t="s">
        <v>716</v>
      </c>
      <c r="D10" s="848">
        <v>7</v>
      </c>
      <c r="E10" s="848" t="s">
        <v>2211</v>
      </c>
      <c r="F10" s="848" t="s">
        <v>2212</v>
      </c>
      <c r="G10" s="848" t="s">
        <v>2192</v>
      </c>
      <c r="H10" s="848" t="s">
        <v>2213</v>
      </c>
      <c r="I10" s="18">
        <f>I7</f>
        <v>9</v>
      </c>
      <c r="J10" s="18">
        <v>8.92</v>
      </c>
      <c r="K10" s="834">
        <f t="shared" si="0"/>
        <v>0.15601000000000001</v>
      </c>
      <c r="L10" s="18">
        <v>0.25</v>
      </c>
      <c r="M10" s="18">
        <v>0.5</v>
      </c>
      <c r="N10" s="18" t="s">
        <v>1722</v>
      </c>
      <c r="O10" s="18" t="s">
        <v>1721</v>
      </c>
      <c r="P10" s="18">
        <v>4.5</v>
      </c>
      <c r="Q10" s="18">
        <v>3.75</v>
      </c>
      <c r="R10" s="18">
        <v>5.25</v>
      </c>
      <c r="S10" s="18">
        <v>3.8130000000000002</v>
      </c>
      <c r="T10" s="18">
        <v>1.5629999999999999</v>
      </c>
      <c r="U10" s="606">
        <v>6.0629999999999997</v>
      </c>
      <c r="V10" s="437"/>
    </row>
    <row r="11" spans="1:22" ht="12.75" customHeight="1" thickBot="1" x14ac:dyDescent="0.25">
      <c r="A11" s="473"/>
      <c r="B11" s="854" t="s">
        <v>1524</v>
      </c>
      <c r="C11" s="855" t="s">
        <v>716</v>
      </c>
      <c r="D11" s="838">
        <v>8</v>
      </c>
      <c r="E11" s="838" t="s">
        <v>2214</v>
      </c>
      <c r="F11" s="838" t="s">
        <v>2215</v>
      </c>
      <c r="G11" s="838" t="s">
        <v>140</v>
      </c>
      <c r="H11" s="838" t="s">
        <v>2216</v>
      </c>
      <c r="I11" s="34">
        <f>I8</f>
        <v>9</v>
      </c>
      <c r="J11" s="34">
        <v>8.92</v>
      </c>
      <c r="K11" s="837">
        <f t="shared" si="0"/>
        <v>0.15601000000000001</v>
      </c>
      <c r="L11" s="34">
        <v>0.25</v>
      </c>
      <c r="M11" s="34">
        <v>0.75</v>
      </c>
      <c r="N11" s="34" t="s">
        <v>1722</v>
      </c>
      <c r="O11" s="34" t="s">
        <v>1721</v>
      </c>
      <c r="P11" s="34">
        <v>4.5</v>
      </c>
      <c r="Q11" s="34">
        <v>2.625</v>
      </c>
      <c r="R11" s="34">
        <v>6.375</v>
      </c>
      <c r="S11" s="34">
        <v>3.8130000000000002</v>
      </c>
      <c r="T11" s="34">
        <v>1.125</v>
      </c>
      <c r="U11" s="580">
        <v>6.5</v>
      </c>
      <c r="V11" s="437"/>
    </row>
    <row r="12" spans="1:22" ht="12.75" customHeight="1" x14ac:dyDescent="0.2">
      <c r="A12" s="473"/>
      <c r="B12" s="856" t="s">
        <v>1524</v>
      </c>
      <c r="C12" s="857" t="s">
        <v>1841</v>
      </c>
      <c r="D12" s="858">
        <v>1</v>
      </c>
      <c r="E12" s="859" t="s">
        <v>514</v>
      </c>
      <c r="F12" s="860" t="s">
        <v>2265</v>
      </c>
      <c r="G12" s="860" t="s">
        <v>2262</v>
      </c>
      <c r="H12" s="860" t="s">
        <v>2217</v>
      </c>
      <c r="I12" s="860">
        <v>9</v>
      </c>
      <c r="J12" s="860">
        <v>13</v>
      </c>
      <c r="K12" s="861">
        <f t="shared" ref="K12:K19" si="9">VLOOKUP(CONCATENATE("8","SST304"),Material_List_Table,MATCH(MAT_KEYT,Material_List_Column_Names,0),FALSE)</f>
        <v>0.16500999999999999</v>
      </c>
      <c r="L12" s="860">
        <v>0.25</v>
      </c>
      <c r="M12" s="860">
        <v>0.5</v>
      </c>
      <c r="N12" s="860" t="s">
        <v>1721</v>
      </c>
      <c r="O12" s="860" t="s">
        <v>1722</v>
      </c>
      <c r="P12" s="860">
        <v>3</v>
      </c>
      <c r="Q12" s="860">
        <v>2.25</v>
      </c>
      <c r="R12" s="860">
        <v>3.75</v>
      </c>
      <c r="S12" s="860">
        <v>6.5</v>
      </c>
      <c r="T12" s="860">
        <v>4.25</v>
      </c>
      <c r="U12" s="862">
        <v>8.75</v>
      </c>
      <c r="V12" s="437"/>
    </row>
    <row r="13" spans="1:22" ht="12.75" customHeight="1" x14ac:dyDescent="0.2">
      <c r="A13" s="473"/>
      <c r="B13" s="863" t="s">
        <v>1524</v>
      </c>
      <c r="C13" s="864" t="s">
        <v>1841</v>
      </c>
      <c r="D13" s="865">
        <v>2</v>
      </c>
      <c r="E13" s="866" t="s">
        <v>1349</v>
      </c>
      <c r="F13" s="867" t="s">
        <v>2266</v>
      </c>
      <c r="G13" s="867" t="s">
        <v>2262</v>
      </c>
      <c r="H13" s="867" t="s">
        <v>2218</v>
      </c>
      <c r="I13" s="867">
        <v>9</v>
      </c>
      <c r="J13" s="867">
        <v>13</v>
      </c>
      <c r="K13" s="868">
        <f t="shared" si="9"/>
        <v>0.16500999999999999</v>
      </c>
      <c r="L13" s="867">
        <v>0.25</v>
      </c>
      <c r="M13" s="867">
        <v>0.5</v>
      </c>
      <c r="N13" s="867" t="s">
        <v>1722</v>
      </c>
      <c r="O13" s="867" t="s">
        <v>1721</v>
      </c>
      <c r="P13" s="867">
        <v>4.5</v>
      </c>
      <c r="Q13" s="867">
        <v>3.75</v>
      </c>
      <c r="R13" s="867">
        <v>5.25</v>
      </c>
      <c r="S13" s="867">
        <v>3.8130000000000002</v>
      </c>
      <c r="T13" s="867">
        <v>1.5629999999999999</v>
      </c>
      <c r="U13" s="869">
        <v>6.0629999999999997</v>
      </c>
      <c r="V13" s="437"/>
    </row>
    <row r="14" spans="1:22" ht="12.75" customHeight="1" x14ac:dyDescent="0.2">
      <c r="A14" s="473"/>
      <c r="B14" s="863" t="s">
        <v>1524</v>
      </c>
      <c r="C14" s="864" t="s">
        <v>1841</v>
      </c>
      <c r="D14" s="870">
        <v>3</v>
      </c>
      <c r="E14" s="866" t="s">
        <v>1147</v>
      </c>
      <c r="F14" s="867" t="s">
        <v>2267</v>
      </c>
      <c r="G14" s="867" t="s">
        <v>2263</v>
      </c>
      <c r="H14" s="867" t="s">
        <v>2219</v>
      </c>
      <c r="I14" s="867">
        <v>9</v>
      </c>
      <c r="J14" s="867">
        <v>13</v>
      </c>
      <c r="K14" s="868">
        <f t="shared" si="9"/>
        <v>0.16500999999999999</v>
      </c>
      <c r="L14" s="867">
        <v>0.25</v>
      </c>
      <c r="M14" s="867">
        <v>0.75</v>
      </c>
      <c r="N14" s="867" t="s">
        <v>1721</v>
      </c>
      <c r="O14" s="867" t="s">
        <v>1722</v>
      </c>
      <c r="P14" s="867">
        <v>3</v>
      </c>
      <c r="Q14" s="867">
        <v>1.125</v>
      </c>
      <c r="R14" s="867">
        <v>4.875</v>
      </c>
      <c r="S14" s="867">
        <v>6.5</v>
      </c>
      <c r="T14" s="867">
        <v>3.8130000000000002</v>
      </c>
      <c r="U14" s="869">
        <v>9.1880000000000006</v>
      </c>
      <c r="V14" s="437"/>
    </row>
    <row r="15" spans="1:22" ht="12.75" customHeight="1" x14ac:dyDescent="0.2">
      <c r="A15" s="473"/>
      <c r="B15" s="863" t="s">
        <v>1524</v>
      </c>
      <c r="C15" s="864" t="s">
        <v>1841</v>
      </c>
      <c r="D15" s="870">
        <v>4</v>
      </c>
      <c r="E15" s="866" t="s">
        <v>995</v>
      </c>
      <c r="F15" s="867" t="s">
        <v>2268</v>
      </c>
      <c r="G15" s="867" t="s">
        <v>2262</v>
      </c>
      <c r="H15" s="867" t="s">
        <v>2220</v>
      </c>
      <c r="I15" s="867">
        <v>9</v>
      </c>
      <c r="J15" s="867">
        <v>13</v>
      </c>
      <c r="K15" s="868">
        <f t="shared" si="9"/>
        <v>0.16500999999999999</v>
      </c>
      <c r="L15" s="867">
        <v>0.25</v>
      </c>
      <c r="M15" s="867">
        <v>0.5</v>
      </c>
      <c r="N15" s="867" t="s">
        <v>1721</v>
      </c>
      <c r="O15" s="867" t="s">
        <v>1722</v>
      </c>
      <c r="P15" s="867">
        <v>3</v>
      </c>
      <c r="Q15" s="867">
        <v>1.125</v>
      </c>
      <c r="R15" s="867">
        <v>4.875</v>
      </c>
      <c r="S15" s="867">
        <v>6.5</v>
      </c>
      <c r="T15" s="867">
        <v>3.125</v>
      </c>
      <c r="U15" s="869">
        <v>9.875</v>
      </c>
      <c r="V15" s="437"/>
    </row>
    <row r="16" spans="1:22" ht="12.75" customHeight="1" x14ac:dyDescent="0.2">
      <c r="A16" s="473"/>
      <c r="B16" s="863" t="s">
        <v>1524</v>
      </c>
      <c r="C16" s="864" t="s">
        <v>1841</v>
      </c>
      <c r="D16" s="870">
        <v>5</v>
      </c>
      <c r="E16" s="866" t="s">
        <v>853</v>
      </c>
      <c r="F16" s="867" t="s">
        <v>2269</v>
      </c>
      <c r="G16" s="867" t="s">
        <v>2262</v>
      </c>
      <c r="H16" s="867" t="s">
        <v>2221</v>
      </c>
      <c r="I16" s="867">
        <v>9</v>
      </c>
      <c r="J16" s="867">
        <v>13</v>
      </c>
      <c r="K16" s="868">
        <f t="shared" si="9"/>
        <v>0.16500999999999999</v>
      </c>
      <c r="L16" s="867">
        <v>0.25</v>
      </c>
      <c r="M16" s="867">
        <v>0.5</v>
      </c>
      <c r="N16" s="867" t="s">
        <v>1722</v>
      </c>
      <c r="O16" s="867" t="s">
        <v>1721</v>
      </c>
      <c r="P16" s="867">
        <v>4.5</v>
      </c>
      <c r="Q16" s="867">
        <v>2.625</v>
      </c>
      <c r="R16" s="867">
        <v>6.375</v>
      </c>
      <c r="S16" s="867">
        <v>3.8130000000000002</v>
      </c>
      <c r="T16" s="867">
        <v>1.125</v>
      </c>
      <c r="U16" s="869">
        <v>6.5</v>
      </c>
      <c r="V16" s="437"/>
    </row>
    <row r="17" spans="1:22" ht="12.75" customHeight="1" x14ac:dyDescent="0.2">
      <c r="A17" s="473"/>
      <c r="B17" s="863" t="s">
        <v>1524</v>
      </c>
      <c r="C17" s="864" t="s">
        <v>1841</v>
      </c>
      <c r="D17" s="870">
        <v>6</v>
      </c>
      <c r="E17" s="866" t="s">
        <v>605</v>
      </c>
      <c r="F17" s="867" t="s">
        <v>2270</v>
      </c>
      <c r="G17" s="867" t="s">
        <v>2263</v>
      </c>
      <c r="H17" s="867" t="s">
        <v>2222</v>
      </c>
      <c r="I17" s="867">
        <v>9</v>
      </c>
      <c r="J17" s="867">
        <v>13</v>
      </c>
      <c r="K17" s="868">
        <f t="shared" si="9"/>
        <v>0.16500999999999999</v>
      </c>
      <c r="L17" s="867">
        <v>0.25</v>
      </c>
      <c r="M17" s="867">
        <v>0.75</v>
      </c>
      <c r="N17" s="867" t="s">
        <v>1722</v>
      </c>
      <c r="O17" s="867" t="s">
        <v>1721</v>
      </c>
      <c r="P17" s="867">
        <v>4.5</v>
      </c>
      <c r="Q17" s="867">
        <v>2.625</v>
      </c>
      <c r="R17" s="867">
        <v>6.375</v>
      </c>
      <c r="S17" s="867">
        <v>4.5</v>
      </c>
      <c r="T17" s="867">
        <v>1.125</v>
      </c>
      <c r="U17" s="869">
        <v>7.875</v>
      </c>
      <c r="V17" s="437"/>
    </row>
    <row r="18" spans="1:22" ht="12.75" customHeight="1" x14ac:dyDescent="0.2">
      <c r="A18" s="473"/>
      <c r="B18" s="863" t="s">
        <v>1524</v>
      </c>
      <c r="C18" s="864" t="s">
        <v>1841</v>
      </c>
      <c r="D18" s="870">
        <v>7</v>
      </c>
      <c r="E18" s="870" t="s">
        <v>2211</v>
      </c>
      <c r="F18" s="870" t="s">
        <v>2271</v>
      </c>
      <c r="G18" s="870" t="s">
        <v>2262</v>
      </c>
      <c r="H18" s="870" t="s">
        <v>2223</v>
      </c>
      <c r="I18" s="867">
        <v>9</v>
      </c>
      <c r="J18" s="867">
        <v>8.92</v>
      </c>
      <c r="K18" s="868">
        <f t="shared" si="9"/>
        <v>0.16500999999999999</v>
      </c>
      <c r="L18" s="867">
        <v>0.25</v>
      </c>
      <c r="M18" s="867">
        <v>0.5</v>
      </c>
      <c r="N18" s="867" t="s">
        <v>1722</v>
      </c>
      <c r="O18" s="867" t="s">
        <v>1721</v>
      </c>
      <c r="P18" s="867">
        <v>4.5</v>
      </c>
      <c r="Q18" s="867">
        <v>3.75</v>
      </c>
      <c r="R18" s="867">
        <v>5.25</v>
      </c>
      <c r="S18" s="867">
        <v>3.8130000000000002</v>
      </c>
      <c r="T18" s="867">
        <v>1.5629999999999999</v>
      </c>
      <c r="U18" s="869">
        <v>6.0629999999999997</v>
      </c>
      <c r="V18" s="437"/>
    </row>
    <row r="19" spans="1:22" ht="12.75" customHeight="1" thickBot="1" x14ac:dyDescent="0.25">
      <c r="A19" s="473"/>
      <c r="B19" s="871" t="s">
        <v>1524</v>
      </c>
      <c r="C19" s="872" t="s">
        <v>1841</v>
      </c>
      <c r="D19" s="873">
        <v>8</v>
      </c>
      <c r="E19" s="873" t="s">
        <v>2214</v>
      </c>
      <c r="F19" s="873" t="s">
        <v>2272</v>
      </c>
      <c r="G19" s="873" t="s">
        <v>2263</v>
      </c>
      <c r="H19" s="873" t="s">
        <v>2224</v>
      </c>
      <c r="I19" s="874">
        <v>9</v>
      </c>
      <c r="J19" s="874">
        <v>8.92</v>
      </c>
      <c r="K19" s="875">
        <f t="shared" si="9"/>
        <v>0.16500999999999999</v>
      </c>
      <c r="L19" s="874">
        <v>0.25</v>
      </c>
      <c r="M19" s="874">
        <v>0.75</v>
      </c>
      <c r="N19" s="874" t="s">
        <v>1722</v>
      </c>
      <c r="O19" s="874" t="s">
        <v>1721</v>
      </c>
      <c r="P19" s="874">
        <v>4.5</v>
      </c>
      <c r="Q19" s="874">
        <v>2.625</v>
      </c>
      <c r="R19" s="874">
        <v>6.375</v>
      </c>
      <c r="S19" s="874">
        <v>3.8130000000000002</v>
      </c>
      <c r="T19" s="874">
        <v>1.125</v>
      </c>
      <c r="U19" s="876">
        <v>6.5</v>
      </c>
      <c r="V19" s="437"/>
    </row>
    <row r="20" spans="1:22" ht="12.75" customHeight="1" x14ac:dyDescent="0.2">
      <c r="A20" s="473"/>
      <c r="B20" s="849" t="s">
        <v>2264</v>
      </c>
      <c r="C20" s="850" t="s">
        <v>716</v>
      </c>
      <c r="D20" s="851">
        <v>1</v>
      </c>
      <c r="E20" s="852" t="s">
        <v>514</v>
      </c>
      <c r="F20" s="835" t="s">
        <v>2225</v>
      </c>
      <c r="G20" s="835" t="s">
        <v>2192</v>
      </c>
      <c r="H20" s="835" t="s">
        <v>2226</v>
      </c>
      <c r="I20" s="835">
        <v>9</v>
      </c>
      <c r="J20" s="835">
        <v>13</v>
      </c>
      <c r="K20" s="724">
        <f t="shared" ref="K20:K27" si="10">VLOOKUP(CONCATENATE("3","STL GALV"),Material_List_Table,MATCH(MAT_KEYT,Material_List_Column_Names,0),FALSE)</f>
        <v>0.25001000000000001</v>
      </c>
      <c r="L20" s="835">
        <v>0.437</v>
      </c>
      <c r="M20" s="835">
        <v>0.5</v>
      </c>
      <c r="N20" s="835" t="s">
        <v>1721</v>
      </c>
      <c r="O20" s="835" t="s">
        <v>1722</v>
      </c>
      <c r="P20" s="835">
        <f t="shared" ref="P20:P35" si="11">(R20-Q20)/2+Q20</f>
        <v>3</v>
      </c>
      <c r="Q20" s="835">
        <v>2.25</v>
      </c>
      <c r="R20" s="835">
        <v>3.75</v>
      </c>
      <c r="S20" s="835">
        <f t="shared" ref="S20:S35" si="12">(U20-T20)/2+T20</f>
        <v>6.5</v>
      </c>
      <c r="T20" s="835">
        <v>4.25</v>
      </c>
      <c r="U20" s="836">
        <v>8.75</v>
      </c>
      <c r="V20" s="437"/>
    </row>
    <row r="21" spans="1:22" ht="12.75" customHeight="1" x14ac:dyDescent="0.2">
      <c r="A21" s="473"/>
      <c r="B21" s="853" t="s">
        <v>2264</v>
      </c>
      <c r="C21" s="845" t="s">
        <v>716</v>
      </c>
      <c r="D21" s="846">
        <v>2</v>
      </c>
      <c r="E21" s="847" t="s">
        <v>1349</v>
      </c>
      <c r="F21" s="18" t="s">
        <v>2227</v>
      </c>
      <c r="G21" s="18" t="s">
        <v>2192</v>
      </c>
      <c r="H21" s="18" t="s">
        <v>2228</v>
      </c>
      <c r="I21" s="18">
        <v>9</v>
      </c>
      <c r="J21" s="18">
        <v>13</v>
      </c>
      <c r="K21" s="834">
        <f t="shared" si="10"/>
        <v>0.25001000000000001</v>
      </c>
      <c r="L21" s="18">
        <v>0.437</v>
      </c>
      <c r="M21" s="18">
        <v>0.5</v>
      </c>
      <c r="N21" s="18" t="s">
        <v>1722</v>
      </c>
      <c r="O21" s="18" t="s">
        <v>1721</v>
      </c>
      <c r="P21" s="18">
        <f t="shared" si="11"/>
        <v>4.5</v>
      </c>
      <c r="Q21" s="18">
        <v>3.75</v>
      </c>
      <c r="R21" s="18">
        <v>5.25</v>
      </c>
      <c r="S21" s="18">
        <f t="shared" si="12"/>
        <v>3.8125</v>
      </c>
      <c r="T21" s="18">
        <v>1.5625</v>
      </c>
      <c r="U21" s="606">
        <v>6.0625</v>
      </c>
      <c r="V21" s="437"/>
    </row>
    <row r="22" spans="1:22" ht="12.75" customHeight="1" x14ac:dyDescent="0.2">
      <c r="A22" s="473"/>
      <c r="B22" s="853" t="s">
        <v>2264</v>
      </c>
      <c r="C22" s="845" t="s">
        <v>716</v>
      </c>
      <c r="D22" s="848">
        <v>3</v>
      </c>
      <c r="E22" s="847" t="s">
        <v>1147</v>
      </c>
      <c r="F22" s="18" t="s">
        <v>2229</v>
      </c>
      <c r="G22" s="18" t="s">
        <v>140</v>
      </c>
      <c r="H22" s="18" t="s">
        <v>2230</v>
      </c>
      <c r="I22" s="18">
        <v>9</v>
      </c>
      <c r="J22" s="18">
        <v>13</v>
      </c>
      <c r="K22" s="834">
        <f t="shared" si="10"/>
        <v>0.25001000000000001</v>
      </c>
      <c r="L22" s="18">
        <v>0.437</v>
      </c>
      <c r="M22" s="18">
        <v>0.75</v>
      </c>
      <c r="N22" s="18" t="s">
        <v>1721</v>
      </c>
      <c r="O22" s="18" t="s">
        <v>1722</v>
      </c>
      <c r="P22" s="18">
        <f t="shared" si="11"/>
        <v>3</v>
      </c>
      <c r="Q22" s="18">
        <v>1.125</v>
      </c>
      <c r="R22" s="18">
        <v>4.875</v>
      </c>
      <c r="S22" s="18">
        <f t="shared" si="12"/>
        <v>6.5</v>
      </c>
      <c r="T22" s="18">
        <v>3.8125</v>
      </c>
      <c r="U22" s="606">
        <v>9.1875</v>
      </c>
      <c r="V22" s="437"/>
    </row>
    <row r="23" spans="1:22" ht="12.75" customHeight="1" x14ac:dyDescent="0.2">
      <c r="A23" s="473"/>
      <c r="B23" s="853" t="s">
        <v>2264</v>
      </c>
      <c r="C23" s="845" t="s">
        <v>716</v>
      </c>
      <c r="D23" s="848">
        <v>4</v>
      </c>
      <c r="E23" s="847" t="s">
        <v>995</v>
      </c>
      <c r="F23" s="18" t="s">
        <v>2231</v>
      </c>
      <c r="G23" s="18" t="s">
        <v>140</v>
      </c>
      <c r="H23" s="18" t="s">
        <v>2232</v>
      </c>
      <c r="I23" s="18">
        <f>I22</f>
        <v>9</v>
      </c>
      <c r="J23" s="18">
        <f>J22</f>
        <v>13</v>
      </c>
      <c r="K23" s="834">
        <f t="shared" si="10"/>
        <v>0.25001000000000001</v>
      </c>
      <c r="L23" s="18">
        <v>0.437</v>
      </c>
      <c r="M23" s="18">
        <f>M22</f>
        <v>0.75</v>
      </c>
      <c r="N23" s="18" t="s">
        <v>1722</v>
      </c>
      <c r="O23" s="18" t="s">
        <v>1721</v>
      </c>
      <c r="P23" s="18">
        <f t="shared" si="11"/>
        <v>4.5</v>
      </c>
      <c r="Q23" s="18">
        <v>2.625</v>
      </c>
      <c r="R23" s="18">
        <v>6.375</v>
      </c>
      <c r="S23" s="18">
        <f t="shared" si="12"/>
        <v>3.8125</v>
      </c>
      <c r="T23" s="18">
        <v>1.125</v>
      </c>
      <c r="U23" s="606">
        <v>6.5</v>
      </c>
      <c r="V23" s="437"/>
    </row>
    <row r="24" spans="1:22" ht="12.75" customHeight="1" x14ac:dyDescent="0.2">
      <c r="A24" s="473"/>
      <c r="B24" s="853" t="s">
        <v>2264</v>
      </c>
      <c r="C24" s="845" t="s">
        <v>716</v>
      </c>
      <c r="D24" s="848">
        <v>5</v>
      </c>
      <c r="E24" s="847" t="s">
        <v>853</v>
      </c>
      <c r="F24" s="18" t="s">
        <v>2233</v>
      </c>
      <c r="G24" s="18" t="s">
        <v>140</v>
      </c>
      <c r="H24" s="18" t="s">
        <v>2234</v>
      </c>
      <c r="I24" s="18">
        <f>I22</f>
        <v>9</v>
      </c>
      <c r="J24" s="18">
        <f>J22</f>
        <v>13</v>
      </c>
      <c r="K24" s="834">
        <f t="shared" si="10"/>
        <v>0.25001000000000001</v>
      </c>
      <c r="L24" s="18">
        <v>0.437</v>
      </c>
      <c r="M24" s="18">
        <f>M22</f>
        <v>0.75</v>
      </c>
      <c r="N24" s="18" t="s">
        <v>1721</v>
      </c>
      <c r="O24" s="18" t="s">
        <v>1722</v>
      </c>
      <c r="P24" s="18">
        <f t="shared" si="11"/>
        <v>3</v>
      </c>
      <c r="Q24" s="18">
        <v>1.125</v>
      </c>
      <c r="R24" s="18">
        <v>4.875</v>
      </c>
      <c r="S24" s="18">
        <f t="shared" si="12"/>
        <v>6.5</v>
      </c>
      <c r="T24" s="18">
        <v>3.125</v>
      </c>
      <c r="U24" s="606">
        <v>9.875</v>
      </c>
      <c r="V24" s="437"/>
    </row>
    <row r="25" spans="1:22" ht="12.75" customHeight="1" x14ac:dyDescent="0.2">
      <c r="A25" s="473"/>
      <c r="B25" s="853" t="s">
        <v>2264</v>
      </c>
      <c r="C25" s="845" t="s">
        <v>716</v>
      </c>
      <c r="D25" s="848">
        <v>6</v>
      </c>
      <c r="E25" s="847" t="s">
        <v>605</v>
      </c>
      <c r="F25" s="18" t="s">
        <v>2235</v>
      </c>
      <c r="G25" s="18" t="s">
        <v>140</v>
      </c>
      <c r="H25" s="18" t="s">
        <v>2236</v>
      </c>
      <c r="I25" s="18">
        <f>I22</f>
        <v>9</v>
      </c>
      <c r="J25" s="18">
        <f>J22</f>
        <v>13</v>
      </c>
      <c r="K25" s="834">
        <f t="shared" si="10"/>
        <v>0.25001000000000001</v>
      </c>
      <c r="L25" s="18">
        <v>0.437</v>
      </c>
      <c r="M25" s="18">
        <v>0.75</v>
      </c>
      <c r="N25" s="18" t="s">
        <v>1722</v>
      </c>
      <c r="O25" s="18" t="s">
        <v>1721</v>
      </c>
      <c r="P25" s="18">
        <f t="shared" si="11"/>
        <v>4.5</v>
      </c>
      <c r="Q25" s="18">
        <v>2.625</v>
      </c>
      <c r="R25" s="18">
        <v>6.375</v>
      </c>
      <c r="S25" s="18">
        <f t="shared" si="12"/>
        <v>4.5</v>
      </c>
      <c r="T25" s="18">
        <v>1.125</v>
      </c>
      <c r="U25" s="606">
        <v>7.875</v>
      </c>
      <c r="V25" s="437"/>
    </row>
    <row r="26" spans="1:22" ht="12.75" customHeight="1" x14ac:dyDescent="0.2">
      <c r="A26" s="473"/>
      <c r="B26" s="853" t="s">
        <v>2264</v>
      </c>
      <c r="C26" s="845" t="s">
        <v>716</v>
      </c>
      <c r="D26" s="848">
        <v>7</v>
      </c>
      <c r="E26" s="848" t="s">
        <v>2211</v>
      </c>
      <c r="F26" s="848" t="s">
        <v>2237</v>
      </c>
      <c r="G26" s="848" t="s">
        <v>2192</v>
      </c>
      <c r="H26" s="848" t="s">
        <v>2238</v>
      </c>
      <c r="I26" s="18">
        <f>I23</f>
        <v>9</v>
      </c>
      <c r="J26" s="18">
        <v>8.92</v>
      </c>
      <c r="K26" s="834">
        <f t="shared" si="10"/>
        <v>0.25001000000000001</v>
      </c>
      <c r="L26" s="18">
        <v>0.437</v>
      </c>
      <c r="M26" s="18">
        <v>0.5</v>
      </c>
      <c r="N26" s="18" t="s">
        <v>1722</v>
      </c>
      <c r="O26" s="18" t="s">
        <v>1721</v>
      </c>
      <c r="P26" s="18">
        <f t="shared" si="11"/>
        <v>4.5</v>
      </c>
      <c r="Q26" s="18">
        <v>3.75</v>
      </c>
      <c r="R26" s="18">
        <v>5.25</v>
      </c>
      <c r="S26" s="18">
        <f t="shared" si="12"/>
        <v>3.8125</v>
      </c>
      <c r="T26" s="18">
        <v>1.5625</v>
      </c>
      <c r="U26" s="606">
        <v>6.0625</v>
      </c>
      <c r="V26" s="437"/>
    </row>
    <row r="27" spans="1:22" ht="12.75" customHeight="1" thickBot="1" x14ac:dyDescent="0.25">
      <c r="A27" s="473"/>
      <c r="B27" s="854" t="s">
        <v>2264</v>
      </c>
      <c r="C27" s="855" t="s">
        <v>716</v>
      </c>
      <c r="D27" s="838">
        <v>8</v>
      </c>
      <c r="E27" s="838" t="s">
        <v>2214</v>
      </c>
      <c r="F27" s="838" t="s">
        <v>2239</v>
      </c>
      <c r="G27" s="838" t="s">
        <v>140</v>
      </c>
      <c r="H27" s="838" t="s">
        <v>2240</v>
      </c>
      <c r="I27" s="34">
        <f>I24</f>
        <v>9</v>
      </c>
      <c r="J27" s="34">
        <v>8.92</v>
      </c>
      <c r="K27" s="837">
        <f t="shared" si="10"/>
        <v>0.25001000000000001</v>
      </c>
      <c r="L27" s="34">
        <v>0.437</v>
      </c>
      <c r="M27" s="34">
        <v>0.75</v>
      </c>
      <c r="N27" s="34" t="s">
        <v>1722</v>
      </c>
      <c r="O27" s="34" t="s">
        <v>1721</v>
      </c>
      <c r="P27" s="34">
        <f t="shared" si="11"/>
        <v>4.5</v>
      </c>
      <c r="Q27" s="34">
        <v>2.625</v>
      </c>
      <c r="R27" s="34">
        <v>6.375</v>
      </c>
      <c r="S27" s="34">
        <f t="shared" si="12"/>
        <v>3.8125</v>
      </c>
      <c r="T27" s="34">
        <v>1.125</v>
      </c>
      <c r="U27" s="580">
        <v>6.5</v>
      </c>
      <c r="V27" s="437"/>
    </row>
    <row r="28" spans="1:22" ht="12.75" customHeight="1" x14ac:dyDescent="0.2">
      <c r="A28" s="473"/>
      <c r="B28" s="856" t="s">
        <v>2264</v>
      </c>
      <c r="C28" s="857" t="s">
        <v>1841</v>
      </c>
      <c r="D28" s="858">
        <v>1</v>
      </c>
      <c r="E28" s="859" t="s">
        <v>514</v>
      </c>
      <c r="F28" s="860" t="s">
        <v>2241</v>
      </c>
      <c r="G28" s="860" t="s">
        <v>2262</v>
      </c>
      <c r="H28" s="860" t="s">
        <v>2242</v>
      </c>
      <c r="I28" s="860">
        <v>9</v>
      </c>
      <c r="J28" s="860">
        <v>13</v>
      </c>
      <c r="K28" s="861">
        <f t="shared" ref="K28:K35" si="13">VLOOKUP(CONCATENATE("3","SST304"),Material_List_Table,MATCH(MAT_KEYT,Material_List_Column_Names,0),FALSE)</f>
        <v>0.25002000000000002</v>
      </c>
      <c r="L28" s="860">
        <v>0.437</v>
      </c>
      <c r="M28" s="860">
        <v>0.5</v>
      </c>
      <c r="N28" s="860" t="s">
        <v>1721</v>
      </c>
      <c r="O28" s="860" t="s">
        <v>1722</v>
      </c>
      <c r="P28" s="860">
        <f t="shared" si="11"/>
        <v>3</v>
      </c>
      <c r="Q28" s="860">
        <v>2.25</v>
      </c>
      <c r="R28" s="860">
        <v>3.75</v>
      </c>
      <c r="S28" s="860">
        <f t="shared" si="12"/>
        <v>6.5</v>
      </c>
      <c r="T28" s="860">
        <v>4.25</v>
      </c>
      <c r="U28" s="862">
        <v>8.75</v>
      </c>
      <c r="V28" s="437"/>
    </row>
    <row r="29" spans="1:22" ht="12.75" customHeight="1" x14ac:dyDescent="0.2">
      <c r="A29" s="473"/>
      <c r="B29" s="863" t="s">
        <v>2264</v>
      </c>
      <c r="C29" s="864" t="s">
        <v>1841</v>
      </c>
      <c r="D29" s="865">
        <v>2</v>
      </c>
      <c r="E29" s="866" t="s">
        <v>1349</v>
      </c>
      <c r="F29" s="867" t="s">
        <v>2243</v>
      </c>
      <c r="G29" s="867" t="s">
        <v>2262</v>
      </c>
      <c r="H29" s="867" t="s">
        <v>2244</v>
      </c>
      <c r="I29" s="867">
        <v>9</v>
      </c>
      <c r="J29" s="867">
        <v>13</v>
      </c>
      <c r="K29" s="868">
        <f t="shared" si="13"/>
        <v>0.25002000000000002</v>
      </c>
      <c r="L29" s="867">
        <v>0.437</v>
      </c>
      <c r="M29" s="867">
        <v>0.5</v>
      </c>
      <c r="N29" s="867" t="s">
        <v>1722</v>
      </c>
      <c r="O29" s="867" t="s">
        <v>1721</v>
      </c>
      <c r="P29" s="867">
        <f t="shared" si="11"/>
        <v>4.5</v>
      </c>
      <c r="Q29" s="867">
        <v>3.75</v>
      </c>
      <c r="R29" s="867">
        <v>5.25</v>
      </c>
      <c r="S29" s="867">
        <f t="shared" si="12"/>
        <v>3.8125</v>
      </c>
      <c r="T29" s="867">
        <v>1.5625</v>
      </c>
      <c r="U29" s="869">
        <v>6.0625</v>
      </c>
      <c r="V29" s="437"/>
    </row>
    <row r="30" spans="1:22" ht="12.75" customHeight="1" x14ac:dyDescent="0.2">
      <c r="A30" s="473"/>
      <c r="B30" s="863" t="s">
        <v>2264</v>
      </c>
      <c r="C30" s="864" t="s">
        <v>1841</v>
      </c>
      <c r="D30" s="870">
        <v>3</v>
      </c>
      <c r="E30" s="866" t="s">
        <v>1147</v>
      </c>
      <c r="F30" s="867" t="s">
        <v>2245</v>
      </c>
      <c r="G30" s="867" t="s">
        <v>2263</v>
      </c>
      <c r="H30" s="867" t="s">
        <v>2246</v>
      </c>
      <c r="I30" s="867">
        <v>9</v>
      </c>
      <c r="J30" s="867">
        <v>13</v>
      </c>
      <c r="K30" s="868">
        <f t="shared" si="13"/>
        <v>0.25002000000000002</v>
      </c>
      <c r="L30" s="867">
        <v>0.437</v>
      </c>
      <c r="M30" s="867">
        <v>0.75</v>
      </c>
      <c r="N30" s="867" t="s">
        <v>1721</v>
      </c>
      <c r="O30" s="867" t="s">
        <v>1722</v>
      </c>
      <c r="P30" s="867">
        <f t="shared" si="11"/>
        <v>3</v>
      </c>
      <c r="Q30" s="867">
        <v>1.125</v>
      </c>
      <c r="R30" s="867">
        <v>4.875</v>
      </c>
      <c r="S30" s="867">
        <f t="shared" si="12"/>
        <v>6.5</v>
      </c>
      <c r="T30" s="867">
        <v>3.8125</v>
      </c>
      <c r="U30" s="869">
        <v>9.1875</v>
      </c>
      <c r="V30" s="437"/>
    </row>
    <row r="31" spans="1:22" ht="12.75" customHeight="1" x14ac:dyDescent="0.2">
      <c r="A31" s="473"/>
      <c r="B31" s="863" t="s">
        <v>2264</v>
      </c>
      <c r="C31" s="864" t="s">
        <v>1841</v>
      </c>
      <c r="D31" s="870">
        <v>4</v>
      </c>
      <c r="E31" s="866" t="s">
        <v>995</v>
      </c>
      <c r="F31" s="867" t="s">
        <v>2247</v>
      </c>
      <c r="G31" s="867" t="s">
        <v>2263</v>
      </c>
      <c r="H31" s="867" t="s">
        <v>2248</v>
      </c>
      <c r="I31" s="867">
        <f>I30</f>
        <v>9</v>
      </c>
      <c r="J31" s="867">
        <f>J30</f>
        <v>13</v>
      </c>
      <c r="K31" s="868">
        <f t="shared" si="13"/>
        <v>0.25002000000000002</v>
      </c>
      <c r="L31" s="867">
        <v>0.437</v>
      </c>
      <c r="M31" s="867">
        <f>M30</f>
        <v>0.75</v>
      </c>
      <c r="N31" s="867" t="s">
        <v>1722</v>
      </c>
      <c r="O31" s="867" t="s">
        <v>1721</v>
      </c>
      <c r="P31" s="867">
        <f t="shared" si="11"/>
        <v>4.5</v>
      </c>
      <c r="Q31" s="867">
        <v>2.625</v>
      </c>
      <c r="R31" s="867">
        <v>6.375</v>
      </c>
      <c r="S31" s="867">
        <f t="shared" si="12"/>
        <v>3.8125</v>
      </c>
      <c r="T31" s="867">
        <v>1.125</v>
      </c>
      <c r="U31" s="869">
        <v>6.5</v>
      </c>
      <c r="V31" s="437"/>
    </row>
    <row r="32" spans="1:22" ht="12.75" customHeight="1" x14ac:dyDescent="0.2">
      <c r="A32" s="473"/>
      <c r="B32" s="863" t="s">
        <v>2264</v>
      </c>
      <c r="C32" s="864" t="s">
        <v>1841</v>
      </c>
      <c r="D32" s="870">
        <v>5</v>
      </c>
      <c r="E32" s="866" t="s">
        <v>853</v>
      </c>
      <c r="F32" s="867" t="s">
        <v>2249</v>
      </c>
      <c r="G32" s="867" t="s">
        <v>2263</v>
      </c>
      <c r="H32" s="867" t="s">
        <v>2250</v>
      </c>
      <c r="I32" s="867">
        <f>I30</f>
        <v>9</v>
      </c>
      <c r="J32" s="867">
        <f>J30</f>
        <v>13</v>
      </c>
      <c r="K32" s="868">
        <f t="shared" si="13"/>
        <v>0.25002000000000002</v>
      </c>
      <c r="L32" s="867">
        <v>0.437</v>
      </c>
      <c r="M32" s="867">
        <f>M30</f>
        <v>0.75</v>
      </c>
      <c r="N32" s="867" t="s">
        <v>1721</v>
      </c>
      <c r="O32" s="867" t="s">
        <v>1722</v>
      </c>
      <c r="P32" s="867">
        <f t="shared" si="11"/>
        <v>3</v>
      </c>
      <c r="Q32" s="867">
        <v>1.125</v>
      </c>
      <c r="R32" s="867">
        <v>4.875</v>
      </c>
      <c r="S32" s="867">
        <f t="shared" si="12"/>
        <v>6.5</v>
      </c>
      <c r="T32" s="867">
        <v>3.125</v>
      </c>
      <c r="U32" s="869">
        <v>9.875</v>
      </c>
      <c r="V32" s="437"/>
    </row>
    <row r="33" spans="1:22" ht="12.75" customHeight="1" x14ac:dyDescent="0.2">
      <c r="A33" s="473"/>
      <c r="B33" s="863" t="s">
        <v>2264</v>
      </c>
      <c r="C33" s="864" t="s">
        <v>1841</v>
      </c>
      <c r="D33" s="870">
        <v>6</v>
      </c>
      <c r="E33" s="866" t="s">
        <v>605</v>
      </c>
      <c r="F33" s="867" t="s">
        <v>2251</v>
      </c>
      <c r="G33" s="867" t="s">
        <v>2263</v>
      </c>
      <c r="H33" s="867" t="s">
        <v>2252</v>
      </c>
      <c r="I33" s="867">
        <f>I30</f>
        <v>9</v>
      </c>
      <c r="J33" s="867">
        <f>J30</f>
        <v>13</v>
      </c>
      <c r="K33" s="868">
        <f t="shared" si="13"/>
        <v>0.25002000000000002</v>
      </c>
      <c r="L33" s="867">
        <v>0.437</v>
      </c>
      <c r="M33" s="867">
        <v>0.75</v>
      </c>
      <c r="N33" s="867" t="s">
        <v>1722</v>
      </c>
      <c r="O33" s="867" t="s">
        <v>1721</v>
      </c>
      <c r="P33" s="867">
        <f t="shared" si="11"/>
        <v>4.5</v>
      </c>
      <c r="Q33" s="867">
        <v>2.625</v>
      </c>
      <c r="R33" s="867">
        <v>6.375</v>
      </c>
      <c r="S33" s="867">
        <f t="shared" si="12"/>
        <v>4.5</v>
      </c>
      <c r="T33" s="867">
        <v>1.125</v>
      </c>
      <c r="U33" s="869">
        <v>7.875</v>
      </c>
      <c r="V33" s="437"/>
    </row>
    <row r="34" spans="1:22" ht="12.75" customHeight="1" x14ac:dyDescent="0.2">
      <c r="A34" s="473"/>
      <c r="B34" s="863" t="s">
        <v>2264</v>
      </c>
      <c r="C34" s="864" t="s">
        <v>1841</v>
      </c>
      <c r="D34" s="870">
        <v>7</v>
      </c>
      <c r="E34" s="870" t="s">
        <v>2211</v>
      </c>
      <c r="F34" s="870" t="s">
        <v>2253</v>
      </c>
      <c r="G34" s="870" t="s">
        <v>2262</v>
      </c>
      <c r="H34" s="870" t="s">
        <v>2254</v>
      </c>
      <c r="I34" s="867">
        <f>I31</f>
        <v>9</v>
      </c>
      <c r="J34" s="867">
        <v>8.92</v>
      </c>
      <c r="K34" s="868">
        <f t="shared" si="13"/>
        <v>0.25002000000000002</v>
      </c>
      <c r="L34" s="867">
        <v>0.437</v>
      </c>
      <c r="M34" s="867">
        <v>0.5</v>
      </c>
      <c r="N34" s="867" t="s">
        <v>1722</v>
      </c>
      <c r="O34" s="867" t="s">
        <v>1721</v>
      </c>
      <c r="P34" s="867">
        <f t="shared" si="11"/>
        <v>4.5</v>
      </c>
      <c r="Q34" s="867">
        <v>3.75</v>
      </c>
      <c r="R34" s="867">
        <v>5.25</v>
      </c>
      <c r="S34" s="867">
        <f t="shared" si="12"/>
        <v>3.8125</v>
      </c>
      <c r="T34" s="867">
        <v>1.5625</v>
      </c>
      <c r="U34" s="869">
        <v>6.0625</v>
      </c>
      <c r="V34" s="437"/>
    </row>
    <row r="35" spans="1:22" ht="12.75" customHeight="1" thickBot="1" x14ac:dyDescent="0.25">
      <c r="A35" s="473"/>
      <c r="B35" s="871" t="s">
        <v>2264</v>
      </c>
      <c r="C35" s="872" t="s">
        <v>1841</v>
      </c>
      <c r="D35" s="873">
        <v>8</v>
      </c>
      <c r="E35" s="873" t="s">
        <v>2214</v>
      </c>
      <c r="F35" s="873" t="s">
        <v>2255</v>
      </c>
      <c r="G35" s="873" t="s">
        <v>2263</v>
      </c>
      <c r="H35" s="873" t="s">
        <v>2256</v>
      </c>
      <c r="I35" s="874">
        <f>I32</f>
        <v>9</v>
      </c>
      <c r="J35" s="874">
        <v>8.92</v>
      </c>
      <c r="K35" s="875">
        <f t="shared" si="13"/>
        <v>0.25002000000000002</v>
      </c>
      <c r="L35" s="874">
        <v>0.437</v>
      </c>
      <c r="M35" s="874">
        <v>0.75</v>
      </c>
      <c r="N35" s="874" t="s">
        <v>1722</v>
      </c>
      <c r="O35" s="874" t="s">
        <v>1721</v>
      </c>
      <c r="P35" s="874">
        <f t="shared" si="11"/>
        <v>4.5</v>
      </c>
      <c r="Q35" s="874">
        <v>2.625</v>
      </c>
      <c r="R35" s="874">
        <v>6.375</v>
      </c>
      <c r="S35" s="874">
        <f t="shared" si="12"/>
        <v>3.8125</v>
      </c>
      <c r="T35" s="874">
        <v>1.125</v>
      </c>
      <c r="U35" s="876">
        <v>6.5</v>
      </c>
      <c r="V35" s="437"/>
    </row>
    <row r="36" spans="1:22" x14ac:dyDescent="0.2">
      <c r="A36" s="473"/>
      <c r="B36" s="473"/>
      <c r="C36" s="473"/>
      <c r="D36" s="473"/>
      <c r="E36" s="78"/>
      <c r="F36" s="78"/>
      <c r="G36" s="78"/>
      <c r="H36" s="78"/>
      <c r="I36" s="78"/>
      <c r="J36" s="78"/>
      <c r="K36" s="78"/>
      <c r="L36" s="78"/>
      <c r="M36" s="78"/>
      <c r="N36" s="78"/>
      <c r="O36" s="78"/>
      <c r="P36" s="78"/>
      <c r="Q36" s="78"/>
      <c r="R36" s="78"/>
      <c r="S36" s="78"/>
      <c r="T36" s="78"/>
      <c r="U36" s="78"/>
      <c r="V36" s="78"/>
    </row>
  </sheetData>
  <phoneticPr fontId="44" type="noConversion"/>
  <pageMargins left="0.7" right="0.7" top="0.75" bottom="0.75" header="0.3" footer="0.3"/>
  <pageSetup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24"/>
  <sheetViews>
    <sheetView showGridLines="0" zoomScale="85" workbookViewId="0"/>
  </sheetViews>
  <sheetFormatPr defaultRowHeight="12.75" x14ac:dyDescent="0.2"/>
  <cols>
    <col min="1" max="1" width="3.140625" customWidth="1"/>
    <col min="2" max="2" width="12.42578125" customWidth="1"/>
    <col min="3" max="3" width="13.85546875" customWidth="1"/>
    <col min="4" max="4" width="12.85546875" customWidth="1"/>
    <col min="5" max="5" width="12.7109375" bestFit="1" customWidth="1"/>
    <col min="6" max="6" width="9.5703125" bestFit="1" customWidth="1"/>
    <col min="7" max="7" width="10.42578125" bestFit="1" customWidth="1"/>
    <col min="8" max="8" width="14.5703125" bestFit="1" customWidth="1"/>
    <col min="9" max="9" width="12.5703125" customWidth="1"/>
    <col min="10" max="10" width="15.7109375" customWidth="1"/>
    <col min="11" max="11" width="8.140625" customWidth="1"/>
    <col min="12" max="12" width="12.7109375" bestFit="1" customWidth="1"/>
    <col min="13" max="13" width="12.7109375" customWidth="1"/>
    <col min="14" max="14" width="8.42578125" customWidth="1"/>
    <col min="15" max="15" width="10.28515625" customWidth="1"/>
    <col min="16" max="16" width="10.85546875" bestFit="1" customWidth="1"/>
    <col min="17" max="18" width="10.28515625" customWidth="1"/>
    <col min="19" max="19" width="11.28515625" bestFit="1" customWidth="1"/>
    <col min="20" max="21" width="11.28515625" customWidth="1"/>
    <col min="22" max="22" width="10.28515625" customWidth="1"/>
    <col min="23" max="23" width="11.7109375" customWidth="1"/>
    <col min="24" max="24" width="3.42578125" customWidth="1"/>
    <col min="25" max="25" width="174" customWidth="1"/>
    <col min="26" max="26" width="9.5703125" customWidth="1"/>
  </cols>
  <sheetData>
    <row r="1" spans="1:28" ht="15.75" thickBot="1" x14ac:dyDescent="0.3">
      <c r="A1" s="143"/>
      <c r="B1" s="143"/>
      <c r="C1" s="13"/>
      <c r="D1" s="13"/>
      <c r="E1" s="13"/>
      <c r="F1" s="13"/>
      <c r="G1" s="13"/>
      <c r="H1" s="13"/>
      <c r="I1" s="13"/>
      <c r="J1" s="13"/>
      <c r="K1" s="13"/>
      <c r="L1" s="13"/>
      <c r="M1" s="13"/>
      <c r="N1" s="13"/>
      <c r="O1" s="13"/>
      <c r="P1" s="13"/>
      <c r="Q1" s="13"/>
      <c r="R1" s="13"/>
      <c r="S1" s="13"/>
      <c r="T1" s="13"/>
      <c r="U1" s="13"/>
      <c r="V1" s="13"/>
      <c r="W1" s="13"/>
      <c r="X1" s="143"/>
      <c r="Y1" s="995"/>
      <c r="Z1" s="995"/>
      <c r="AA1" s="258"/>
      <c r="AB1" s="534"/>
    </row>
    <row r="2" spans="1:28" ht="57" customHeight="1" thickBot="1" x14ac:dyDescent="0.3">
      <c r="A2" s="143"/>
      <c r="B2" s="497" t="s">
        <v>1151</v>
      </c>
      <c r="C2" s="296" t="s">
        <v>190</v>
      </c>
      <c r="D2" s="272" t="s">
        <v>328</v>
      </c>
      <c r="E2" s="630" t="s">
        <v>2095</v>
      </c>
      <c r="F2" s="296" t="s">
        <v>608</v>
      </c>
      <c r="G2" s="272" t="s">
        <v>1861</v>
      </c>
      <c r="H2" s="474" t="s">
        <v>1725</v>
      </c>
      <c r="I2" s="673" t="s">
        <v>1290</v>
      </c>
      <c r="J2" s="272" t="s">
        <v>329</v>
      </c>
      <c r="K2" s="780" t="s">
        <v>1561</v>
      </c>
      <c r="L2" s="496" t="s">
        <v>53</v>
      </c>
      <c r="M2" s="708" t="s">
        <v>859</v>
      </c>
      <c r="N2" s="90" t="s">
        <v>1434</v>
      </c>
      <c r="O2" s="90" t="s">
        <v>1433</v>
      </c>
      <c r="P2" s="90" t="s">
        <v>242</v>
      </c>
      <c r="Q2" s="90" t="s">
        <v>243</v>
      </c>
      <c r="R2" s="90" t="s">
        <v>1582</v>
      </c>
      <c r="S2" s="90" t="s">
        <v>619</v>
      </c>
      <c r="T2" s="90" t="s">
        <v>1481</v>
      </c>
      <c r="U2" s="90" t="s">
        <v>1624</v>
      </c>
      <c r="V2" s="90" t="s">
        <v>1770</v>
      </c>
      <c r="W2" s="90" t="s">
        <v>784</v>
      </c>
      <c r="X2" s="143"/>
      <c r="Y2" s="996"/>
      <c r="Z2" s="996"/>
    </row>
    <row r="3" spans="1:28" ht="15" customHeight="1" thickBot="1" x14ac:dyDescent="0.3">
      <c r="A3" s="143"/>
      <c r="B3" s="455" t="s">
        <v>194</v>
      </c>
      <c r="C3" s="459"/>
      <c r="D3" s="250"/>
      <c r="E3" s="552"/>
      <c r="F3" s="459"/>
      <c r="G3" s="314"/>
      <c r="H3" s="222" t="s">
        <v>55</v>
      </c>
      <c r="I3" s="250"/>
      <c r="J3" s="250"/>
      <c r="K3" s="250"/>
      <c r="L3" s="207" t="s">
        <v>2098</v>
      </c>
      <c r="M3" s="250" t="s">
        <v>1152</v>
      </c>
      <c r="N3" s="99" t="s">
        <v>1435</v>
      </c>
      <c r="O3" s="99" t="s">
        <v>1862</v>
      </c>
      <c r="P3" s="99" t="s">
        <v>2026</v>
      </c>
      <c r="Q3" s="99" t="s">
        <v>912</v>
      </c>
      <c r="R3" s="99" t="s">
        <v>620</v>
      </c>
      <c r="S3" s="99" t="s">
        <v>879</v>
      </c>
      <c r="T3" s="314" t="s">
        <v>913</v>
      </c>
      <c r="U3" s="99" t="s">
        <v>1203</v>
      </c>
      <c r="V3" s="99" t="s">
        <v>1050</v>
      </c>
      <c r="W3" s="99" t="s">
        <v>103</v>
      </c>
      <c r="X3" s="143"/>
      <c r="Y3" s="996"/>
      <c r="Z3" s="996"/>
    </row>
    <row r="4" spans="1:28" ht="15" customHeight="1" x14ac:dyDescent="0.25">
      <c r="A4" s="143"/>
      <c r="B4" s="723">
        <v>1</v>
      </c>
      <c r="C4" s="489" t="s">
        <v>54</v>
      </c>
      <c r="D4" s="589" t="s">
        <v>1199</v>
      </c>
      <c r="E4" s="616">
        <v>1</v>
      </c>
      <c r="F4" s="719">
        <v>1</v>
      </c>
      <c r="G4" s="303">
        <v>50</v>
      </c>
      <c r="H4" s="512" t="s">
        <v>1477</v>
      </c>
      <c r="I4" s="611" t="s">
        <v>1478</v>
      </c>
      <c r="J4" s="303" t="s">
        <v>2096</v>
      </c>
      <c r="K4" s="729">
        <v>50</v>
      </c>
      <c r="L4" s="445">
        <v>4.625</v>
      </c>
      <c r="M4" s="698">
        <v>1</v>
      </c>
      <c r="N4" s="114">
        <v>3</v>
      </c>
      <c r="O4" s="114">
        <v>6</v>
      </c>
      <c r="P4" s="114">
        <v>0.25</v>
      </c>
      <c r="Q4" s="114">
        <v>0.625</v>
      </c>
      <c r="R4" s="114">
        <v>0.75</v>
      </c>
      <c r="S4" s="114">
        <v>0.75</v>
      </c>
      <c r="T4" s="478">
        <v>4.125</v>
      </c>
      <c r="U4" s="114">
        <v>1.375</v>
      </c>
      <c r="V4" s="114">
        <v>0.375</v>
      </c>
      <c r="W4" s="483">
        <v>0.5</v>
      </c>
      <c r="X4" s="143"/>
      <c r="Y4" s="996"/>
      <c r="Z4" s="996"/>
    </row>
    <row r="5" spans="1:28" ht="15" customHeight="1" x14ac:dyDescent="0.25">
      <c r="A5" s="143"/>
      <c r="B5" s="505">
        <v>2</v>
      </c>
      <c r="C5" s="354" t="s">
        <v>54</v>
      </c>
      <c r="D5" s="453" t="s">
        <v>1479</v>
      </c>
      <c r="E5" s="441">
        <v>1</v>
      </c>
      <c r="F5" s="522">
        <v>51</v>
      </c>
      <c r="G5" s="193">
        <v>100</v>
      </c>
      <c r="H5" s="391" t="s">
        <v>2024</v>
      </c>
      <c r="I5" s="485" t="s">
        <v>2097</v>
      </c>
      <c r="J5" s="193" t="s">
        <v>2096</v>
      </c>
      <c r="K5" s="526">
        <v>100</v>
      </c>
      <c r="L5" s="271">
        <v>4.625</v>
      </c>
      <c r="M5" s="498">
        <v>1</v>
      </c>
      <c r="N5" s="95">
        <v>3</v>
      </c>
      <c r="O5" s="95">
        <v>6</v>
      </c>
      <c r="P5" s="95">
        <v>0.25</v>
      </c>
      <c r="Q5" s="95">
        <v>0.625</v>
      </c>
      <c r="R5" s="95">
        <v>0.75</v>
      </c>
      <c r="S5" s="95">
        <v>0.75</v>
      </c>
      <c r="T5" s="654">
        <v>4.1253000000000002</v>
      </c>
      <c r="U5" s="95">
        <v>1.375</v>
      </c>
      <c r="V5" s="95">
        <v>0.375</v>
      </c>
      <c r="W5" s="421">
        <v>0.5</v>
      </c>
      <c r="X5" s="143"/>
      <c r="Y5" s="996"/>
      <c r="Z5" s="996"/>
    </row>
    <row r="6" spans="1:28" ht="15" customHeight="1" x14ac:dyDescent="0.25">
      <c r="A6" s="143"/>
      <c r="B6" s="505">
        <v>3</v>
      </c>
      <c r="C6" s="354" t="s">
        <v>54</v>
      </c>
      <c r="D6" s="453" t="s">
        <v>644</v>
      </c>
      <c r="E6" s="441">
        <v>1</v>
      </c>
      <c r="F6" s="522">
        <v>101</v>
      </c>
      <c r="G6" s="193">
        <v>150</v>
      </c>
      <c r="H6" s="391" t="s">
        <v>378</v>
      </c>
      <c r="I6" s="485" t="s">
        <v>856</v>
      </c>
      <c r="J6" s="193" t="s">
        <v>2096</v>
      </c>
      <c r="K6" s="526">
        <v>150</v>
      </c>
      <c r="L6" s="271">
        <v>4.625</v>
      </c>
      <c r="M6" s="498">
        <v>1</v>
      </c>
      <c r="N6" s="95">
        <v>3</v>
      </c>
      <c r="O6" s="95">
        <v>6</v>
      </c>
      <c r="P6" s="95">
        <v>0.25</v>
      </c>
      <c r="Q6" s="95">
        <v>0.625</v>
      </c>
      <c r="R6" s="95">
        <v>0.75</v>
      </c>
      <c r="S6" s="95">
        <v>0.75</v>
      </c>
      <c r="T6" s="654">
        <v>4.1253000000000002</v>
      </c>
      <c r="U6" s="95">
        <v>1.375</v>
      </c>
      <c r="V6" s="95">
        <v>0.375</v>
      </c>
      <c r="W6" s="421">
        <v>0.5</v>
      </c>
      <c r="X6" s="143"/>
      <c r="Y6" s="996"/>
      <c r="Z6" s="996"/>
    </row>
    <row r="7" spans="1:28" ht="15" customHeight="1" x14ac:dyDescent="0.25">
      <c r="A7" s="143"/>
      <c r="B7" s="505">
        <v>4</v>
      </c>
      <c r="C7" s="354" t="s">
        <v>54</v>
      </c>
      <c r="D7" s="453" t="s">
        <v>241</v>
      </c>
      <c r="E7" s="441">
        <v>1</v>
      </c>
      <c r="F7" s="522">
        <v>151</v>
      </c>
      <c r="G7" s="193">
        <v>250</v>
      </c>
      <c r="H7" s="391" t="s">
        <v>909</v>
      </c>
      <c r="I7" s="485" t="s">
        <v>1292</v>
      </c>
      <c r="J7" s="193" t="s">
        <v>2096</v>
      </c>
      <c r="K7" s="526">
        <v>300</v>
      </c>
      <c r="L7" s="271">
        <v>4.625</v>
      </c>
      <c r="M7" s="498">
        <v>1</v>
      </c>
      <c r="N7" s="95">
        <v>3</v>
      </c>
      <c r="O7" s="95">
        <v>6</v>
      </c>
      <c r="P7" s="95">
        <v>0.25</v>
      </c>
      <c r="Q7" s="95">
        <v>0.625</v>
      </c>
      <c r="R7" s="95">
        <v>0.75</v>
      </c>
      <c r="S7" s="95">
        <v>0.75</v>
      </c>
      <c r="T7" s="654">
        <v>4.1253000000000002</v>
      </c>
      <c r="U7" s="95">
        <v>1.375</v>
      </c>
      <c r="V7" s="95">
        <v>0.375</v>
      </c>
      <c r="W7" s="421">
        <v>0.5</v>
      </c>
      <c r="X7" s="143"/>
      <c r="Y7" s="996"/>
      <c r="Z7" s="996"/>
    </row>
    <row r="8" spans="1:28" ht="15" customHeight="1" x14ac:dyDescent="0.25">
      <c r="A8" s="143"/>
      <c r="B8" s="505">
        <v>5</v>
      </c>
      <c r="C8" s="354" t="s">
        <v>54</v>
      </c>
      <c r="D8" s="453" t="s">
        <v>645</v>
      </c>
      <c r="E8" s="441">
        <v>1</v>
      </c>
      <c r="F8" s="522">
        <v>251</v>
      </c>
      <c r="G8" s="193">
        <v>300</v>
      </c>
      <c r="H8" s="391" t="s">
        <v>1621</v>
      </c>
      <c r="I8" s="485" t="s">
        <v>1348</v>
      </c>
      <c r="J8" s="193" t="s">
        <v>2096</v>
      </c>
      <c r="K8" s="526">
        <v>400</v>
      </c>
      <c r="L8" s="271">
        <v>4.625</v>
      </c>
      <c r="M8" s="498">
        <v>1</v>
      </c>
      <c r="N8" s="95">
        <v>3</v>
      </c>
      <c r="O8" s="95">
        <v>6</v>
      </c>
      <c r="P8" s="95">
        <v>0.25</v>
      </c>
      <c r="Q8" s="95">
        <v>0.625</v>
      </c>
      <c r="R8" s="95">
        <v>0.75</v>
      </c>
      <c r="S8" s="95">
        <v>0.75</v>
      </c>
      <c r="T8" s="654">
        <v>4.1253000000000002</v>
      </c>
      <c r="U8" s="95">
        <v>1.375</v>
      </c>
      <c r="V8" s="95">
        <v>0.375</v>
      </c>
      <c r="W8" s="421">
        <v>0.5</v>
      </c>
      <c r="X8" s="143"/>
      <c r="Y8" s="996"/>
      <c r="Z8" s="996"/>
    </row>
    <row r="9" spans="1:28" ht="15" customHeight="1" x14ac:dyDescent="0.25">
      <c r="A9" s="143"/>
      <c r="B9" s="505">
        <v>6</v>
      </c>
      <c r="C9" s="354" t="s">
        <v>54</v>
      </c>
      <c r="D9" s="453" t="s">
        <v>1622</v>
      </c>
      <c r="E9" s="441">
        <v>1</v>
      </c>
      <c r="F9" s="522">
        <v>301</v>
      </c>
      <c r="G9" s="193">
        <v>370</v>
      </c>
      <c r="H9" s="391" t="s">
        <v>379</v>
      </c>
      <c r="I9" s="485" t="s">
        <v>1291</v>
      </c>
      <c r="J9" s="193" t="s">
        <v>2096</v>
      </c>
      <c r="K9" s="526">
        <v>493</v>
      </c>
      <c r="L9" s="271">
        <v>4.625</v>
      </c>
      <c r="M9" s="498">
        <v>1</v>
      </c>
      <c r="N9" s="95">
        <v>3</v>
      </c>
      <c r="O9" s="95">
        <v>6</v>
      </c>
      <c r="P9" s="95">
        <v>0.25</v>
      </c>
      <c r="Q9" s="95">
        <v>0.625</v>
      </c>
      <c r="R9" s="95">
        <v>0.75</v>
      </c>
      <c r="S9" s="95">
        <v>0.75</v>
      </c>
      <c r="T9" s="654">
        <v>4.1253000000000002</v>
      </c>
      <c r="U9" s="95">
        <v>1.375</v>
      </c>
      <c r="V9" s="95">
        <v>0.375</v>
      </c>
      <c r="W9" s="421">
        <v>0.5</v>
      </c>
      <c r="X9" s="143"/>
      <c r="Y9" s="996"/>
      <c r="Z9" s="996"/>
    </row>
    <row r="10" spans="1:28" ht="15" customHeight="1" thickBot="1" x14ac:dyDescent="0.3">
      <c r="A10" s="143"/>
      <c r="B10" s="759">
        <v>7</v>
      </c>
      <c r="C10" s="415" t="s">
        <v>54</v>
      </c>
      <c r="D10" s="782" t="s">
        <v>780</v>
      </c>
      <c r="E10" s="507">
        <v>1</v>
      </c>
      <c r="F10" s="446">
        <v>371</v>
      </c>
      <c r="G10" s="241">
        <v>520</v>
      </c>
      <c r="H10" s="359" t="s">
        <v>910</v>
      </c>
      <c r="I10" s="682" t="s">
        <v>1291</v>
      </c>
      <c r="J10" s="241" t="s">
        <v>191</v>
      </c>
      <c r="K10" s="503">
        <v>693</v>
      </c>
      <c r="L10" s="267">
        <v>4.625</v>
      </c>
      <c r="M10" s="532">
        <v>1</v>
      </c>
      <c r="N10" s="76">
        <v>3</v>
      </c>
      <c r="O10" s="76">
        <v>6</v>
      </c>
      <c r="P10" s="76">
        <v>0.25</v>
      </c>
      <c r="Q10" s="76">
        <v>0.625</v>
      </c>
      <c r="R10" s="76">
        <v>0.75</v>
      </c>
      <c r="S10" s="76">
        <v>0.75</v>
      </c>
      <c r="T10" s="475">
        <v>4.1253000000000002</v>
      </c>
      <c r="U10" s="76">
        <v>1.375</v>
      </c>
      <c r="V10" s="76">
        <v>0.375</v>
      </c>
      <c r="W10" s="273">
        <v>0.5</v>
      </c>
      <c r="X10" s="143"/>
      <c r="Y10" s="996"/>
      <c r="Z10" s="996"/>
    </row>
    <row r="11" spans="1:28" ht="15" customHeight="1" x14ac:dyDescent="0.25">
      <c r="A11" s="143"/>
      <c r="B11" s="796">
        <v>8</v>
      </c>
      <c r="C11" s="513" t="s">
        <v>54</v>
      </c>
      <c r="D11" s="660" t="s">
        <v>781</v>
      </c>
      <c r="E11" s="702">
        <v>2</v>
      </c>
      <c r="F11" s="712">
        <v>0</v>
      </c>
      <c r="G11" s="346">
        <v>160</v>
      </c>
      <c r="H11" s="479" t="s">
        <v>1727</v>
      </c>
      <c r="I11" s="608" t="s">
        <v>1291</v>
      </c>
      <c r="J11" s="346" t="s">
        <v>2096</v>
      </c>
      <c r="K11" s="743">
        <v>70</v>
      </c>
      <c r="L11" s="524">
        <v>7.25</v>
      </c>
      <c r="M11" s="704">
        <v>1.5</v>
      </c>
      <c r="N11" s="124">
        <v>6</v>
      </c>
      <c r="O11" s="124">
        <v>7.625</v>
      </c>
      <c r="P11" s="124">
        <v>0.375</v>
      </c>
      <c r="Q11" s="124">
        <v>0.875</v>
      </c>
      <c r="R11" s="124">
        <v>1.125</v>
      </c>
      <c r="S11" s="124">
        <v>1.125</v>
      </c>
      <c r="T11" s="481">
        <v>6.44</v>
      </c>
      <c r="U11" s="124">
        <v>2</v>
      </c>
      <c r="V11" s="124">
        <v>0.5</v>
      </c>
      <c r="W11" s="484">
        <v>0.625</v>
      </c>
      <c r="X11" s="143"/>
      <c r="Y11" s="996"/>
      <c r="Z11" s="996"/>
    </row>
    <row r="12" spans="1:28" ht="15" customHeight="1" x14ac:dyDescent="0.25">
      <c r="A12" s="195"/>
      <c r="B12" s="505">
        <v>9</v>
      </c>
      <c r="C12" s="354" t="s">
        <v>54</v>
      </c>
      <c r="D12" s="453" t="s">
        <v>1048</v>
      </c>
      <c r="E12" s="441">
        <v>2</v>
      </c>
      <c r="F12" s="522">
        <v>161</v>
      </c>
      <c r="G12" s="193">
        <v>230</v>
      </c>
      <c r="H12" s="391" t="s">
        <v>335</v>
      </c>
      <c r="I12" s="577" t="s">
        <v>191</v>
      </c>
      <c r="J12" s="193" t="s">
        <v>2096</v>
      </c>
      <c r="K12" s="526">
        <v>100</v>
      </c>
      <c r="L12" s="271">
        <v>7.25</v>
      </c>
      <c r="M12" s="498">
        <v>1.5</v>
      </c>
      <c r="N12" s="95">
        <v>6</v>
      </c>
      <c r="O12" s="95">
        <v>7.625</v>
      </c>
      <c r="P12" s="124">
        <v>0.375</v>
      </c>
      <c r="Q12" s="124">
        <v>0.875</v>
      </c>
      <c r="R12" s="124">
        <v>1.125</v>
      </c>
      <c r="S12" s="124">
        <v>1.125</v>
      </c>
      <c r="T12" s="481">
        <v>6.44</v>
      </c>
      <c r="U12" s="124">
        <v>2</v>
      </c>
      <c r="V12" s="124">
        <v>0.5</v>
      </c>
      <c r="W12" s="484">
        <v>0.625</v>
      </c>
      <c r="X12" s="195"/>
      <c r="Y12" s="996"/>
      <c r="Z12" s="996"/>
    </row>
    <row r="13" spans="1:28" ht="15" customHeight="1" x14ac:dyDescent="0.25">
      <c r="A13" s="195"/>
      <c r="B13" s="505">
        <v>10</v>
      </c>
      <c r="C13" s="354" t="s">
        <v>54</v>
      </c>
      <c r="D13" s="453" t="s">
        <v>646</v>
      </c>
      <c r="E13" s="441">
        <v>2</v>
      </c>
      <c r="F13" s="522">
        <v>231</v>
      </c>
      <c r="G13" s="193">
        <v>355</v>
      </c>
      <c r="H13" s="391" t="s">
        <v>1158</v>
      </c>
      <c r="I13" s="577" t="s">
        <v>330</v>
      </c>
      <c r="J13" s="193" t="s">
        <v>2096</v>
      </c>
      <c r="K13" s="526">
        <v>165</v>
      </c>
      <c r="L13" s="271">
        <v>7.25</v>
      </c>
      <c r="M13" s="498">
        <v>1.5</v>
      </c>
      <c r="N13" s="95">
        <v>6</v>
      </c>
      <c r="O13" s="95">
        <v>7.625</v>
      </c>
      <c r="P13" s="124">
        <v>0.375</v>
      </c>
      <c r="Q13" s="124">
        <v>0.875</v>
      </c>
      <c r="R13" s="124">
        <v>1.125</v>
      </c>
      <c r="S13" s="124">
        <v>1.125</v>
      </c>
      <c r="T13" s="481">
        <v>6.44</v>
      </c>
      <c r="U13" s="124">
        <v>2</v>
      </c>
      <c r="V13" s="124">
        <v>0.5</v>
      </c>
      <c r="W13" s="484">
        <v>0.625</v>
      </c>
      <c r="X13" s="195"/>
      <c r="Y13" s="996"/>
      <c r="Z13" s="996"/>
    </row>
    <row r="14" spans="1:28" ht="15" customHeight="1" x14ac:dyDescent="0.25">
      <c r="A14" s="195"/>
      <c r="B14" s="505">
        <v>11</v>
      </c>
      <c r="C14" s="354" t="s">
        <v>54</v>
      </c>
      <c r="D14" s="453" t="s">
        <v>647</v>
      </c>
      <c r="E14" s="441">
        <v>2</v>
      </c>
      <c r="F14" s="522">
        <v>356</v>
      </c>
      <c r="G14" s="193">
        <v>435</v>
      </c>
      <c r="H14" s="391" t="s">
        <v>1437</v>
      </c>
      <c r="I14" s="577" t="s">
        <v>856</v>
      </c>
      <c r="J14" s="193" t="s">
        <v>2096</v>
      </c>
      <c r="K14" s="526">
        <v>230</v>
      </c>
      <c r="L14" s="271">
        <v>7.25</v>
      </c>
      <c r="M14" s="498">
        <v>1.5</v>
      </c>
      <c r="N14" s="95">
        <v>6</v>
      </c>
      <c r="O14" s="95">
        <v>7.625</v>
      </c>
      <c r="P14" s="124">
        <v>0.375</v>
      </c>
      <c r="Q14" s="124">
        <v>0.875</v>
      </c>
      <c r="R14" s="124">
        <v>1.125</v>
      </c>
      <c r="S14" s="124">
        <v>1.125</v>
      </c>
      <c r="T14" s="481">
        <v>6.44</v>
      </c>
      <c r="U14" s="124">
        <v>2</v>
      </c>
      <c r="V14" s="124">
        <v>0.5</v>
      </c>
      <c r="W14" s="484">
        <v>0.625</v>
      </c>
      <c r="X14" s="195"/>
      <c r="Y14" s="996"/>
      <c r="Z14" s="996"/>
    </row>
    <row r="15" spans="1:28" ht="15" customHeight="1" x14ac:dyDescent="0.25">
      <c r="A15" s="195"/>
      <c r="B15" s="505">
        <v>12</v>
      </c>
      <c r="C15" s="354" t="s">
        <v>54</v>
      </c>
      <c r="D15" s="453" t="s">
        <v>648</v>
      </c>
      <c r="E15" s="441">
        <v>2</v>
      </c>
      <c r="F15" s="522">
        <v>436</v>
      </c>
      <c r="G15" s="193">
        <v>600</v>
      </c>
      <c r="H15" s="391" t="s">
        <v>861</v>
      </c>
      <c r="I15" s="577" t="s">
        <v>856</v>
      </c>
      <c r="J15" s="456" t="s">
        <v>1292</v>
      </c>
      <c r="K15" s="526">
        <v>319</v>
      </c>
      <c r="L15" s="271">
        <v>7.25</v>
      </c>
      <c r="M15" s="498">
        <v>1.5</v>
      </c>
      <c r="N15" s="95">
        <v>6</v>
      </c>
      <c r="O15" s="95">
        <v>7.625</v>
      </c>
      <c r="P15" s="124">
        <v>0.375</v>
      </c>
      <c r="Q15" s="124">
        <v>0.875</v>
      </c>
      <c r="R15" s="124">
        <v>1.125</v>
      </c>
      <c r="S15" s="124">
        <v>1.125</v>
      </c>
      <c r="T15" s="481">
        <v>6.44</v>
      </c>
      <c r="U15" s="124">
        <v>2</v>
      </c>
      <c r="V15" s="124">
        <v>0.5</v>
      </c>
      <c r="W15" s="484">
        <v>0.625</v>
      </c>
      <c r="X15" s="195"/>
      <c r="Y15" s="996"/>
      <c r="Z15" s="996"/>
    </row>
    <row r="16" spans="1:28" ht="15" customHeight="1" x14ac:dyDescent="0.25">
      <c r="A16" s="195"/>
      <c r="B16" s="505">
        <v>13</v>
      </c>
      <c r="C16" s="354" t="s">
        <v>54</v>
      </c>
      <c r="D16" s="453" t="s">
        <v>911</v>
      </c>
      <c r="E16" s="441">
        <v>2</v>
      </c>
      <c r="F16" s="522">
        <v>601</v>
      </c>
      <c r="G16" s="193">
        <v>725</v>
      </c>
      <c r="H16" s="391" t="s">
        <v>196</v>
      </c>
      <c r="I16" s="485" t="s">
        <v>2097</v>
      </c>
      <c r="J16" s="193" t="s">
        <v>2096</v>
      </c>
      <c r="K16" s="526">
        <v>450</v>
      </c>
      <c r="L16" s="271">
        <v>7.25</v>
      </c>
      <c r="M16" s="498">
        <v>1.5</v>
      </c>
      <c r="N16" s="95">
        <v>6</v>
      </c>
      <c r="O16" s="95">
        <v>7.625</v>
      </c>
      <c r="P16" s="124">
        <v>0.375</v>
      </c>
      <c r="Q16" s="124">
        <v>0.875</v>
      </c>
      <c r="R16" s="124">
        <v>1.125</v>
      </c>
      <c r="S16" s="124">
        <v>1.125</v>
      </c>
      <c r="T16" s="481">
        <v>6.44</v>
      </c>
      <c r="U16" s="124">
        <v>2</v>
      </c>
      <c r="V16" s="124">
        <v>0.5</v>
      </c>
      <c r="W16" s="484">
        <v>0.625</v>
      </c>
      <c r="X16" s="195"/>
      <c r="Y16" s="996"/>
      <c r="Z16" s="996"/>
    </row>
    <row r="17" spans="1:27" ht="15" customHeight="1" x14ac:dyDescent="0.25">
      <c r="A17" s="143"/>
      <c r="B17" s="505">
        <v>14</v>
      </c>
      <c r="C17" s="354" t="s">
        <v>54</v>
      </c>
      <c r="D17" s="453" t="s">
        <v>1200</v>
      </c>
      <c r="E17" s="441">
        <v>2</v>
      </c>
      <c r="F17" s="522">
        <v>726</v>
      </c>
      <c r="G17" s="193">
        <v>845</v>
      </c>
      <c r="H17" s="391" t="s">
        <v>197</v>
      </c>
      <c r="I17" s="485" t="s">
        <v>737</v>
      </c>
      <c r="J17" s="193" t="s">
        <v>2096</v>
      </c>
      <c r="K17" s="526">
        <v>570</v>
      </c>
      <c r="L17" s="271">
        <v>7.25</v>
      </c>
      <c r="M17" s="498">
        <v>1.5</v>
      </c>
      <c r="N17" s="95">
        <v>6</v>
      </c>
      <c r="O17" s="95">
        <v>7.625</v>
      </c>
      <c r="P17" s="124">
        <v>0.375</v>
      </c>
      <c r="Q17" s="124">
        <v>0.875</v>
      </c>
      <c r="R17" s="124">
        <v>1.125</v>
      </c>
      <c r="S17" s="124">
        <v>1.125</v>
      </c>
      <c r="T17" s="481">
        <v>6.44</v>
      </c>
      <c r="U17" s="124">
        <v>2</v>
      </c>
      <c r="V17" s="124">
        <v>0.5</v>
      </c>
      <c r="W17" s="484">
        <v>0.625</v>
      </c>
      <c r="X17" s="143"/>
      <c r="Y17" s="996"/>
      <c r="Z17" s="996"/>
    </row>
    <row r="18" spans="1:27" ht="15" customHeight="1" x14ac:dyDescent="0.25">
      <c r="A18" s="143"/>
      <c r="B18" s="505">
        <v>15</v>
      </c>
      <c r="C18" s="354" t="s">
        <v>54</v>
      </c>
      <c r="D18" s="453" t="s">
        <v>513</v>
      </c>
      <c r="E18" s="441">
        <v>2</v>
      </c>
      <c r="F18" s="522">
        <v>846</v>
      </c>
      <c r="G18" s="193">
        <v>1000</v>
      </c>
      <c r="H18" s="391" t="s">
        <v>1864</v>
      </c>
      <c r="I18" s="485" t="s">
        <v>737</v>
      </c>
      <c r="J18" s="456" t="s">
        <v>1292</v>
      </c>
      <c r="K18" s="526">
        <v>650</v>
      </c>
      <c r="L18" s="271">
        <v>7.25</v>
      </c>
      <c r="M18" s="498">
        <v>1.5</v>
      </c>
      <c r="N18" s="95">
        <v>6</v>
      </c>
      <c r="O18" s="95">
        <v>7.625</v>
      </c>
      <c r="P18" s="124">
        <v>0.375</v>
      </c>
      <c r="Q18" s="124">
        <v>0.875</v>
      </c>
      <c r="R18" s="124">
        <v>1.125</v>
      </c>
      <c r="S18" s="124">
        <v>1.125</v>
      </c>
      <c r="T18" s="481">
        <v>6.44</v>
      </c>
      <c r="U18" s="124">
        <v>2</v>
      </c>
      <c r="V18" s="124">
        <v>0.5</v>
      </c>
      <c r="W18" s="484">
        <v>0.625</v>
      </c>
      <c r="X18" s="143"/>
      <c r="Y18" s="996"/>
      <c r="Z18" s="996"/>
    </row>
    <row r="19" spans="1:27" ht="15" customHeight="1" x14ac:dyDescent="0.25">
      <c r="A19" s="143"/>
      <c r="B19" s="505">
        <v>16</v>
      </c>
      <c r="C19" s="354" t="s">
        <v>54</v>
      </c>
      <c r="D19" s="453" t="s">
        <v>1480</v>
      </c>
      <c r="E19" s="441">
        <v>2</v>
      </c>
      <c r="F19" s="522">
        <v>1001</v>
      </c>
      <c r="G19" s="193">
        <v>1320</v>
      </c>
      <c r="H19" s="391" t="s">
        <v>1296</v>
      </c>
      <c r="I19" s="485" t="s">
        <v>737</v>
      </c>
      <c r="J19" s="193" t="s">
        <v>469</v>
      </c>
      <c r="K19" s="526">
        <v>927</v>
      </c>
      <c r="L19" s="271">
        <v>7.25</v>
      </c>
      <c r="M19" s="498">
        <v>1.5</v>
      </c>
      <c r="N19" s="95">
        <v>6</v>
      </c>
      <c r="O19" s="95">
        <v>7.625</v>
      </c>
      <c r="P19" s="124">
        <v>0.375</v>
      </c>
      <c r="Q19" s="124">
        <v>0.875</v>
      </c>
      <c r="R19" s="124">
        <v>1.125</v>
      </c>
      <c r="S19" s="124">
        <v>1.125</v>
      </c>
      <c r="T19" s="481">
        <v>6.44</v>
      </c>
      <c r="U19" s="124">
        <v>2</v>
      </c>
      <c r="V19" s="124">
        <v>0.5</v>
      </c>
      <c r="W19" s="484">
        <v>0.625</v>
      </c>
      <c r="X19" s="143"/>
      <c r="Y19" s="996"/>
      <c r="Z19" s="996"/>
    </row>
    <row r="20" spans="1:27" ht="15" customHeight="1" x14ac:dyDescent="0.25">
      <c r="A20" s="195"/>
      <c r="B20" s="505">
        <v>17</v>
      </c>
      <c r="C20" s="354" t="s">
        <v>54</v>
      </c>
      <c r="D20" s="453" t="s">
        <v>1623</v>
      </c>
      <c r="E20" s="441">
        <v>2</v>
      </c>
      <c r="F20" s="522">
        <v>1321</v>
      </c>
      <c r="G20" s="193">
        <v>1435</v>
      </c>
      <c r="H20" s="391" t="s">
        <v>862</v>
      </c>
      <c r="I20" s="485" t="s">
        <v>737</v>
      </c>
      <c r="J20" s="193" t="s">
        <v>192</v>
      </c>
      <c r="K20" s="526">
        <v>1002</v>
      </c>
      <c r="L20" s="271">
        <v>7.25</v>
      </c>
      <c r="M20" s="498">
        <v>1.5</v>
      </c>
      <c r="N20" s="95">
        <v>6</v>
      </c>
      <c r="O20" s="95">
        <v>7.625</v>
      </c>
      <c r="P20" s="124">
        <v>0.375</v>
      </c>
      <c r="Q20" s="124">
        <v>0.875</v>
      </c>
      <c r="R20" s="124">
        <v>1.125</v>
      </c>
      <c r="S20" s="124">
        <v>1.125</v>
      </c>
      <c r="T20" s="481">
        <v>6.44</v>
      </c>
      <c r="U20" s="124">
        <v>2</v>
      </c>
      <c r="V20" s="124">
        <v>0.5</v>
      </c>
      <c r="W20" s="484">
        <v>0.625</v>
      </c>
      <c r="X20" s="195"/>
      <c r="Y20" s="996"/>
      <c r="Z20" s="996"/>
    </row>
    <row r="21" spans="1:27" ht="15" customHeight="1" x14ac:dyDescent="0.25">
      <c r="A21" s="195"/>
      <c r="B21" s="505">
        <v>18</v>
      </c>
      <c r="C21" s="354" t="s">
        <v>54</v>
      </c>
      <c r="D21" s="453" t="s">
        <v>380</v>
      </c>
      <c r="E21" s="441">
        <v>2</v>
      </c>
      <c r="F21" s="522">
        <v>1436</v>
      </c>
      <c r="G21" s="193">
        <v>1640</v>
      </c>
      <c r="H21" s="391" t="s">
        <v>336</v>
      </c>
      <c r="I21" s="485" t="s">
        <v>737</v>
      </c>
      <c r="J21" s="193" t="s">
        <v>1726</v>
      </c>
      <c r="K21" s="526">
        <v>1067</v>
      </c>
      <c r="L21" s="271">
        <v>7.25</v>
      </c>
      <c r="M21" s="498">
        <v>1.5</v>
      </c>
      <c r="N21" s="95">
        <v>6</v>
      </c>
      <c r="O21" s="95">
        <v>7.625</v>
      </c>
      <c r="P21" s="124">
        <v>0.375</v>
      </c>
      <c r="Q21" s="124">
        <v>0.875</v>
      </c>
      <c r="R21" s="124">
        <v>1.125</v>
      </c>
      <c r="S21" s="124">
        <v>1.125</v>
      </c>
      <c r="T21" s="481">
        <v>6.44</v>
      </c>
      <c r="U21" s="124">
        <v>2</v>
      </c>
      <c r="V21" s="124">
        <v>0.5</v>
      </c>
      <c r="W21" s="484">
        <v>0.625</v>
      </c>
      <c r="X21" s="195"/>
      <c r="Y21" s="996"/>
      <c r="Z21" s="996"/>
    </row>
    <row r="22" spans="1:27" ht="15" customHeight="1" thickBot="1" x14ac:dyDescent="0.3">
      <c r="A22" s="195"/>
      <c r="B22" s="804">
        <v>19</v>
      </c>
      <c r="C22" s="415" t="s">
        <v>54</v>
      </c>
      <c r="D22" s="661" t="s">
        <v>2025</v>
      </c>
      <c r="E22" s="507">
        <v>2</v>
      </c>
      <c r="F22" s="446">
        <v>1641</v>
      </c>
      <c r="G22" s="241">
        <v>2050</v>
      </c>
      <c r="H22" s="359" t="s">
        <v>1976</v>
      </c>
      <c r="I22" s="753" t="s">
        <v>1432</v>
      </c>
      <c r="J22" s="241" t="s">
        <v>2096</v>
      </c>
      <c r="K22" s="503">
        <v>1250</v>
      </c>
      <c r="L22" s="267">
        <v>8.125</v>
      </c>
      <c r="M22" s="532">
        <v>1.0629999999999999</v>
      </c>
      <c r="N22" s="76">
        <v>6</v>
      </c>
      <c r="O22" s="76">
        <v>9</v>
      </c>
      <c r="P22" s="76">
        <v>0.375</v>
      </c>
      <c r="Q22" s="76">
        <v>0.875</v>
      </c>
      <c r="R22" s="76">
        <v>1.125</v>
      </c>
      <c r="S22" s="76">
        <v>1.125</v>
      </c>
      <c r="T22" s="475">
        <v>6.44</v>
      </c>
      <c r="U22" s="76">
        <v>2</v>
      </c>
      <c r="V22" s="76">
        <v>0.5</v>
      </c>
      <c r="W22" s="273">
        <v>0.625</v>
      </c>
      <c r="X22" s="195"/>
      <c r="Y22" s="996"/>
      <c r="Z22" s="996"/>
    </row>
    <row r="23" spans="1:27" ht="15"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c r="Y23" s="996"/>
      <c r="Z23" s="996"/>
      <c r="AA23" s="534"/>
    </row>
    <row r="24" spans="1:27" ht="246.75" customHeight="1" x14ac:dyDescent="0.25">
      <c r="A24" s="469"/>
      <c r="B24" s="469"/>
      <c r="I24" s="996"/>
      <c r="J24" s="996"/>
      <c r="K24" s="996"/>
      <c r="L24" s="996"/>
      <c r="M24" s="996"/>
      <c r="N24" s="996"/>
      <c r="O24" s="996"/>
      <c r="Y24" s="996"/>
      <c r="Z24" s="996"/>
    </row>
  </sheetData>
  <mergeCells count="3">
    <mergeCell ref="Y1:Y24"/>
    <mergeCell ref="Z1:Z24"/>
    <mergeCell ref="I24:O24"/>
  </mergeCells>
  <pageMargins left="0.7" right="0.7" top="0.75" bottom="0.75" header="0.3" footer="0.3"/>
  <pageSetup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12"/>
  <sheetViews>
    <sheetView showGridLines="0" zoomScale="85" workbookViewId="0"/>
  </sheetViews>
  <sheetFormatPr defaultRowHeight="12.75" x14ac:dyDescent="0.2"/>
  <cols>
    <col min="1" max="1" width="3" customWidth="1"/>
    <col min="2" max="2" width="14.85546875" customWidth="1"/>
    <col min="3" max="3" width="13.85546875" bestFit="1" customWidth="1"/>
    <col min="4" max="4" width="10.42578125" bestFit="1" customWidth="1"/>
    <col min="5" max="5" width="15.140625" customWidth="1"/>
    <col min="6" max="6" width="11.85546875" bestFit="1" customWidth="1"/>
    <col min="7" max="7" width="10.85546875" customWidth="1"/>
    <col min="8" max="8" width="10.7109375" customWidth="1"/>
    <col min="9" max="9" width="10.85546875" customWidth="1"/>
    <col min="10" max="10" width="12.28515625" customWidth="1"/>
    <col min="11" max="11" width="12.85546875" bestFit="1" customWidth="1"/>
    <col min="12" max="13" width="12.28515625" customWidth="1"/>
    <col min="14" max="15" width="13.5703125" bestFit="1" customWidth="1"/>
    <col min="16" max="16" width="12.28515625" bestFit="1" customWidth="1"/>
    <col min="17" max="17" width="3" customWidth="1"/>
  </cols>
  <sheetData>
    <row r="1" spans="1:17" ht="15.75" thickBot="1" x14ac:dyDescent="0.3">
      <c r="A1" s="143"/>
      <c r="B1" s="143"/>
      <c r="C1" s="13"/>
      <c r="D1" s="13"/>
      <c r="E1" s="13"/>
      <c r="F1" s="13"/>
      <c r="G1" s="13"/>
      <c r="H1" s="13"/>
      <c r="I1" s="13"/>
      <c r="J1" s="13"/>
      <c r="K1" s="13"/>
      <c r="L1" s="13"/>
      <c r="M1" s="13"/>
      <c r="N1" s="13"/>
      <c r="O1" s="13"/>
      <c r="P1" s="13"/>
      <c r="Q1" s="143"/>
    </row>
    <row r="2" spans="1:17" ht="42.75" customHeight="1" thickBot="1" x14ac:dyDescent="0.3">
      <c r="A2" s="143"/>
      <c r="B2" s="497" t="s">
        <v>1151</v>
      </c>
      <c r="C2" s="296" t="s">
        <v>758</v>
      </c>
      <c r="D2" s="272" t="s">
        <v>1018</v>
      </c>
      <c r="E2" s="474" t="s">
        <v>626</v>
      </c>
      <c r="F2" s="496" t="s">
        <v>888</v>
      </c>
      <c r="G2" s="90" t="s">
        <v>2120</v>
      </c>
      <c r="H2" s="90" t="s">
        <v>1320</v>
      </c>
      <c r="I2" s="90" t="s">
        <v>2122</v>
      </c>
      <c r="J2" s="90" t="s">
        <v>1453</v>
      </c>
      <c r="K2" s="90" t="s">
        <v>2104</v>
      </c>
      <c r="L2" s="256" t="s">
        <v>2121</v>
      </c>
      <c r="M2" s="256" t="s">
        <v>2123</v>
      </c>
      <c r="N2" s="256" t="s">
        <v>2008</v>
      </c>
      <c r="O2" s="256" t="s">
        <v>360</v>
      </c>
      <c r="P2" s="256" t="s">
        <v>762</v>
      </c>
      <c r="Q2" s="143"/>
    </row>
    <row r="3" spans="1:17" ht="15.75" customHeight="1" thickBot="1" x14ac:dyDescent="0.3">
      <c r="A3" s="143"/>
      <c r="B3" s="455" t="s">
        <v>1454</v>
      </c>
      <c r="C3" s="207"/>
      <c r="D3" s="314"/>
      <c r="E3" s="222" t="s">
        <v>1170</v>
      </c>
      <c r="F3" s="207"/>
      <c r="G3" s="99" t="s">
        <v>78</v>
      </c>
      <c r="H3" s="99" t="s">
        <v>77</v>
      </c>
      <c r="I3" s="99" t="s">
        <v>79</v>
      </c>
      <c r="J3" s="99" t="s">
        <v>889</v>
      </c>
      <c r="K3" s="99" t="s">
        <v>1171</v>
      </c>
      <c r="L3" s="251" t="s">
        <v>1591</v>
      </c>
      <c r="M3" s="251" t="s">
        <v>2124</v>
      </c>
      <c r="N3" s="251" t="s">
        <v>2007</v>
      </c>
      <c r="O3" s="251" t="s">
        <v>359</v>
      </c>
      <c r="P3" s="222" t="s">
        <v>892</v>
      </c>
      <c r="Q3" s="143"/>
    </row>
    <row r="4" spans="1:17" ht="15.75" customHeight="1" x14ac:dyDescent="0.25">
      <c r="A4" s="143"/>
      <c r="B4" s="801">
        <v>1</v>
      </c>
      <c r="C4" s="489" t="s">
        <v>1772</v>
      </c>
      <c r="D4" s="303">
        <v>1300</v>
      </c>
      <c r="E4" s="512" t="s">
        <v>785</v>
      </c>
      <c r="F4" s="799">
        <v>4.625</v>
      </c>
      <c r="G4" s="478">
        <v>4</v>
      </c>
      <c r="H4" s="114">
        <v>6</v>
      </c>
      <c r="I4" s="114">
        <v>8</v>
      </c>
      <c r="J4" s="114">
        <v>0.5</v>
      </c>
      <c r="K4" s="263">
        <v>0.5</v>
      </c>
      <c r="L4" s="114">
        <v>1.375</v>
      </c>
      <c r="M4" s="263">
        <v>1.25</v>
      </c>
      <c r="N4" s="263">
        <v>0.5</v>
      </c>
      <c r="O4" s="263">
        <v>0.75</v>
      </c>
      <c r="P4" s="484">
        <f t="shared" ref="P4:P5" si="0">16.2*(I4/12)</f>
        <v>10.799999999999999</v>
      </c>
      <c r="Q4" s="143"/>
    </row>
    <row r="5" spans="1:17" ht="15.75" thickBot="1" x14ac:dyDescent="0.3">
      <c r="A5" s="143"/>
      <c r="B5" s="802">
        <v>2</v>
      </c>
      <c r="C5" s="513" t="s">
        <v>1452</v>
      </c>
      <c r="D5" s="346">
        <v>1300</v>
      </c>
      <c r="E5" s="479" t="s">
        <v>759</v>
      </c>
      <c r="F5" s="800">
        <v>7.25</v>
      </c>
      <c r="G5" s="481">
        <v>4</v>
      </c>
      <c r="H5" s="124">
        <v>6</v>
      </c>
      <c r="I5" s="124">
        <v>8</v>
      </c>
      <c r="J5" s="124">
        <v>0.5</v>
      </c>
      <c r="K5" s="269">
        <v>0.5</v>
      </c>
      <c r="L5" s="124">
        <v>2</v>
      </c>
      <c r="M5" s="269">
        <v>1.25</v>
      </c>
      <c r="N5" s="269">
        <v>0.625</v>
      </c>
      <c r="O5" s="269">
        <v>0.875</v>
      </c>
      <c r="P5" s="484">
        <f t="shared" si="0"/>
        <v>10.799999999999999</v>
      </c>
      <c r="Q5" s="143"/>
    </row>
    <row r="6" spans="1:17" ht="15" x14ac:dyDescent="0.25">
      <c r="A6" s="195"/>
      <c r="B6" s="803">
        <v>3</v>
      </c>
      <c r="C6" s="354" t="s">
        <v>2005</v>
      </c>
      <c r="D6" s="193">
        <v>2500</v>
      </c>
      <c r="E6" s="391" t="s">
        <v>1323</v>
      </c>
      <c r="F6" s="524">
        <v>7.25</v>
      </c>
      <c r="G6" s="95">
        <v>4</v>
      </c>
      <c r="H6" s="95">
        <v>6</v>
      </c>
      <c r="I6" s="95">
        <v>8</v>
      </c>
      <c r="J6" s="124">
        <v>0.5</v>
      </c>
      <c r="K6" s="269">
        <v>0.5</v>
      </c>
      <c r="L6" s="124">
        <v>2</v>
      </c>
      <c r="M6" s="269">
        <v>1.25</v>
      </c>
      <c r="N6" s="269">
        <v>0.625</v>
      </c>
      <c r="O6" s="269">
        <v>0.875</v>
      </c>
      <c r="P6" s="421">
        <f>16.2*(I6/12)+1.4</f>
        <v>12.2</v>
      </c>
      <c r="Q6" s="195"/>
    </row>
    <row r="7" spans="1:17" ht="15" x14ac:dyDescent="0.25">
      <c r="A7" s="195"/>
      <c r="B7" s="803">
        <v>4</v>
      </c>
      <c r="C7" s="354" t="s">
        <v>1319</v>
      </c>
      <c r="D7" s="193">
        <v>1300</v>
      </c>
      <c r="E7" s="391" t="s">
        <v>1888</v>
      </c>
      <c r="F7" s="271">
        <v>8.125</v>
      </c>
      <c r="G7" s="95">
        <v>4</v>
      </c>
      <c r="H7" s="95">
        <v>6</v>
      </c>
      <c r="I7" s="95">
        <v>8</v>
      </c>
      <c r="J7" s="95">
        <v>0.5</v>
      </c>
      <c r="K7" s="280">
        <v>0.5</v>
      </c>
      <c r="L7" s="95">
        <v>2.5</v>
      </c>
      <c r="M7" s="280">
        <v>1.25</v>
      </c>
      <c r="N7" s="280">
        <v>0.625</v>
      </c>
      <c r="O7" s="280">
        <v>0.875</v>
      </c>
      <c r="P7" s="421">
        <f>16.2*(I7/12)</f>
        <v>10.799999999999999</v>
      </c>
      <c r="Q7" s="195"/>
    </row>
    <row r="8" spans="1:17" ht="15.75" thickBot="1" x14ac:dyDescent="0.3">
      <c r="A8" s="195"/>
      <c r="B8" s="804">
        <v>5</v>
      </c>
      <c r="C8" s="415" t="s">
        <v>1882</v>
      </c>
      <c r="D8" s="241">
        <v>2500</v>
      </c>
      <c r="E8" s="359" t="s">
        <v>217</v>
      </c>
      <c r="F8" s="267">
        <v>8.125</v>
      </c>
      <c r="G8" s="76">
        <v>4</v>
      </c>
      <c r="H8" s="76">
        <v>6</v>
      </c>
      <c r="I8" s="76">
        <v>8</v>
      </c>
      <c r="J8" s="487">
        <v>0.5</v>
      </c>
      <c r="K8" s="276">
        <v>0.5</v>
      </c>
      <c r="L8" s="487">
        <v>2.5</v>
      </c>
      <c r="M8" s="276">
        <v>1.25</v>
      </c>
      <c r="N8" s="276">
        <v>0.625</v>
      </c>
      <c r="O8" s="276">
        <v>0.875</v>
      </c>
      <c r="P8" s="273">
        <f>16.2*(I8/12)+1.4</f>
        <v>12.2</v>
      </c>
      <c r="Q8" s="195"/>
    </row>
    <row r="9" spans="1:17" ht="15" x14ac:dyDescent="0.25">
      <c r="A9" s="13"/>
      <c r="B9" s="13"/>
      <c r="C9" s="13"/>
      <c r="D9" s="13"/>
      <c r="E9" s="13"/>
      <c r="F9" s="13"/>
      <c r="G9" s="13"/>
      <c r="H9" s="13"/>
      <c r="I9" s="13"/>
      <c r="J9" s="13"/>
      <c r="K9" s="13"/>
      <c r="L9" s="13"/>
      <c r="M9" s="13"/>
      <c r="N9" s="13"/>
      <c r="O9" s="13"/>
      <c r="P9" s="13"/>
      <c r="Q9" s="13"/>
    </row>
    <row r="12" spans="1:17" ht="282" customHeight="1" x14ac:dyDescent="0.2"/>
  </sheetData>
  <pageMargins left="0.7" right="0.7" top="0.75" bottom="0.75" header="0.3" footer="0.3"/>
  <pageSetup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37"/>
  <sheetViews>
    <sheetView zoomScale="85" workbookViewId="0">
      <selection sqref="A1:E1"/>
    </sheetView>
  </sheetViews>
  <sheetFormatPr defaultColWidth="9.140625" defaultRowHeight="12.75" x14ac:dyDescent="0.2"/>
  <cols>
    <col min="1" max="1" width="27.7109375" style="204" bestFit="1" customWidth="1"/>
    <col min="2" max="2" width="13.140625" style="204" bestFit="1" customWidth="1"/>
    <col min="3" max="3" width="7.5703125" style="204" bestFit="1" customWidth="1"/>
    <col min="4" max="4" width="35.140625" style="204" bestFit="1" customWidth="1"/>
    <col min="5" max="5" width="5.7109375" style="204" bestFit="1" customWidth="1"/>
    <col min="6" max="7" width="9.140625" style="204"/>
    <col min="8" max="8" width="23.85546875" style="204" bestFit="1" customWidth="1"/>
    <col min="9" max="9" width="5.7109375" style="204" bestFit="1" customWidth="1"/>
    <col min="10" max="16384" width="9.140625" style="204"/>
  </cols>
  <sheetData>
    <row r="1" spans="1:9" x14ac:dyDescent="0.2">
      <c r="A1" s="997" t="s">
        <v>147</v>
      </c>
      <c r="B1" s="997"/>
      <c r="C1" s="997"/>
      <c r="D1" s="997"/>
      <c r="E1" s="997"/>
    </row>
    <row r="2" spans="1:9" x14ac:dyDescent="0.2">
      <c r="A2" s="244" t="s">
        <v>1255</v>
      </c>
      <c r="B2" s="244"/>
      <c r="C2" s="244"/>
      <c r="D2" s="244" t="s">
        <v>966</v>
      </c>
      <c r="E2" s="244"/>
    </row>
    <row r="3" spans="1:9" x14ac:dyDescent="0.2">
      <c r="A3" s="96" t="s">
        <v>555</v>
      </c>
      <c r="B3" s="96" t="s">
        <v>9</v>
      </c>
      <c r="C3" s="96"/>
      <c r="D3" s="96" t="s">
        <v>555</v>
      </c>
      <c r="E3" s="96" t="s">
        <v>1673</v>
      </c>
    </row>
    <row r="4" spans="1:9" x14ac:dyDescent="0.2">
      <c r="A4" s="96" t="s">
        <v>1099</v>
      </c>
      <c r="B4" s="96" t="s">
        <v>8</v>
      </c>
      <c r="C4" s="96"/>
      <c r="D4" s="96" t="s">
        <v>1099</v>
      </c>
      <c r="E4" s="96" t="s">
        <v>563</v>
      </c>
    </row>
    <row r="5" spans="1:9" x14ac:dyDescent="0.2">
      <c r="A5" s="96" t="s">
        <v>1674</v>
      </c>
      <c r="B5" s="96" t="s">
        <v>1816</v>
      </c>
      <c r="C5" s="96"/>
      <c r="D5" s="451" t="s">
        <v>965</v>
      </c>
      <c r="E5" s="96"/>
    </row>
    <row r="6" spans="1:9" x14ac:dyDescent="0.2">
      <c r="A6" s="96" t="s">
        <v>1405</v>
      </c>
      <c r="B6" s="96" t="s">
        <v>8</v>
      </c>
      <c r="C6" s="96"/>
      <c r="D6" s="96" t="s">
        <v>1674</v>
      </c>
      <c r="E6" s="96" t="s">
        <v>10</v>
      </c>
    </row>
    <row r="7" spans="1:9" x14ac:dyDescent="0.2">
      <c r="A7" s="96" t="s">
        <v>298</v>
      </c>
      <c r="B7" s="96" t="s">
        <v>8</v>
      </c>
      <c r="C7" s="96"/>
      <c r="D7" s="96" t="s">
        <v>1405</v>
      </c>
      <c r="E7" s="96" t="s">
        <v>10</v>
      </c>
    </row>
    <row r="8" spans="1:9" x14ac:dyDescent="0.2">
      <c r="A8" s="96" t="s">
        <v>299</v>
      </c>
      <c r="B8" s="96" t="s">
        <v>6</v>
      </c>
      <c r="C8" s="96"/>
      <c r="D8" s="96" t="s">
        <v>298</v>
      </c>
      <c r="E8" s="96" t="s">
        <v>10</v>
      </c>
    </row>
    <row r="9" spans="1:9" x14ac:dyDescent="0.2">
      <c r="A9" s="96" t="s">
        <v>1672</v>
      </c>
      <c r="B9" s="96" t="s">
        <v>697</v>
      </c>
      <c r="C9" s="96"/>
      <c r="D9" s="680" t="s">
        <v>964</v>
      </c>
      <c r="E9" s="656">
        <v>0.109</v>
      </c>
    </row>
    <row r="10" spans="1:9" x14ac:dyDescent="0.2">
      <c r="A10" s="96" t="s">
        <v>963</v>
      </c>
      <c r="B10" s="96" t="s">
        <v>696</v>
      </c>
      <c r="C10" s="96"/>
      <c r="D10" s="680" t="s">
        <v>11</v>
      </c>
      <c r="E10" s="656">
        <v>0.188</v>
      </c>
      <c r="H10" s="204" t="s">
        <v>12</v>
      </c>
    </row>
    <row r="11" spans="1:9" x14ac:dyDescent="0.2">
      <c r="A11" s="96" t="s">
        <v>562</v>
      </c>
      <c r="B11" s="96" t="s">
        <v>1817</v>
      </c>
      <c r="C11" s="96"/>
      <c r="D11" s="96" t="s">
        <v>1672</v>
      </c>
      <c r="E11" s="96" t="s">
        <v>10</v>
      </c>
      <c r="H11" s="96" t="s">
        <v>240</v>
      </c>
      <c r="I11" s="96" t="str">
        <f>IF('Excel Calcs'!Q18&lt;0.04,E8,IF(AND('Excel Calcs'!Q18&gt;=0.04,'Excel Calcs'!Q18&lt;=0.09),E17,IF('Excel Calcs'!Q18&gt;0.09,E25)))</f>
        <v>0.152</v>
      </c>
    </row>
    <row r="12" spans="1:9" x14ac:dyDescent="0.2">
      <c r="A12" s="96"/>
      <c r="B12" s="96"/>
      <c r="C12" s="96"/>
      <c r="D12" s="96" t="s">
        <v>963</v>
      </c>
      <c r="E12" s="96" t="s">
        <v>10</v>
      </c>
    </row>
    <row r="13" spans="1:9" x14ac:dyDescent="0.2">
      <c r="A13" s="96"/>
      <c r="B13" s="96"/>
      <c r="C13" s="96"/>
      <c r="D13" s="451" t="s">
        <v>962</v>
      </c>
      <c r="E13" s="96"/>
    </row>
    <row r="14" spans="1:9" x14ac:dyDescent="0.2">
      <c r="A14" s="96"/>
      <c r="B14" s="96"/>
      <c r="C14" s="96"/>
      <c r="D14" s="96" t="s">
        <v>1674</v>
      </c>
      <c r="E14" s="96" t="s">
        <v>10</v>
      </c>
    </row>
    <row r="15" spans="1:9" x14ac:dyDescent="0.2">
      <c r="A15" s="96"/>
      <c r="B15" s="96"/>
      <c r="C15" s="96"/>
      <c r="D15" s="96" t="s">
        <v>427</v>
      </c>
      <c r="E15" s="96" t="s">
        <v>1105</v>
      </c>
    </row>
    <row r="16" spans="1:9" x14ac:dyDescent="0.2">
      <c r="A16" s="96"/>
      <c r="B16" s="96"/>
      <c r="C16" s="96"/>
      <c r="D16" s="96" t="s">
        <v>561</v>
      </c>
      <c r="E16" s="96" t="s">
        <v>1673</v>
      </c>
    </row>
    <row r="17" spans="1:5" x14ac:dyDescent="0.2">
      <c r="A17" s="96"/>
      <c r="B17" s="96"/>
      <c r="C17" s="96"/>
      <c r="D17" s="96" t="s">
        <v>298</v>
      </c>
      <c r="E17" s="96" t="s">
        <v>9</v>
      </c>
    </row>
    <row r="18" spans="1:5" x14ac:dyDescent="0.2">
      <c r="A18" s="96"/>
      <c r="B18" s="96"/>
      <c r="C18" s="96"/>
      <c r="D18" s="96" t="s">
        <v>961</v>
      </c>
      <c r="E18" s="96" t="s">
        <v>1816</v>
      </c>
    </row>
    <row r="19" spans="1:5" x14ac:dyDescent="0.2">
      <c r="A19" s="96"/>
      <c r="B19" s="96"/>
      <c r="C19" s="96"/>
      <c r="D19" s="96" t="s">
        <v>146</v>
      </c>
      <c r="E19" s="328">
        <v>0.20300000000000001</v>
      </c>
    </row>
    <row r="20" spans="1:5" x14ac:dyDescent="0.2">
      <c r="A20" s="96"/>
      <c r="B20" s="96"/>
      <c r="C20" s="96"/>
      <c r="D20" s="96" t="s">
        <v>1672</v>
      </c>
      <c r="E20" s="328">
        <v>0.218</v>
      </c>
    </row>
    <row r="21" spans="1:5" x14ac:dyDescent="0.2">
      <c r="A21" s="96"/>
      <c r="B21" s="96"/>
      <c r="C21" s="96"/>
      <c r="D21" s="96" t="s">
        <v>560</v>
      </c>
      <c r="E21" s="96" t="s">
        <v>1254</v>
      </c>
    </row>
    <row r="22" spans="1:5" x14ac:dyDescent="0.2">
      <c r="A22" s="96"/>
      <c r="B22" s="96"/>
      <c r="C22" s="96"/>
      <c r="D22" s="96" t="s">
        <v>5</v>
      </c>
      <c r="E22" s="96" t="s">
        <v>6</v>
      </c>
    </row>
    <row r="23" spans="1:5" x14ac:dyDescent="0.2">
      <c r="A23" s="96"/>
      <c r="B23" s="96"/>
      <c r="C23" s="96"/>
      <c r="D23" s="451" t="s">
        <v>1406</v>
      </c>
      <c r="E23" s="96"/>
    </row>
    <row r="24" spans="1:5" x14ac:dyDescent="0.2">
      <c r="A24" s="96"/>
      <c r="B24" s="96"/>
      <c r="C24" s="96"/>
      <c r="D24" s="96" t="s">
        <v>1405</v>
      </c>
      <c r="E24" s="96" t="s">
        <v>9</v>
      </c>
    </row>
    <row r="25" spans="1:5" x14ac:dyDescent="0.2">
      <c r="A25" s="96"/>
      <c r="B25" s="96"/>
      <c r="C25" s="96"/>
      <c r="D25" s="96" t="s">
        <v>298</v>
      </c>
      <c r="E25" s="96" t="s">
        <v>9</v>
      </c>
    </row>
    <row r="26" spans="1:5" x14ac:dyDescent="0.2">
      <c r="A26" s="96"/>
      <c r="B26" s="96"/>
      <c r="C26" s="96"/>
      <c r="D26" s="96" t="s">
        <v>961</v>
      </c>
      <c r="E26" s="328">
        <v>0.20300000000000001</v>
      </c>
    </row>
    <row r="27" spans="1:5" x14ac:dyDescent="0.2">
      <c r="A27" s="96"/>
      <c r="B27" s="96"/>
      <c r="C27" s="96"/>
      <c r="D27" s="96" t="s">
        <v>146</v>
      </c>
      <c r="E27" s="96" t="s">
        <v>8</v>
      </c>
    </row>
    <row r="28" spans="1:5" x14ac:dyDescent="0.2">
      <c r="A28" s="96"/>
      <c r="B28" s="96"/>
      <c r="C28" s="96"/>
      <c r="D28" s="96" t="s">
        <v>1945</v>
      </c>
      <c r="E28" s="96" t="s">
        <v>7</v>
      </c>
    </row>
    <row r="29" spans="1:5" x14ac:dyDescent="0.2">
      <c r="A29" s="96"/>
      <c r="B29" s="96"/>
      <c r="C29" s="96"/>
      <c r="D29" s="96" t="s">
        <v>1527</v>
      </c>
      <c r="E29" s="328">
        <v>0.28100000000000003</v>
      </c>
    </row>
    <row r="30" spans="1:5" x14ac:dyDescent="0.2">
      <c r="A30" s="96"/>
      <c r="B30" s="96"/>
      <c r="C30" s="96"/>
      <c r="D30" s="96" t="s">
        <v>560</v>
      </c>
      <c r="E30" s="96" t="s">
        <v>6</v>
      </c>
    </row>
    <row r="31" spans="1:5" x14ac:dyDescent="0.2">
      <c r="A31" s="96"/>
      <c r="B31" s="96"/>
      <c r="C31" s="96"/>
      <c r="D31" s="96" t="s">
        <v>5</v>
      </c>
      <c r="E31" s="96" t="s">
        <v>1671</v>
      </c>
    </row>
    <row r="32" spans="1:5" x14ac:dyDescent="0.2">
      <c r="A32" s="998" t="s">
        <v>695</v>
      </c>
      <c r="B32" s="999"/>
      <c r="C32" s="999"/>
      <c r="D32" s="999"/>
      <c r="E32" s="1000"/>
    </row>
    <row r="33" spans="1:3" x14ac:dyDescent="0.2">
      <c r="A33" s="260"/>
      <c r="B33" s="260" t="s">
        <v>1526</v>
      </c>
      <c r="C33" s="260"/>
    </row>
    <row r="34" spans="1:3" x14ac:dyDescent="0.2">
      <c r="A34" s="260" t="s">
        <v>145</v>
      </c>
      <c r="B34" s="260" t="s">
        <v>559</v>
      </c>
      <c r="C34" s="260" t="s">
        <v>1253</v>
      </c>
    </row>
    <row r="35" spans="1:3" x14ac:dyDescent="0.2">
      <c r="A35" s="260" t="s">
        <v>1525</v>
      </c>
      <c r="B35" s="260">
        <v>0.125</v>
      </c>
      <c r="C35" s="260">
        <f t="shared" ref="C35:C37" si="0">B35</f>
        <v>0.125</v>
      </c>
    </row>
    <row r="36" spans="1:3" x14ac:dyDescent="0.2">
      <c r="A36" s="260" t="s">
        <v>1670</v>
      </c>
      <c r="B36" s="260">
        <v>0.188</v>
      </c>
      <c r="C36" s="260">
        <f t="shared" si="0"/>
        <v>0.188</v>
      </c>
    </row>
    <row r="37" spans="1:3" x14ac:dyDescent="0.2">
      <c r="A37" s="260" t="s">
        <v>1104</v>
      </c>
      <c r="B37" s="260">
        <v>0.25</v>
      </c>
      <c r="C37" s="260">
        <f t="shared" si="0"/>
        <v>0.25</v>
      </c>
    </row>
  </sheetData>
  <mergeCells count="2">
    <mergeCell ref="A1:E1"/>
    <mergeCell ref="A32:E32"/>
  </mergeCells>
  <pageMargins left="0.75" right="0.75" top="1" bottom="1" header="0.5" footer="0.5"/>
  <pageSetup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WD141"/>
  <sheetViews>
    <sheetView zoomScale="90" workbookViewId="0">
      <selection activeCell="G14" sqref="G14"/>
    </sheetView>
  </sheetViews>
  <sheetFormatPr defaultColWidth="9.140625" defaultRowHeight="12.75" x14ac:dyDescent="0.2"/>
  <cols>
    <col min="1" max="1" width="18.28515625" style="204" bestFit="1" customWidth="1"/>
    <col min="2" max="3" width="3.28515625" style="204" customWidth="1"/>
    <col min="4" max="4" width="21.42578125" style="631" customWidth="1"/>
    <col min="5" max="5" width="8.7109375" style="204" customWidth="1"/>
    <col min="6" max="7" width="11.85546875" style="244" customWidth="1"/>
    <col min="8" max="8" width="11.85546875" style="612" customWidth="1"/>
    <col min="9" max="10" width="11.85546875" style="244" customWidth="1"/>
    <col min="11" max="11" width="17.140625" style="244" customWidth="1"/>
    <col min="12" max="12" width="52.42578125" style="204" bestFit="1" customWidth="1"/>
    <col min="13" max="13" width="12.42578125" style="204" customWidth="1"/>
    <col min="14" max="14" width="17.140625" style="204" customWidth="1"/>
    <col min="15" max="15" width="13.140625" style="204" bestFit="1" customWidth="1"/>
    <col min="16" max="16" width="11.5703125" style="244" bestFit="1" customWidth="1"/>
    <col min="17" max="17" width="16.5703125" style="204" customWidth="1"/>
    <col min="18" max="18" width="14" style="204" customWidth="1"/>
    <col min="19" max="19" width="19.28515625" style="204" bestFit="1" customWidth="1"/>
    <col min="20" max="20" width="12" style="204" customWidth="1"/>
    <col min="21" max="22" width="3" style="204" customWidth="1"/>
    <col min="23" max="16384" width="9.140625" style="204"/>
  </cols>
  <sheetData>
    <row r="1" spans="1:16150" s="738" customFormat="1" ht="15.75" thickBot="1" x14ac:dyDescent="0.25">
      <c r="A1" s="1001" t="s">
        <v>1256</v>
      </c>
      <c r="B1" s="1002"/>
      <c r="C1" s="1002"/>
      <c r="D1" s="1002"/>
      <c r="E1" s="1002"/>
      <c r="F1" s="1003"/>
      <c r="G1" s="338"/>
      <c r="H1" s="655"/>
      <c r="I1" s="338"/>
      <c r="J1" s="338"/>
      <c r="K1" s="1001" t="s">
        <v>1818</v>
      </c>
      <c r="L1" s="1003"/>
      <c r="M1" s="1001" t="s">
        <v>564</v>
      </c>
      <c r="N1" s="1002"/>
      <c r="O1" s="1002"/>
      <c r="P1" s="1002"/>
      <c r="Q1" s="1002"/>
      <c r="R1" s="1002"/>
      <c r="S1" s="1002"/>
      <c r="T1" s="1003"/>
    </row>
    <row r="2" spans="1:16150" s="738" customFormat="1" ht="15.75" thickBot="1" x14ac:dyDescent="0.25">
      <c r="A2" s="1007" t="s">
        <v>1106</v>
      </c>
      <c r="B2" s="1008"/>
      <c r="C2" s="1008"/>
      <c r="D2" s="1008"/>
      <c r="E2" s="1008"/>
      <c r="F2" s="1008"/>
      <c r="G2" s="1008"/>
      <c r="H2" s="1008"/>
      <c r="I2" s="1008"/>
      <c r="J2" s="1008"/>
      <c r="K2" s="1008"/>
      <c r="L2" s="1009"/>
      <c r="M2" s="1001" t="s">
        <v>829</v>
      </c>
      <c r="N2" s="1002"/>
      <c r="O2" s="1002"/>
      <c r="P2" s="1003"/>
      <c r="Q2" s="1004" t="s">
        <v>337</v>
      </c>
      <c r="R2" s="1005"/>
      <c r="S2" s="1005"/>
      <c r="T2" s="1006"/>
    </row>
    <row r="3" spans="1:16150" s="738" customFormat="1" ht="15.75" thickBot="1" x14ac:dyDescent="0.25">
      <c r="A3" s="1010"/>
      <c r="B3" s="1011"/>
      <c r="C3" s="1011"/>
      <c r="D3" s="1011"/>
      <c r="E3" s="1011"/>
      <c r="F3" s="1011"/>
      <c r="G3" s="1011"/>
      <c r="H3" s="1011"/>
      <c r="I3" s="1011"/>
      <c r="J3" s="1011"/>
      <c r="K3" s="1011"/>
      <c r="L3" s="1012"/>
      <c r="M3" s="1013" t="s">
        <v>863</v>
      </c>
      <c r="N3" s="1002"/>
      <c r="O3" s="1002"/>
      <c r="P3" s="1003"/>
      <c r="Q3" s="1013" t="s">
        <v>1297</v>
      </c>
      <c r="R3" s="1002"/>
      <c r="S3" s="1002"/>
      <c r="T3" s="1003"/>
    </row>
    <row r="4" spans="1:16150" ht="13.5" thickBot="1" x14ac:dyDescent="0.25">
      <c r="M4" s="694"/>
    </row>
    <row r="5" spans="1:16150" ht="21.75" customHeight="1" thickTop="1" thickBot="1" x14ac:dyDescent="0.35">
      <c r="B5" s="793" t="s">
        <v>565</v>
      </c>
      <c r="C5" s="154"/>
      <c r="D5" s="662"/>
      <c r="E5" s="684"/>
      <c r="F5" s="252"/>
      <c r="G5" s="252"/>
      <c r="H5" s="540"/>
      <c r="I5" s="252"/>
      <c r="J5" s="252"/>
      <c r="K5" s="697"/>
      <c r="L5" s="154"/>
      <c r="M5" s="154"/>
      <c r="N5" s="154"/>
      <c r="O5" s="154"/>
      <c r="P5" s="252"/>
      <c r="Q5" s="154"/>
      <c r="R5" s="154"/>
      <c r="S5" s="154"/>
      <c r="T5" s="154"/>
      <c r="U5" s="450"/>
    </row>
    <row r="6" spans="1:16150" s="666" customFormat="1" ht="47.25" customHeight="1" thickTop="1" thickBot="1" x14ac:dyDescent="0.25">
      <c r="B6" s="595"/>
      <c r="C6" s="619"/>
      <c r="D6" s="106" t="s">
        <v>1946</v>
      </c>
      <c r="E6" s="106" t="s">
        <v>967</v>
      </c>
      <c r="F6" s="106" t="s">
        <v>698</v>
      </c>
      <c r="G6" s="106" t="s">
        <v>1528</v>
      </c>
      <c r="H6" s="564" t="s">
        <v>968</v>
      </c>
      <c r="I6" s="106" t="s">
        <v>428</v>
      </c>
      <c r="J6" s="106" t="s">
        <v>1675</v>
      </c>
      <c r="K6" s="106" t="s">
        <v>1676</v>
      </c>
      <c r="L6" s="106" t="s">
        <v>1407</v>
      </c>
      <c r="M6" s="106" t="s">
        <v>300</v>
      </c>
      <c r="N6" s="651" t="s">
        <v>301</v>
      </c>
      <c r="O6" s="106" t="s">
        <v>13</v>
      </c>
      <c r="P6" s="106" t="s">
        <v>302</v>
      </c>
      <c r="Q6" s="106" t="s">
        <v>429</v>
      </c>
      <c r="R6" s="106" t="s">
        <v>14</v>
      </c>
      <c r="S6" s="574" t="s">
        <v>430</v>
      </c>
      <c r="T6" s="789" t="s">
        <v>1677</v>
      </c>
      <c r="U6" s="736"/>
    </row>
    <row r="7" spans="1:16150" s="624" customFormat="1" ht="14.25" thickTop="1" thickBot="1" x14ac:dyDescent="0.25">
      <c r="A7" s="605" t="s">
        <v>1564</v>
      </c>
      <c r="B7" s="741"/>
      <c r="C7" s="785"/>
      <c r="D7" s="105" t="s">
        <v>1565</v>
      </c>
      <c r="E7" s="105" t="s">
        <v>471</v>
      </c>
      <c r="F7" s="105" t="s">
        <v>472</v>
      </c>
      <c r="G7" s="105" t="s">
        <v>1298</v>
      </c>
      <c r="H7" s="105" t="s">
        <v>1438</v>
      </c>
      <c r="I7" s="105" t="s">
        <v>56</v>
      </c>
      <c r="J7" s="105" t="s">
        <v>864</v>
      </c>
      <c r="K7" s="105" t="s">
        <v>57</v>
      </c>
      <c r="L7" s="105" t="s">
        <v>473</v>
      </c>
      <c r="M7" s="105" t="s">
        <v>865</v>
      </c>
      <c r="N7" s="422" t="s">
        <v>612</v>
      </c>
      <c r="O7" s="105" t="s">
        <v>58</v>
      </c>
      <c r="P7" s="105" t="s">
        <v>1977</v>
      </c>
      <c r="Q7" s="105" t="s">
        <v>613</v>
      </c>
      <c r="R7" s="105" t="s">
        <v>474</v>
      </c>
      <c r="S7" s="422" t="s">
        <v>866</v>
      </c>
      <c r="T7" s="422" t="s">
        <v>1978</v>
      </c>
      <c r="U7" s="583"/>
    </row>
    <row r="8" spans="1:16150" s="624" customFormat="1" ht="17.25" thickTop="1" thickBot="1" x14ac:dyDescent="0.25">
      <c r="A8" s="692"/>
      <c r="B8" s="741"/>
      <c r="C8" s="555" t="s">
        <v>475</v>
      </c>
      <c r="D8" s="98"/>
      <c r="E8" s="98"/>
      <c r="F8" s="98"/>
      <c r="G8" s="98"/>
      <c r="H8" s="98"/>
      <c r="I8" s="98"/>
      <c r="J8" s="98"/>
      <c r="K8" s="98"/>
      <c r="L8" s="98"/>
      <c r="M8" s="98"/>
      <c r="N8" s="347"/>
      <c r="O8" s="98"/>
      <c r="P8" s="98"/>
      <c r="Q8" s="98"/>
      <c r="R8" s="98"/>
      <c r="S8" s="347"/>
      <c r="T8" s="347"/>
      <c r="U8" s="583"/>
    </row>
    <row r="9" spans="1:16150" s="624" customFormat="1" ht="13.5" thickTop="1" x14ac:dyDescent="0.2">
      <c r="A9" s="883" t="s">
        <v>2278</v>
      </c>
      <c r="B9" s="884"/>
      <c r="C9" s="885"/>
      <c r="D9" s="886" t="s">
        <v>1837</v>
      </c>
      <c r="E9" s="887">
        <v>3</v>
      </c>
      <c r="F9" s="888">
        <v>0.25</v>
      </c>
      <c r="G9" s="888">
        <v>0.25</v>
      </c>
      <c r="H9" s="888">
        <v>0.25001000000000001</v>
      </c>
      <c r="I9" s="888"/>
      <c r="J9" s="888" t="s">
        <v>16</v>
      </c>
      <c r="K9" s="883" t="s">
        <v>2279</v>
      </c>
      <c r="L9" s="887" t="s">
        <v>1123</v>
      </c>
      <c r="M9" s="888" t="s">
        <v>1411</v>
      </c>
      <c r="N9" s="889" t="s">
        <v>586</v>
      </c>
      <c r="O9" s="888" t="s">
        <v>1819</v>
      </c>
      <c r="P9" s="888" t="s">
        <v>567</v>
      </c>
      <c r="Q9" s="888" t="s">
        <v>716</v>
      </c>
      <c r="R9" s="883" t="s">
        <v>2280</v>
      </c>
      <c r="S9" s="883" t="s">
        <v>1947</v>
      </c>
      <c r="T9" s="890" t="s">
        <v>1947</v>
      </c>
      <c r="U9" s="891"/>
      <c r="V9" s="892"/>
      <c r="W9" s="892"/>
      <c r="X9" s="892"/>
      <c r="Y9" s="892"/>
      <c r="Z9" s="892"/>
      <c r="AA9" s="892"/>
      <c r="AB9" s="892"/>
      <c r="AC9" s="892"/>
      <c r="AD9" s="892"/>
      <c r="AE9" s="892"/>
      <c r="AF9" s="892"/>
      <c r="AG9" s="892"/>
      <c r="AH9" s="892"/>
      <c r="AI9" s="892"/>
      <c r="AJ9" s="892"/>
      <c r="AK9" s="892"/>
      <c r="AL9" s="892"/>
      <c r="AM9" s="892"/>
      <c r="AN9" s="892"/>
      <c r="AO9" s="892"/>
      <c r="AP9" s="892"/>
      <c r="AQ9" s="892"/>
      <c r="AR9" s="892"/>
      <c r="AS9" s="892"/>
      <c r="AT9" s="892"/>
      <c r="AU9" s="892"/>
      <c r="AV9" s="892"/>
      <c r="AW9" s="892"/>
      <c r="AX9" s="892"/>
      <c r="AY9" s="892"/>
      <c r="AZ9" s="892"/>
      <c r="BA9" s="892"/>
      <c r="BB9" s="892"/>
      <c r="BC9" s="892"/>
      <c r="BD9" s="892"/>
      <c r="BE9" s="892"/>
      <c r="BF9" s="892"/>
      <c r="BG9" s="892"/>
      <c r="BH9" s="892"/>
      <c r="BI9" s="892"/>
      <c r="BJ9" s="892"/>
      <c r="BK9" s="892"/>
      <c r="BL9" s="892"/>
      <c r="BM9" s="892"/>
      <c r="BN9" s="892"/>
      <c r="BO9" s="892"/>
      <c r="BP9" s="892"/>
      <c r="BQ9" s="892"/>
      <c r="BR9" s="892"/>
      <c r="BS9" s="892"/>
      <c r="BT9" s="892"/>
      <c r="BU9" s="892"/>
      <c r="BV9" s="892"/>
      <c r="BW9" s="892"/>
      <c r="BX9" s="892"/>
      <c r="BY9" s="892"/>
      <c r="BZ9" s="892"/>
      <c r="CA9" s="892"/>
      <c r="CB9" s="892"/>
      <c r="CC9" s="892"/>
      <c r="CD9" s="892"/>
      <c r="CE9" s="892"/>
      <c r="CF9" s="892"/>
      <c r="CG9" s="892"/>
      <c r="CH9" s="892"/>
      <c r="CI9" s="892"/>
      <c r="CJ9" s="892"/>
      <c r="CK9" s="892"/>
      <c r="CL9" s="892"/>
      <c r="CM9" s="892"/>
      <c r="CN9" s="892"/>
      <c r="CO9" s="892"/>
      <c r="CP9" s="892"/>
      <c r="CQ9" s="892"/>
      <c r="CR9" s="892"/>
      <c r="CS9" s="892"/>
      <c r="CT9" s="892"/>
      <c r="CU9" s="892"/>
      <c r="CV9" s="892"/>
      <c r="CW9" s="892"/>
      <c r="CX9" s="892"/>
      <c r="CY9" s="892"/>
      <c r="CZ9" s="892"/>
      <c r="DA9" s="892"/>
      <c r="DB9" s="892"/>
      <c r="DC9" s="892"/>
      <c r="DD9" s="892"/>
      <c r="DE9" s="892"/>
      <c r="DF9" s="892"/>
      <c r="DG9" s="892"/>
      <c r="DH9" s="892"/>
      <c r="DI9" s="892"/>
      <c r="DJ9" s="892"/>
      <c r="DK9" s="892"/>
      <c r="DL9" s="892"/>
      <c r="DM9" s="892"/>
      <c r="DN9" s="892"/>
      <c r="DO9" s="892"/>
      <c r="DP9" s="892"/>
      <c r="DQ9" s="892"/>
      <c r="DR9" s="892"/>
      <c r="DS9" s="892"/>
      <c r="DT9" s="892"/>
      <c r="DU9" s="892"/>
      <c r="DV9" s="892"/>
      <c r="DW9" s="892"/>
      <c r="DX9" s="892"/>
      <c r="DY9" s="892"/>
      <c r="DZ9" s="892"/>
      <c r="EA9" s="892"/>
      <c r="EB9" s="892"/>
      <c r="EC9" s="892"/>
      <c r="ED9" s="892"/>
      <c r="EE9" s="892"/>
      <c r="EF9" s="892"/>
      <c r="EG9" s="892"/>
      <c r="EH9" s="892"/>
      <c r="EI9" s="892"/>
      <c r="EJ9" s="892"/>
      <c r="EK9" s="892"/>
      <c r="EL9" s="892"/>
      <c r="EM9" s="892"/>
      <c r="EN9" s="892"/>
      <c r="EO9" s="892"/>
      <c r="EP9" s="892"/>
      <c r="EQ9" s="892"/>
      <c r="ER9" s="892"/>
      <c r="ES9" s="892"/>
      <c r="ET9" s="892"/>
      <c r="EU9" s="892"/>
      <c r="EV9" s="892"/>
      <c r="EW9" s="892"/>
      <c r="EX9" s="892"/>
      <c r="EY9" s="892"/>
      <c r="EZ9" s="892"/>
      <c r="FA9" s="892"/>
      <c r="FB9" s="892"/>
      <c r="FC9" s="892"/>
      <c r="FD9" s="892"/>
      <c r="FE9" s="892"/>
      <c r="FF9" s="892"/>
      <c r="FG9" s="892"/>
      <c r="FH9" s="892"/>
      <c r="FI9" s="892"/>
      <c r="FJ9" s="892"/>
      <c r="FK9" s="892"/>
      <c r="FL9" s="892"/>
      <c r="FM9" s="892"/>
      <c r="FN9" s="892"/>
      <c r="FO9" s="892"/>
      <c r="FP9" s="892"/>
      <c r="FQ9" s="892"/>
      <c r="FR9" s="892"/>
      <c r="FS9" s="892"/>
      <c r="FT9" s="892"/>
      <c r="FU9" s="892"/>
      <c r="FV9" s="892"/>
      <c r="FW9" s="892"/>
      <c r="FX9" s="892"/>
      <c r="FY9" s="892"/>
      <c r="FZ9" s="892"/>
      <c r="GA9" s="892"/>
      <c r="GB9" s="892"/>
      <c r="GC9" s="892"/>
      <c r="GD9" s="892"/>
      <c r="GE9" s="892"/>
      <c r="GF9" s="892"/>
      <c r="GG9" s="892"/>
      <c r="GH9" s="892"/>
      <c r="GI9" s="892"/>
      <c r="GJ9" s="892"/>
      <c r="GK9" s="892"/>
      <c r="GL9" s="892"/>
      <c r="GM9" s="892"/>
      <c r="GN9" s="892"/>
      <c r="GO9" s="892"/>
      <c r="GP9" s="892"/>
      <c r="GQ9" s="892"/>
      <c r="GR9" s="892"/>
      <c r="GS9" s="892"/>
      <c r="GT9" s="892"/>
      <c r="GU9" s="892"/>
      <c r="GV9" s="892"/>
      <c r="GW9" s="892"/>
      <c r="GX9" s="892"/>
      <c r="GY9" s="892"/>
      <c r="GZ9" s="892"/>
      <c r="HA9" s="892"/>
      <c r="HB9" s="892"/>
      <c r="HC9" s="892"/>
      <c r="HD9" s="892"/>
      <c r="HE9" s="892"/>
      <c r="HF9" s="892"/>
      <c r="HG9" s="892"/>
      <c r="HH9" s="892"/>
      <c r="HI9" s="892"/>
      <c r="HJ9" s="892"/>
      <c r="HK9" s="892"/>
      <c r="HL9" s="892"/>
      <c r="HM9" s="892"/>
      <c r="HN9" s="892"/>
      <c r="HO9" s="892"/>
      <c r="HP9" s="892"/>
      <c r="HQ9" s="892"/>
      <c r="HR9" s="892"/>
      <c r="HS9" s="892"/>
      <c r="HT9" s="892"/>
      <c r="HU9" s="892"/>
      <c r="HV9" s="892"/>
      <c r="HW9" s="892"/>
      <c r="HX9" s="892"/>
      <c r="HY9" s="892"/>
      <c r="HZ9" s="892"/>
      <c r="IA9" s="892"/>
      <c r="IB9" s="892"/>
      <c r="IC9" s="892"/>
      <c r="ID9" s="892"/>
      <c r="IE9" s="892"/>
      <c r="IF9" s="892"/>
      <c r="IG9" s="892"/>
      <c r="IH9" s="892"/>
      <c r="II9" s="892"/>
      <c r="IJ9" s="892"/>
      <c r="IK9" s="892"/>
      <c r="IL9" s="892"/>
      <c r="IM9" s="892"/>
      <c r="IN9" s="892"/>
      <c r="IO9" s="892"/>
      <c r="IP9" s="892"/>
      <c r="IQ9" s="892"/>
      <c r="IR9" s="892"/>
      <c r="IS9" s="892"/>
      <c r="IT9" s="892"/>
      <c r="IU9" s="892"/>
      <c r="IV9" s="892"/>
      <c r="IW9" s="892"/>
      <c r="IX9" s="892"/>
      <c r="IY9" s="892"/>
      <c r="IZ9" s="892"/>
      <c r="JA9" s="892"/>
      <c r="JB9" s="892"/>
      <c r="JC9" s="892"/>
      <c r="JD9" s="892"/>
      <c r="JE9" s="892"/>
      <c r="JF9" s="892"/>
      <c r="JG9" s="892"/>
      <c r="JH9" s="892"/>
      <c r="JI9" s="892"/>
      <c r="JJ9" s="892"/>
      <c r="JK9" s="892"/>
      <c r="JL9" s="892"/>
      <c r="JM9" s="892"/>
      <c r="JN9" s="892"/>
      <c r="JO9" s="892"/>
      <c r="JP9" s="892"/>
      <c r="JQ9" s="892"/>
      <c r="JR9" s="892"/>
      <c r="JS9" s="892"/>
      <c r="JT9" s="892"/>
      <c r="JU9" s="892"/>
      <c r="JV9" s="892"/>
      <c r="JW9" s="892"/>
      <c r="JX9" s="892"/>
      <c r="JY9" s="892"/>
      <c r="JZ9" s="892"/>
      <c r="KA9" s="892"/>
      <c r="KB9" s="892"/>
      <c r="KC9" s="892"/>
      <c r="KD9" s="892"/>
      <c r="KE9" s="892"/>
      <c r="KF9" s="892"/>
      <c r="KG9" s="892"/>
      <c r="KH9" s="892"/>
      <c r="KI9" s="892"/>
      <c r="KJ9" s="892"/>
      <c r="KK9" s="892"/>
      <c r="KL9" s="892"/>
      <c r="KM9" s="892"/>
      <c r="KN9" s="892"/>
      <c r="KO9" s="892"/>
      <c r="KP9" s="892"/>
      <c r="KQ9" s="892"/>
      <c r="KR9" s="892"/>
      <c r="KS9" s="892"/>
      <c r="KT9" s="892"/>
      <c r="KU9" s="892"/>
      <c r="KV9" s="892"/>
      <c r="KW9" s="892"/>
      <c r="KX9" s="892"/>
      <c r="KY9" s="892"/>
      <c r="KZ9" s="892"/>
      <c r="LA9" s="892"/>
      <c r="LB9" s="892"/>
      <c r="LC9" s="892"/>
      <c r="LD9" s="892"/>
      <c r="LE9" s="892"/>
      <c r="LF9" s="892"/>
      <c r="LG9" s="892"/>
      <c r="LH9" s="892"/>
      <c r="LI9" s="892"/>
      <c r="LJ9" s="892"/>
      <c r="LK9" s="892"/>
      <c r="LL9" s="892"/>
      <c r="LM9" s="892"/>
      <c r="LN9" s="892"/>
      <c r="LO9" s="892"/>
      <c r="LP9" s="892"/>
      <c r="LQ9" s="892"/>
      <c r="LR9" s="892"/>
      <c r="LS9" s="892"/>
      <c r="LT9" s="892"/>
      <c r="LU9" s="892"/>
      <c r="LV9" s="892"/>
      <c r="LW9" s="892"/>
      <c r="LX9" s="892"/>
      <c r="LY9" s="892"/>
      <c r="LZ9" s="892"/>
      <c r="MA9" s="892"/>
      <c r="MB9" s="892"/>
      <c r="MC9" s="892"/>
      <c r="MD9" s="892"/>
      <c r="ME9" s="892"/>
      <c r="MF9" s="892"/>
      <c r="MG9" s="892"/>
      <c r="MH9" s="892"/>
      <c r="MI9" s="892"/>
      <c r="MJ9" s="892"/>
      <c r="MK9" s="892"/>
      <c r="ML9" s="892"/>
      <c r="MM9" s="892"/>
      <c r="MN9" s="892"/>
      <c r="MO9" s="892"/>
      <c r="MP9" s="892"/>
      <c r="MQ9" s="892"/>
      <c r="MR9" s="892"/>
      <c r="MS9" s="892"/>
      <c r="MT9" s="892"/>
      <c r="MU9" s="892"/>
      <c r="MV9" s="892"/>
      <c r="MW9" s="892"/>
      <c r="MX9" s="892"/>
      <c r="MY9" s="892"/>
      <c r="MZ9" s="892"/>
      <c r="NA9" s="892"/>
      <c r="NB9" s="892"/>
      <c r="NC9" s="892"/>
      <c r="ND9" s="892"/>
      <c r="NE9" s="892"/>
      <c r="NF9" s="892"/>
      <c r="NG9" s="892"/>
      <c r="NH9" s="892"/>
      <c r="NI9" s="892"/>
      <c r="NJ9" s="892"/>
      <c r="NK9" s="892"/>
      <c r="NL9" s="892"/>
      <c r="NM9" s="892"/>
      <c r="NN9" s="892"/>
      <c r="NO9" s="892"/>
      <c r="NP9" s="892"/>
      <c r="NQ9" s="892"/>
      <c r="NR9" s="892"/>
      <c r="NS9" s="892"/>
      <c r="NT9" s="892"/>
      <c r="NU9" s="892"/>
      <c r="NV9" s="892"/>
      <c r="NW9" s="892"/>
      <c r="NX9" s="892"/>
      <c r="NY9" s="892"/>
      <c r="NZ9" s="892"/>
      <c r="OA9" s="892"/>
      <c r="OB9" s="892"/>
      <c r="OC9" s="892"/>
      <c r="OD9" s="892"/>
      <c r="OE9" s="892"/>
      <c r="OF9" s="892"/>
      <c r="OG9" s="892"/>
      <c r="OH9" s="892"/>
      <c r="OI9" s="892"/>
      <c r="OJ9" s="892"/>
      <c r="OK9" s="892"/>
      <c r="OL9" s="892"/>
      <c r="OM9" s="892"/>
      <c r="ON9" s="892"/>
      <c r="OO9" s="892"/>
      <c r="OP9" s="892"/>
      <c r="OQ9" s="892"/>
      <c r="OR9" s="892"/>
      <c r="OS9" s="892"/>
      <c r="OT9" s="892"/>
      <c r="OU9" s="892"/>
      <c r="OV9" s="892"/>
      <c r="OW9" s="892"/>
      <c r="OX9" s="892"/>
      <c r="OY9" s="892"/>
      <c r="OZ9" s="892"/>
      <c r="PA9" s="892"/>
      <c r="PB9" s="892"/>
      <c r="PC9" s="892"/>
      <c r="PD9" s="892"/>
      <c r="PE9" s="892"/>
      <c r="PF9" s="892"/>
      <c r="PG9" s="892"/>
      <c r="PH9" s="892"/>
      <c r="PI9" s="892"/>
      <c r="PJ9" s="892"/>
      <c r="PK9" s="892"/>
      <c r="PL9" s="892"/>
      <c r="PM9" s="892"/>
      <c r="PN9" s="892"/>
      <c r="PO9" s="892"/>
      <c r="PP9" s="892"/>
      <c r="PQ9" s="892"/>
      <c r="PR9" s="892"/>
      <c r="PS9" s="892"/>
      <c r="PT9" s="892"/>
      <c r="PU9" s="892"/>
      <c r="PV9" s="892"/>
      <c r="PW9" s="892"/>
      <c r="PX9" s="892"/>
      <c r="PY9" s="892"/>
      <c r="PZ9" s="892"/>
      <c r="QA9" s="892"/>
      <c r="QB9" s="892"/>
      <c r="QC9" s="892"/>
      <c r="QD9" s="892"/>
      <c r="QE9" s="892"/>
      <c r="QF9" s="892"/>
      <c r="QG9" s="892"/>
      <c r="QH9" s="892"/>
      <c r="QI9" s="892"/>
      <c r="QJ9" s="892"/>
      <c r="QK9" s="892"/>
      <c r="QL9" s="892"/>
      <c r="QM9" s="892"/>
      <c r="QN9" s="892"/>
      <c r="QO9" s="892"/>
      <c r="QP9" s="892"/>
      <c r="QQ9" s="892"/>
      <c r="QR9" s="892"/>
      <c r="QS9" s="892"/>
      <c r="QT9" s="892"/>
      <c r="QU9" s="892"/>
      <c r="QV9" s="892"/>
      <c r="QW9" s="892"/>
      <c r="QX9" s="892"/>
      <c r="QY9" s="892"/>
      <c r="QZ9" s="892"/>
      <c r="RA9" s="892"/>
      <c r="RB9" s="892"/>
      <c r="RC9" s="892"/>
      <c r="RD9" s="892"/>
      <c r="RE9" s="892"/>
      <c r="RF9" s="892"/>
      <c r="RG9" s="892"/>
      <c r="RH9" s="892"/>
      <c r="RI9" s="892"/>
      <c r="RJ9" s="892"/>
      <c r="RK9" s="892"/>
      <c r="RL9" s="892"/>
      <c r="RM9" s="892"/>
      <c r="RN9" s="892"/>
      <c r="RO9" s="892"/>
      <c r="RP9" s="892"/>
      <c r="RQ9" s="892"/>
      <c r="RR9" s="892"/>
      <c r="RS9" s="892"/>
      <c r="RT9" s="892"/>
      <c r="RU9" s="892"/>
      <c r="RV9" s="892"/>
      <c r="RW9" s="892"/>
      <c r="RX9" s="892"/>
      <c r="RY9" s="892"/>
      <c r="RZ9" s="892"/>
      <c r="SA9" s="892"/>
      <c r="SB9" s="892"/>
      <c r="SC9" s="892"/>
      <c r="SD9" s="892"/>
      <c r="SE9" s="892"/>
      <c r="SF9" s="892"/>
      <c r="SG9" s="892"/>
      <c r="SH9" s="892"/>
      <c r="SI9" s="892"/>
      <c r="SJ9" s="892"/>
      <c r="SK9" s="892"/>
      <c r="SL9" s="892"/>
      <c r="SM9" s="892"/>
      <c r="SN9" s="892"/>
      <c r="SO9" s="892"/>
      <c r="SP9" s="892"/>
      <c r="SQ9" s="892"/>
      <c r="SR9" s="892"/>
      <c r="SS9" s="892"/>
      <c r="ST9" s="892"/>
      <c r="SU9" s="892"/>
      <c r="SV9" s="892"/>
      <c r="SW9" s="892"/>
      <c r="SX9" s="892"/>
      <c r="SY9" s="892"/>
      <c r="SZ9" s="892"/>
      <c r="TA9" s="892"/>
      <c r="TB9" s="892"/>
      <c r="TC9" s="892"/>
      <c r="TD9" s="892"/>
      <c r="TE9" s="892"/>
      <c r="TF9" s="892"/>
      <c r="TG9" s="892"/>
      <c r="TH9" s="892"/>
      <c r="TI9" s="892"/>
      <c r="TJ9" s="892"/>
      <c r="TK9" s="892"/>
      <c r="TL9" s="892"/>
      <c r="TM9" s="892"/>
      <c r="TN9" s="892"/>
      <c r="TO9" s="892"/>
      <c r="TP9" s="892"/>
      <c r="TQ9" s="892"/>
      <c r="TR9" s="892"/>
      <c r="TS9" s="892"/>
      <c r="TT9" s="892"/>
      <c r="TU9" s="892"/>
      <c r="TV9" s="892"/>
      <c r="TW9" s="892"/>
      <c r="TX9" s="892"/>
      <c r="TY9" s="892"/>
      <c r="TZ9" s="892"/>
      <c r="UA9" s="892"/>
      <c r="UB9" s="892"/>
      <c r="UC9" s="892"/>
      <c r="UD9" s="892"/>
      <c r="UE9" s="892"/>
      <c r="UF9" s="892"/>
      <c r="UG9" s="892"/>
      <c r="UH9" s="892"/>
      <c r="UI9" s="892"/>
      <c r="UJ9" s="892"/>
      <c r="UK9" s="892"/>
      <c r="UL9" s="892"/>
      <c r="UM9" s="892"/>
      <c r="UN9" s="892"/>
      <c r="UO9" s="892"/>
      <c r="UP9" s="892"/>
      <c r="UQ9" s="892"/>
      <c r="UR9" s="892"/>
      <c r="US9" s="892"/>
      <c r="UT9" s="892"/>
      <c r="UU9" s="892"/>
      <c r="UV9" s="892"/>
      <c r="UW9" s="892"/>
      <c r="UX9" s="892"/>
      <c r="UY9" s="892"/>
      <c r="UZ9" s="892"/>
      <c r="VA9" s="892"/>
      <c r="VB9" s="892"/>
      <c r="VC9" s="892"/>
      <c r="VD9" s="892"/>
      <c r="VE9" s="892"/>
      <c r="VF9" s="892"/>
      <c r="VG9" s="892"/>
      <c r="VH9" s="892"/>
      <c r="VI9" s="892"/>
      <c r="VJ9" s="892"/>
      <c r="VK9" s="892"/>
      <c r="VL9" s="892"/>
      <c r="VM9" s="892"/>
      <c r="VN9" s="892"/>
      <c r="VO9" s="892"/>
      <c r="VP9" s="892"/>
      <c r="VQ9" s="892"/>
      <c r="VR9" s="892"/>
      <c r="VS9" s="892"/>
      <c r="VT9" s="892"/>
      <c r="VU9" s="892"/>
      <c r="VV9" s="892"/>
      <c r="VW9" s="892"/>
      <c r="VX9" s="892"/>
      <c r="VY9" s="892"/>
      <c r="VZ9" s="892"/>
      <c r="WA9" s="892"/>
      <c r="WB9" s="892"/>
      <c r="WC9" s="892"/>
      <c r="WD9" s="892"/>
      <c r="WE9" s="892"/>
      <c r="WF9" s="892"/>
      <c r="WG9" s="892"/>
      <c r="WH9" s="892"/>
      <c r="WI9" s="892"/>
      <c r="WJ9" s="892"/>
      <c r="WK9" s="892"/>
      <c r="WL9" s="892"/>
      <c r="WM9" s="892"/>
      <c r="WN9" s="892"/>
      <c r="WO9" s="892"/>
      <c r="WP9" s="892"/>
      <c r="WQ9" s="892"/>
      <c r="WR9" s="892"/>
      <c r="WS9" s="892"/>
      <c r="WT9" s="892"/>
      <c r="WU9" s="892"/>
      <c r="WV9" s="892"/>
      <c r="WW9" s="892"/>
      <c r="WX9" s="892"/>
      <c r="WY9" s="892"/>
      <c r="WZ9" s="892"/>
      <c r="XA9" s="892"/>
      <c r="XB9" s="892"/>
      <c r="XC9" s="892"/>
      <c r="XD9" s="892"/>
      <c r="XE9" s="892"/>
      <c r="XF9" s="892"/>
      <c r="XG9" s="892"/>
      <c r="XH9" s="892"/>
      <c r="XI9" s="892"/>
      <c r="XJ9" s="892"/>
      <c r="XK9" s="892"/>
      <c r="XL9" s="892"/>
      <c r="XM9" s="892"/>
      <c r="XN9" s="892"/>
      <c r="XO9" s="892"/>
      <c r="XP9" s="892"/>
      <c r="XQ9" s="892"/>
      <c r="XR9" s="892"/>
      <c r="XS9" s="892"/>
      <c r="XT9" s="892"/>
      <c r="XU9" s="892"/>
      <c r="XV9" s="892"/>
      <c r="XW9" s="892"/>
      <c r="XX9" s="892"/>
      <c r="XY9" s="892"/>
      <c r="XZ9" s="892"/>
      <c r="YA9" s="892"/>
      <c r="YB9" s="892"/>
      <c r="YC9" s="892"/>
      <c r="YD9" s="892"/>
      <c r="YE9" s="892"/>
      <c r="YF9" s="892"/>
      <c r="YG9" s="892"/>
      <c r="YH9" s="892"/>
      <c r="YI9" s="892"/>
      <c r="YJ9" s="892"/>
      <c r="YK9" s="892"/>
      <c r="YL9" s="892"/>
      <c r="YM9" s="892"/>
      <c r="YN9" s="892"/>
      <c r="YO9" s="892"/>
      <c r="YP9" s="892"/>
      <c r="YQ9" s="892"/>
      <c r="YR9" s="892"/>
      <c r="YS9" s="892"/>
      <c r="YT9" s="892"/>
      <c r="YU9" s="892"/>
      <c r="YV9" s="892"/>
      <c r="YW9" s="892"/>
      <c r="YX9" s="892"/>
      <c r="YY9" s="892"/>
      <c r="YZ9" s="892"/>
      <c r="ZA9" s="892"/>
      <c r="ZB9" s="892"/>
      <c r="ZC9" s="892"/>
      <c r="ZD9" s="892"/>
      <c r="ZE9" s="892"/>
      <c r="ZF9" s="892"/>
      <c r="ZG9" s="892"/>
      <c r="ZH9" s="892"/>
      <c r="ZI9" s="892"/>
      <c r="ZJ9" s="892"/>
      <c r="ZK9" s="892"/>
      <c r="ZL9" s="892"/>
      <c r="ZM9" s="892"/>
      <c r="ZN9" s="892"/>
      <c r="ZO9" s="892"/>
      <c r="ZP9" s="892"/>
      <c r="ZQ9" s="892"/>
      <c r="ZR9" s="892"/>
      <c r="ZS9" s="892"/>
      <c r="ZT9" s="892"/>
      <c r="ZU9" s="892"/>
      <c r="ZV9" s="892"/>
      <c r="ZW9" s="892"/>
      <c r="ZX9" s="892"/>
      <c r="ZY9" s="892"/>
      <c r="ZZ9" s="892"/>
      <c r="AAA9" s="892"/>
      <c r="AAB9" s="892"/>
      <c r="AAC9" s="892"/>
      <c r="AAD9" s="892"/>
      <c r="AAE9" s="892"/>
      <c r="AAF9" s="892"/>
      <c r="AAG9" s="892"/>
      <c r="AAH9" s="892"/>
      <c r="AAI9" s="892"/>
      <c r="AAJ9" s="892"/>
      <c r="AAK9" s="892"/>
      <c r="AAL9" s="892"/>
      <c r="AAM9" s="892"/>
      <c r="AAN9" s="892"/>
      <c r="AAO9" s="892"/>
      <c r="AAP9" s="892"/>
      <c r="AAQ9" s="892"/>
      <c r="AAR9" s="892"/>
      <c r="AAS9" s="892"/>
      <c r="AAT9" s="892"/>
      <c r="AAU9" s="892"/>
      <c r="AAV9" s="892"/>
      <c r="AAW9" s="892"/>
      <c r="AAX9" s="892"/>
      <c r="AAY9" s="892"/>
      <c r="AAZ9" s="892"/>
      <c r="ABA9" s="892"/>
      <c r="ABB9" s="892"/>
      <c r="ABC9" s="892"/>
      <c r="ABD9" s="892"/>
      <c r="ABE9" s="892"/>
      <c r="ABF9" s="892"/>
      <c r="ABG9" s="892"/>
      <c r="ABH9" s="892"/>
      <c r="ABI9" s="892"/>
      <c r="ABJ9" s="892"/>
      <c r="ABK9" s="892"/>
      <c r="ABL9" s="892"/>
      <c r="ABM9" s="892"/>
      <c r="ABN9" s="892"/>
      <c r="ABO9" s="892"/>
      <c r="ABP9" s="892"/>
      <c r="ABQ9" s="892"/>
      <c r="ABR9" s="892"/>
      <c r="ABS9" s="892"/>
      <c r="ABT9" s="892"/>
      <c r="ABU9" s="892"/>
      <c r="ABV9" s="892"/>
      <c r="ABW9" s="892"/>
      <c r="ABX9" s="892"/>
      <c r="ABY9" s="892"/>
      <c r="ABZ9" s="892"/>
      <c r="ACA9" s="892"/>
      <c r="ACB9" s="892"/>
      <c r="ACC9" s="892"/>
      <c r="ACD9" s="892"/>
      <c r="ACE9" s="892"/>
      <c r="ACF9" s="892"/>
      <c r="ACG9" s="892"/>
      <c r="ACH9" s="892"/>
      <c r="ACI9" s="892"/>
      <c r="ACJ9" s="892"/>
      <c r="ACK9" s="892"/>
      <c r="ACL9" s="892"/>
      <c r="ACM9" s="892"/>
      <c r="ACN9" s="892"/>
      <c r="ACO9" s="892"/>
      <c r="ACP9" s="892"/>
      <c r="ACQ9" s="892"/>
      <c r="ACR9" s="892"/>
      <c r="ACS9" s="892"/>
      <c r="ACT9" s="892"/>
      <c r="ACU9" s="892"/>
      <c r="ACV9" s="892"/>
      <c r="ACW9" s="892"/>
      <c r="ACX9" s="892"/>
      <c r="ACY9" s="892"/>
      <c r="ACZ9" s="892"/>
      <c r="ADA9" s="892"/>
      <c r="ADB9" s="892"/>
      <c r="ADC9" s="892"/>
      <c r="ADD9" s="892"/>
      <c r="ADE9" s="892"/>
      <c r="ADF9" s="892"/>
      <c r="ADG9" s="892"/>
      <c r="ADH9" s="892"/>
      <c r="ADI9" s="892"/>
      <c r="ADJ9" s="892"/>
      <c r="ADK9" s="892"/>
      <c r="ADL9" s="892"/>
      <c r="ADM9" s="892"/>
      <c r="ADN9" s="892"/>
      <c r="ADO9" s="892"/>
      <c r="ADP9" s="892"/>
      <c r="ADQ9" s="892"/>
      <c r="ADR9" s="892"/>
      <c r="ADS9" s="892"/>
      <c r="ADT9" s="892"/>
      <c r="ADU9" s="892"/>
      <c r="ADV9" s="892"/>
      <c r="ADW9" s="892"/>
      <c r="ADX9" s="892"/>
      <c r="ADY9" s="892"/>
      <c r="ADZ9" s="892"/>
      <c r="AEA9" s="892"/>
      <c r="AEB9" s="892"/>
      <c r="AEC9" s="892"/>
      <c r="AED9" s="892"/>
      <c r="AEE9" s="892"/>
      <c r="AEF9" s="892"/>
      <c r="AEG9" s="892"/>
      <c r="AEH9" s="892"/>
      <c r="AEI9" s="892"/>
      <c r="AEJ9" s="892"/>
      <c r="AEK9" s="892"/>
      <c r="AEL9" s="892"/>
      <c r="AEM9" s="892"/>
      <c r="AEN9" s="892"/>
      <c r="AEO9" s="892"/>
      <c r="AEP9" s="892"/>
      <c r="AEQ9" s="892"/>
      <c r="AER9" s="892"/>
      <c r="AES9" s="892"/>
      <c r="AET9" s="892"/>
      <c r="AEU9" s="892"/>
      <c r="AEV9" s="892"/>
      <c r="AEW9" s="892"/>
      <c r="AEX9" s="892"/>
      <c r="AEY9" s="892"/>
      <c r="AEZ9" s="892"/>
      <c r="AFA9" s="892"/>
      <c r="AFB9" s="892"/>
      <c r="AFC9" s="892"/>
      <c r="AFD9" s="892"/>
      <c r="AFE9" s="892"/>
      <c r="AFF9" s="892"/>
      <c r="AFG9" s="892"/>
      <c r="AFH9" s="892"/>
      <c r="AFI9" s="892"/>
      <c r="AFJ9" s="892"/>
      <c r="AFK9" s="892"/>
      <c r="AFL9" s="892"/>
      <c r="AFM9" s="892"/>
      <c r="AFN9" s="892"/>
      <c r="AFO9" s="892"/>
      <c r="AFP9" s="892"/>
      <c r="AFQ9" s="892"/>
      <c r="AFR9" s="892"/>
      <c r="AFS9" s="892"/>
      <c r="AFT9" s="892"/>
      <c r="AFU9" s="892"/>
      <c r="AFV9" s="892"/>
      <c r="AFW9" s="892"/>
      <c r="AFX9" s="892"/>
      <c r="AFY9" s="892"/>
      <c r="AFZ9" s="892"/>
      <c r="AGA9" s="892"/>
      <c r="AGB9" s="892"/>
      <c r="AGC9" s="892"/>
      <c r="AGD9" s="892"/>
      <c r="AGE9" s="892"/>
      <c r="AGF9" s="892"/>
      <c r="AGG9" s="892"/>
      <c r="AGH9" s="892"/>
      <c r="AGI9" s="892"/>
      <c r="AGJ9" s="892"/>
      <c r="AGK9" s="892"/>
      <c r="AGL9" s="892"/>
      <c r="AGM9" s="892"/>
      <c r="AGN9" s="892"/>
      <c r="AGO9" s="892"/>
      <c r="AGP9" s="892"/>
      <c r="AGQ9" s="892"/>
      <c r="AGR9" s="892"/>
      <c r="AGS9" s="892"/>
      <c r="AGT9" s="892"/>
      <c r="AGU9" s="892"/>
      <c r="AGV9" s="892"/>
      <c r="AGW9" s="892"/>
      <c r="AGX9" s="892"/>
      <c r="AGY9" s="892"/>
      <c r="AGZ9" s="892"/>
      <c r="AHA9" s="892"/>
      <c r="AHB9" s="892"/>
      <c r="AHC9" s="892"/>
      <c r="AHD9" s="892"/>
      <c r="AHE9" s="892"/>
      <c r="AHF9" s="892"/>
      <c r="AHG9" s="892"/>
      <c r="AHH9" s="892"/>
      <c r="AHI9" s="892"/>
      <c r="AHJ9" s="892"/>
      <c r="AHK9" s="892"/>
      <c r="AHL9" s="892"/>
      <c r="AHM9" s="892"/>
      <c r="AHN9" s="892"/>
      <c r="AHO9" s="892"/>
      <c r="AHP9" s="892"/>
      <c r="AHQ9" s="892"/>
      <c r="AHR9" s="892"/>
      <c r="AHS9" s="892"/>
      <c r="AHT9" s="892"/>
      <c r="AHU9" s="892"/>
      <c r="AHV9" s="892"/>
      <c r="AHW9" s="892"/>
      <c r="AHX9" s="892"/>
      <c r="AHY9" s="892"/>
      <c r="AHZ9" s="892"/>
      <c r="AIA9" s="892"/>
      <c r="AIB9" s="892"/>
      <c r="AIC9" s="892"/>
      <c r="AID9" s="892"/>
      <c r="AIE9" s="892"/>
      <c r="AIF9" s="892"/>
      <c r="AIG9" s="892"/>
      <c r="AIH9" s="892"/>
      <c r="AII9" s="892"/>
      <c r="AIJ9" s="892"/>
      <c r="AIK9" s="892"/>
      <c r="AIL9" s="892"/>
      <c r="AIM9" s="892"/>
      <c r="AIN9" s="892"/>
      <c r="AIO9" s="892"/>
      <c r="AIP9" s="892"/>
      <c r="AIQ9" s="892"/>
      <c r="AIR9" s="892"/>
      <c r="AIS9" s="892"/>
      <c r="AIT9" s="892"/>
      <c r="AIU9" s="892"/>
      <c r="AIV9" s="892"/>
      <c r="AIW9" s="892"/>
      <c r="AIX9" s="892"/>
      <c r="AIY9" s="892"/>
      <c r="AIZ9" s="892"/>
      <c r="AJA9" s="892"/>
      <c r="AJB9" s="892"/>
      <c r="AJC9" s="892"/>
      <c r="AJD9" s="892"/>
      <c r="AJE9" s="892"/>
      <c r="AJF9" s="892"/>
      <c r="AJG9" s="892"/>
      <c r="AJH9" s="892"/>
      <c r="AJI9" s="892"/>
      <c r="AJJ9" s="892"/>
      <c r="AJK9" s="892"/>
      <c r="AJL9" s="892"/>
      <c r="AJM9" s="892"/>
      <c r="AJN9" s="892"/>
      <c r="AJO9" s="892"/>
      <c r="AJP9" s="892"/>
      <c r="AJQ9" s="892"/>
      <c r="AJR9" s="892"/>
      <c r="AJS9" s="892"/>
      <c r="AJT9" s="892"/>
      <c r="AJU9" s="892"/>
      <c r="AJV9" s="892"/>
      <c r="AJW9" s="892"/>
      <c r="AJX9" s="892"/>
      <c r="AJY9" s="892"/>
      <c r="AJZ9" s="892"/>
      <c r="AKA9" s="892"/>
      <c r="AKB9" s="892"/>
      <c r="AKC9" s="892"/>
      <c r="AKD9" s="892"/>
      <c r="AKE9" s="892"/>
      <c r="AKF9" s="892"/>
      <c r="AKG9" s="892"/>
      <c r="AKH9" s="892"/>
      <c r="AKI9" s="892"/>
      <c r="AKJ9" s="892"/>
      <c r="AKK9" s="892"/>
      <c r="AKL9" s="892"/>
      <c r="AKM9" s="892"/>
      <c r="AKN9" s="892"/>
      <c r="AKO9" s="892"/>
      <c r="AKP9" s="892"/>
      <c r="AKQ9" s="892"/>
      <c r="AKR9" s="892"/>
      <c r="AKS9" s="892"/>
      <c r="AKT9" s="892"/>
      <c r="AKU9" s="892"/>
      <c r="AKV9" s="892"/>
      <c r="AKW9" s="892"/>
      <c r="AKX9" s="892"/>
      <c r="AKY9" s="892"/>
      <c r="AKZ9" s="892"/>
      <c r="ALA9" s="892"/>
      <c r="ALB9" s="892"/>
      <c r="ALC9" s="892"/>
      <c r="ALD9" s="892"/>
      <c r="ALE9" s="892"/>
      <c r="ALF9" s="892"/>
      <c r="ALG9" s="892"/>
      <c r="ALH9" s="892"/>
      <c r="ALI9" s="892"/>
      <c r="ALJ9" s="892"/>
      <c r="ALK9" s="892"/>
      <c r="ALL9" s="892"/>
      <c r="ALM9" s="892"/>
      <c r="ALN9" s="892"/>
      <c r="ALO9" s="892"/>
      <c r="ALP9" s="892"/>
      <c r="ALQ9" s="892"/>
      <c r="ALR9" s="892"/>
      <c r="ALS9" s="892"/>
      <c r="ALT9" s="892"/>
      <c r="ALU9" s="892"/>
      <c r="ALV9" s="892"/>
      <c r="ALW9" s="892"/>
      <c r="ALX9" s="892"/>
      <c r="ALY9" s="892"/>
      <c r="ALZ9" s="892"/>
      <c r="AMA9" s="892"/>
      <c r="AMB9" s="892"/>
      <c r="AMC9" s="892"/>
      <c r="AMD9" s="892"/>
      <c r="AME9" s="892"/>
      <c r="AMF9" s="892"/>
      <c r="AMG9" s="892"/>
      <c r="AMH9" s="892"/>
      <c r="AMI9" s="892"/>
      <c r="AMJ9" s="892"/>
      <c r="AMK9" s="892"/>
      <c r="AML9" s="892"/>
      <c r="AMM9" s="892"/>
      <c r="AMN9" s="892"/>
      <c r="AMO9" s="892"/>
      <c r="AMP9" s="892"/>
      <c r="AMQ9" s="892"/>
      <c r="AMR9" s="892"/>
      <c r="AMS9" s="892"/>
      <c r="AMT9" s="892"/>
      <c r="AMU9" s="892"/>
      <c r="AMV9" s="892"/>
      <c r="AMW9" s="892"/>
      <c r="AMX9" s="892"/>
      <c r="AMY9" s="892"/>
      <c r="AMZ9" s="892"/>
      <c r="ANA9" s="892"/>
      <c r="ANB9" s="892"/>
      <c r="ANC9" s="892"/>
      <c r="AND9" s="892"/>
      <c r="ANE9" s="892"/>
      <c r="ANF9" s="892"/>
      <c r="ANG9" s="892"/>
      <c r="ANH9" s="892"/>
      <c r="ANI9" s="892"/>
      <c r="ANJ9" s="892"/>
      <c r="ANK9" s="892"/>
      <c r="ANL9" s="892"/>
      <c r="ANM9" s="892"/>
      <c r="ANN9" s="892"/>
      <c r="ANO9" s="892"/>
      <c r="ANP9" s="892"/>
      <c r="ANQ9" s="892"/>
      <c r="ANR9" s="892"/>
      <c r="ANS9" s="892"/>
      <c r="ANT9" s="892"/>
      <c r="ANU9" s="892"/>
      <c r="ANV9" s="892"/>
      <c r="ANW9" s="892"/>
      <c r="ANX9" s="892"/>
      <c r="ANY9" s="892"/>
      <c r="ANZ9" s="892"/>
      <c r="AOA9" s="892"/>
      <c r="AOB9" s="892"/>
      <c r="AOC9" s="892"/>
      <c r="AOD9" s="892"/>
      <c r="AOE9" s="892"/>
      <c r="AOF9" s="892"/>
      <c r="AOG9" s="892"/>
      <c r="AOH9" s="892"/>
      <c r="AOI9" s="892"/>
      <c r="AOJ9" s="892"/>
      <c r="AOK9" s="892"/>
      <c r="AOL9" s="892"/>
      <c r="AOM9" s="892"/>
      <c r="AON9" s="892"/>
      <c r="AOO9" s="892"/>
      <c r="AOP9" s="892"/>
      <c r="AOQ9" s="892"/>
      <c r="AOR9" s="892"/>
      <c r="AOS9" s="892"/>
      <c r="AOT9" s="892"/>
      <c r="AOU9" s="892"/>
      <c r="AOV9" s="892"/>
      <c r="AOW9" s="892"/>
      <c r="AOX9" s="892"/>
      <c r="AOY9" s="892"/>
      <c r="AOZ9" s="892"/>
      <c r="APA9" s="892"/>
      <c r="APB9" s="892"/>
      <c r="APC9" s="892"/>
      <c r="APD9" s="892"/>
      <c r="APE9" s="892"/>
      <c r="APF9" s="892"/>
      <c r="APG9" s="892"/>
      <c r="APH9" s="892"/>
      <c r="API9" s="892"/>
      <c r="APJ9" s="892"/>
      <c r="APK9" s="892"/>
      <c r="APL9" s="892"/>
      <c r="APM9" s="892"/>
      <c r="APN9" s="892"/>
      <c r="APO9" s="892"/>
      <c r="APP9" s="892"/>
      <c r="APQ9" s="892"/>
      <c r="APR9" s="892"/>
      <c r="APS9" s="892"/>
      <c r="APT9" s="892"/>
      <c r="APU9" s="892"/>
      <c r="APV9" s="892"/>
      <c r="APW9" s="892"/>
      <c r="APX9" s="892"/>
      <c r="APY9" s="892"/>
      <c r="APZ9" s="892"/>
      <c r="AQA9" s="892"/>
      <c r="AQB9" s="892"/>
      <c r="AQC9" s="892"/>
      <c r="AQD9" s="892"/>
      <c r="AQE9" s="892"/>
      <c r="AQF9" s="892"/>
      <c r="AQG9" s="892"/>
      <c r="AQH9" s="892"/>
      <c r="AQI9" s="892"/>
      <c r="AQJ9" s="892"/>
      <c r="AQK9" s="892"/>
      <c r="AQL9" s="892"/>
      <c r="AQM9" s="892"/>
      <c r="AQN9" s="892"/>
      <c r="AQO9" s="892"/>
      <c r="AQP9" s="892"/>
      <c r="AQQ9" s="892"/>
      <c r="AQR9" s="892"/>
      <c r="AQS9" s="892"/>
      <c r="AQT9" s="892"/>
      <c r="AQU9" s="892"/>
      <c r="AQV9" s="892"/>
      <c r="AQW9" s="892"/>
      <c r="AQX9" s="892"/>
      <c r="AQY9" s="892"/>
      <c r="AQZ9" s="892"/>
      <c r="ARA9" s="892"/>
      <c r="ARB9" s="892"/>
      <c r="ARC9" s="892"/>
      <c r="ARD9" s="892"/>
      <c r="ARE9" s="892"/>
      <c r="ARF9" s="892"/>
      <c r="ARG9" s="892"/>
      <c r="ARH9" s="892"/>
      <c r="ARI9" s="892"/>
      <c r="ARJ9" s="892"/>
      <c r="ARK9" s="892"/>
      <c r="ARL9" s="892"/>
      <c r="ARM9" s="892"/>
      <c r="ARN9" s="892"/>
      <c r="ARO9" s="892"/>
      <c r="ARP9" s="892"/>
      <c r="ARQ9" s="892"/>
      <c r="ARR9" s="892"/>
      <c r="ARS9" s="892"/>
      <c r="ART9" s="892"/>
      <c r="ARU9" s="892"/>
      <c r="ARV9" s="892"/>
      <c r="ARW9" s="892"/>
      <c r="ARX9" s="892"/>
      <c r="ARY9" s="892"/>
      <c r="ARZ9" s="892"/>
      <c r="ASA9" s="892"/>
      <c r="ASB9" s="892"/>
      <c r="ASC9" s="892"/>
      <c r="ASD9" s="892"/>
      <c r="ASE9" s="892"/>
      <c r="ASF9" s="892"/>
      <c r="ASG9" s="892"/>
      <c r="ASH9" s="892"/>
      <c r="ASI9" s="892"/>
      <c r="ASJ9" s="892"/>
      <c r="ASK9" s="892"/>
      <c r="ASL9" s="892"/>
      <c r="ASM9" s="892"/>
      <c r="ASN9" s="892"/>
      <c r="ASO9" s="892"/>
      <c r="ASP9" s="892"/>
      <c r="ASQ9" s="892"/>
      <c r="ASR9" s="892"/>
      <c r="ASS9" s="892"/>
      <c r="AST9" s="892"/>
      <c r="ASU9" s="892"/>
      <c r="ASV9" s="892"/>
      <c r="ASW9" s="892"/>
      <c r="ASX9" s="892"/>
      <c r="ASY9" s="892"/>
      <c r="ASZ9" s="892"/>
      <c r="ATA9" s="892"/>
      <c r="ATB9" s="892"/>
      <c r="ATC9" s="892"/>
      <c r="ATD9" s="892"/>
      <c r="ATE9" s="892"/>
      <c r="ATF9" s="892"/>
      <c r="ATG9" s="892"/>
      <c r="ATH9" s="892"/>
      <c r="ATI9" s="892"/>
      <c r="ATJ9" s="892"/>
      <c r="ATK9" s="892"/>
      <c r="ATL9" s="892"/>
      <c r="ATM9" s="892"/>
      <c r="ATN9" s="892"/>
      <c r="ATO9" s="892"/>
      <c r="ATP9" s="892"/>
      <c r="ATQ9" s="892"/>
      <c r="ATR9" s="892"/>
      <c r="ATS9" s="892"/>
      <c r="ATT9" s="892"/>
      <c r="ATU9" s="892"/>
      <c r="ATV9" s="892"/>
      <c r="ATW9" s="892"/>
      <c r="ATX9" s="892"/>
      <c r="ATY9" s="892"/>
      <c r="ATZ9" s="892"/>
      <c r="AUA9" s="892"/>
      <c r="AUB9" s="892"/>
      <c r="AUC9" s="892"/>
      <c r="AUD9" s="892"/>
      <c r="AUE9" s="892"/>
      <c r="AUF9" s="892"/>
      <c r="AUG9" s="892"/>
      <c r="AUH9" s="892"/>
      <c r="AUI9" s="892"/>
      <c r="AUJ9" s="892"/>
      <c r="AUK9" s="892"/>
      <c r="AUL9" s="892"/>
      <c r="AUM9" s="892"/>
      <c r="AUN9" s="892"/>
      <c r="AUO9" s="892"/>
      <c r="AUP9" s="892"/>
      <c r="AUQ9" s="892"/>
      <c r="AUR9" s="892"/>
      <c r="AUS9" s="892"/>
      <c r="AUT9" s="892"/>
      <c r="AUU9" s="892"/>
      <c r="AUV9" s="892"/>
      <c r="AUW9" s="892"/>
      <c r="AUX9" s="892"/>
      <c r="AUY9" s="892"/>
      <c r="AUZ9" s="892"/>
      <c r="AVA9" s="892"/>
      <c r="AVB9" s="892"/>
      <c r="AVC9" s="892"/>
      <c r="AVD9" s="892"/>
      <c r="AVE9" s="892"/>
      <c r="AVF9" s="892"/>
      <c r="AVG9" s="892"/>
      <c r="AVH9" s="892"/>
      <c r="AVI9" s="892"/>
      <c r="AVJ9" s="892"/>
      <c r="AVK9" s="892"/>
      <c r="AVL9" s="892"/>
      <c r="AVM9" s="892"/>
      <c r="AVN9" s="892"/>
      <c r="AVO9" s="892"/>
      <c r="AVP9" s="892"/>
      <c r="AVQ9" s="892"/>
      <c r="AVR9" s="892"/>
      <c r="AVS9" s="892"/>
      <c r="AVT9" s="892"/>
      <c r="AVU9" s="892"/>
      <c r="AVV9" s="892"/>
      <c r="AVW9" s="892"/>
      <c r="AVX9" s="892"/>
      <c r="AVY9" s="892"/>
      <c r="AVZ9" s="892"/>
      <c r="AWA9" s="892"/>
      <c r="AWB9" s="892"/>
      <c r="AWC9" s="892"/>
      <c r="AWD9" s="892"/>
      <c r="AWE9" s="892"/>
      <c r="AWF9" s="892"/>
      <c r="AWG9" s="892"/>
      <c r="AWH9" s="892"/>
      <c r="AWI9" s="892"/>
      <c r="AWJ9" s="892"/>
      <c r="AWK9" s="892"/>
      <c r="AWL9" s="892"/>
      <c r="AWM9" s="892"/>
      <c r="AWN9" s="892"/>
      <c r="AWO9" s="892"/>
      <c r="AWP9" s="892"/>
      <c r="AWQ9" s="892"/>
      <c r="AWR9" s="892"/>
      <c r="AWS9" s="892"/>
      <c r="AWT9" s="892"/>
      <c r="AWU9" s="892"/>
      <c r="AWV9" s="892"/>
      <c r="AWW9" s="892"/>
      <c r="AWX9" s="892"/>
      <c r="AWY9" s="892"/>
      <c r="AWZ9" s="892"/>
      <c r="AXA9" s="892"/>
      <c r="AXB9" s="892"/>
      <c r="AXC9" s="892"/>
      <c r="AXD9" s="892"/>
      <c r="AXE9" s="892"/>
      <c r="AXF9" s="892"/>
      <c r="AXG9" s="892"/>
      <c r="AXH9" s="892"/>
      <c r="AXI9" s="892"/>
      <c r="AXJ9" s="892"/>
      <c r="AXK9" s="892"/>
      <c r="AXL9" s="892"/>
      <c r="AXM9" s="892"/>
      <c r="AXN9" s="892"/>
      <c r="AXO9" s="892"/>
      <c r="AXP9" s="892"/>
      <c r="AXQ9" s="892"/>
      <c r="AXR9" s="892"/>
      <c r="AXS9" s="892"/>
      <c r="AXT9" s="892"/>
      <c r="AXU9" s="892"/>
      <c r="AXV9" s="892"/>
      <c r="AXW9" s="892"/>
      <c r="AXX9" s="892"/>
      <c r="AXY9" s="892"/>
      <c r="AXZ9" s="892"/>
      <c r="AYA9" s="892"/>
      <c r="AYB9" s="892"/>
      <c r="AYC9" s="892"/>
      <c r="AYD9" s="892"/>
      <c r="AYE9" s="892"/>
      <c r="AYF9" s="892"/>
      <c r="AYG9" s="892"/>
      <c r="AYH9" s="892"/>
      <c r="AYI9" s="892"/>
      <c r="AYJ9" s="892"/>
      <c r="AYK9" s="892"/>
      <c r="AYL9" s="892"/>
      <c r="AYM9" s="892"/>
      <c r="AYN9" s="892"/>
      <c r="AYO9" s="892"/>
      <c r="AYP9" s="892"/>
      <c r="AYQ9" s="892"/>
      <c r="AYR9" s="892"/>
      <c r="AYS9" s="892"/>
      <c r="AYT9" s="892"/>
      <c r="AYU9" s="892"/>
      <c r="AYV9" s="892"/>
      <c r="AYW9" s="892"/>
      <c r="AYX9" s="892"/>
      <c r="AYY9" s="892"/>
      <c r="AYZ9" s="892"/>
      <c r="AZA9" s="892"/>
      <c r="AZB9" s="892"/>
      <c r="AZC9" s="892"/>
      <c r="AZD9" s="892"/>
      <c r="AZE9" s="892"/>
      <c r="AZF9" s="892"/>
      <c r="AZG9" s="892"/>
      <c r="AZH9" s="892"/>
      <c r="AZI9" s="892"/>
      <c r="AZJ9" s="892"/>
      <c r="AZK9" s="892"/>
      <c r="AZL9" s="892"/>
      <c r="AZM9" s="892"/>
      <c r="AZN9" s="892"/>
      <c r="AZO9" s="892"/>
      <c r="AZP9" s="892"/>
      <c r="AZQ9" s="892"/>
      <c r="AZR9" s="892"/>
      <c r="AZS9" s="892"/>
      <c r="AZT9" s="892"/>
      <c r="AZU9" s="892"/>
      <c r="AZV9" s="892"/>
      <c r="AZW9" s="892"/>
      <c r="AZX9" s="892"/>
      <c r="AZY9" s="892"/>
      <c r="AZZ9" s="892"/>
      <c r="BAA9" s="892"/>
      <c r="BAB9" s="892"/>
      <c r="BAC9" s="892"/>
      <c r="BAD9" s="892"/>
      <c r="BAE9" s="892"/>
      <c r="BAF9" s="892"/>
      <c r="BAG9" s="892"/>
      <c r="BAH9" s="892"/>
      <c r="BAI9" s="892"/>
      <c r="BAJ9" s="892"/>
      <c r="BAK9" s="892"/>
      <c r="BAL9" s="892"/>
      <c r="BAM9" s="892"/>
      <c r="BAN9" s="892"/>
      <c r="BAO9" s="892"/>
      <c r="BAP9" s="892"/>
      <c r="BAQ9" s="892"/>
      <c r="BAR9" s="892"/>
      <c r="BAS9" s="892"/>
      <c r="BAT9" s="892"/>
      <c r="BAU9" s="892"/>
      <c r="BAV9" s="892"/>
      <c r="BAW9" s="892"/>
      <c r="BAX9" s="892"/>
      <c r="BAY9" s="892"/>
      <c r="BAZ9" s="892"/>
      <c r="BBA9" s="892"/>
      <c r="BBB9" s="892"/>
      <c r="BBC9" s="892"/>
      <c r="BBD9" s="892"/>
      <c r="BBE9" s="892"/>
      <c r="BBF9" s="892"/>
      <c r="BBG9" s="892"/>
      <c r="BBH9" s="892"/>
      <c r="BBI9" s="892"/>
      <c r="BBJ9" s="892"/>
      <c r="BBK9" s="892"/>
      <c r="BBL9" s="892"/>
      <c r="BBM9" s="892"/>
      <c r="BBN9" s="892"/>
      <c r="BBO9" s="892"/>
      <c r="BBP9" s="892"/>
      <c r="BBQ9" s="892"/>
      <c r="BBR9" s="892"/>
      <c r="BBS9" s="892"/>
      <c r="BBT9" s="892"/>
      <c r="BBU9" s="892"/>
      <c r="BBV9" s="892"/>
      <c r="BBW9" s="892"/>
      <c r="BBX9" s="892"/>
      <c r="BBY9" s="892"/>
      <c r="BBZ9" s="892"/>
      <c r="BCA9" s="892"/>
      <c r="BCB9" s="892"/>
      <c r="BCC9" s="892"/>
      <c r="BCD9" s="892"/>
      <c r="BCE9" s="892"/>
      <c r="BCF9" s="892"/>
      <c r="BCG9" s="892"/>
      <c r="BCH9" s="892"/>
      <c r="BCI9" s="892"/>
      <c r="BCJ9" s="892"/>
      <c r="BCK9" s="892"/>
      <c r="BCL9" s="892"/>
      <c r="BCM9" s="892"/>
      <c r="BCN9" s="892"/>
      <c r="BCO9" s="892"/>
      <c r="BCP9" s="892"/>
      <c r="BCQ9" s="892"/>
      <c r="BCR9" s="892"/>
      <c r="BCS9" s="892"/>
      <c r="BCT9" s="892"/>
      <c r="BCU9" s="892"/>
      <c r="BCV9" s="892"/>
      <c r="BCW9" s="892"/>
      <c r="BCX9" s="892"/>
      <c r="BCY9" s="892"/>
      <c r="BCZ9" s="892"/>
      <c r="BDA9" s="892"/>
      <c r="BDB9" s="892"/>
      <c r="BDC9" s="892"/>
      <c r="BDD9" s="892"/>
      <c r="BDE9" s="892"/>
      <c r="BDF9" s="892"/>
      <c r="BDG9" s="892"/>
      <c r="BDH9" s="892"/>
      <c r="BDI9" s="892"/>
      <c r="BDJ9" s="892"/>
      <c r="BDK9" s="892"/>
      <c r="BDL9" s="892"/>
      <c r="BDM9" s="892"/>
      <c r="BDN9" s="892"/>
      <c r="BDO9" s="892"/>
      <c r="BDP9" s="892"/>
      <c r="BDQ9" s="892"/>
      <c r="BDR9" s="892"/>
      <c r="BDS9" s="892"/>
      <c r="BDT9" s="892"/>
      <c r="BDU9" s="892"/>
      <c r="BDV9" s="892"/>
      <c r="BDW9" s="892"/>
      <c r="BDX9" s="892"/>
      <c r="BDY9" s="892"/>
      <c r="BDZ9" s="892"/>
      <c r="BEA9" s="892"/>
      <c r="BEB9" s="892"/>
      <c r="BEC9" s="892"/>
      <c r="BED9" s="892"/>
      <c r="BEE9" s="892"/>
      <c r="BEF9" s="892"/>
      <c r="BEG9" s="892"/>
      <c r="BEH9" s="892"/>
      <c r="BEI9" s="892"/>
      <c r="BEJ9" s="892"/>
      <c r="BEK9" s="892"/>
      <c r="BEL9" s="892"/>
      <c r="BEM9" s="892"/>
      <c r="BEN9" s="892"/>
      <c r="BEO9" s="892"/>
      <c r="BEP9" s="892"/>
      <c r="BEQ9" s="892"/>
      <c r="BER9" s="892"/>
      <c r="BES9" s="892"/>
      <c r="BET9" s="892"/>
      <c r="BEU9" s="892"/>
      <c r="BEV9" s="892"/>
      <c r="BEW9" s="892"/>
      <c r="BEX9" s="892"/>
      <c r="BEY9" s="892"/>
      <c r="BEZ9" s="892"/>
      <c r="BFA9" s="892"/>
      <c r="BFB9" s="892"/>
      <c r="BFC9" s="892"/>
      <c r="BFD9" s="892"/>
      <c r="BFE9" s="892"/>
      <c r="BFF9" s="892"/>
      <c r="BFG9" s="892"/>
      <c r="BFH9" s="892"/>
      <c r="BFI9" s="892"/>
      <c r="BFJ9" s="892"/>
      <c r="BFK9" s="892"/>
      <c r="BFL9" s="892"/>
      <c r="BFM9" s="892"/>
      <c r="BFN9" s="892"/>
      <c r="BFO9" s="892"/>
      <c r="BFP9" s="892"/>
      <c r="BFQ9" s="892"/>
      <c r="BFR9" s="892"/>
      <c r="BFS9" s="892"/>
      <c r="BFT9" s="892"/>
      <c r="BFU9" s="892"/>
      <c r="BFV9" s="892"/>
      <c r="BFW9" s="892"/>
      <c r="BFX9" s="892"/>
      <c r="BFY9" s="892"/>
      <c r="BFZ9" s="892"/>
      <c r="BGA9" s="892"/>
      <c r="BGB9" s="892"/>
      <c r="BGC9" s="892"/>
      <c r="BGD9" s="892"/>
      <c r="BGE9" s="892"/>
      <c r="BGF9" s="892"/>
      <c r="BGG9" s="892"/>
      <c r="BGH9" s="892"/>
      <c r="BGI9" s="892"/>
      <c r="BGJ9" s="892"/>
      <c r="BGK9" s="892"/>
      <c r="BGL9" s="892"/>
      <c r="BGM9" s="892"/>
      <c r="BGN9" s="892"/>
      <c r="BGO9" s="892"/>
      <c r="BGP9" s="892"/>
      <c r="BGQ9" s="892"/>
      <c r="BGR9" s="892"/>
      <c r="BGS9" s="892"/>
      <c r="BGT9" s="892"/>
      <c r="BGU9" s="892"/>
      <c r="BGV9" s="892"/>
      <c r="BGW9" s="892"/>
      <c r="BGX9" s="892"/>
      <c r="BGY9" s="892"/>
      <c r="BGZ9" s="892"/>
      <c r="BHA9" s="892"/>
      <c r="BHB9" s="892"/>
      <c r="BHC9" s="892"/>
      <c r="BHD9" s="892"/>
      <c r="BHE9" s="892"/>
      <c r="BHF9" s="892"/>
      <c r="BHG9" s="892"/>
      <c r="BHH9" s="892"/>
      <c r="BHI9" s="892"/>
      <c r="BHJ9" s="892"/>
      <c r="BHK9" s="892"/>
      <c r="BHL9" s="892"/>
      <c r="BHM9" s="892"/>
      <c r="BHN9" s="892"/>
      <c r="BHO9" s="892"/>
      <c r="BHP9" s="892"/>
      <c r="BHQ9" s="892"/>
      <c r="BHR9" s="892"/>
      <c r="BHS9" s="892"/>
      <c r="BHT9" s="892"/>
      <c r="BHU9" s="892"/>
      <c r="BHV9" s="892"/>
      <c r="BHW9" s="892"/>
      <c r="BHX9" s="892"/>
      <c r="BHY9" s="892"/>
      <c r="BHZ9" s="892"/>
      <c r="BIA9" s="892"/>
      <c r="BIB9" s="892"/>
      <c r="BIC9" s="892"/>
      <c r="BID9" s="892"/>
      <c r="BIE9" s="892"/>
      <c r="BIF9" s="892"/>
      <c r="BIG9" s="892"/>
      <c r="BIH9" s="892"/>
      <c r="BII9" s="892"/>
      <c r="BIJ9" s="892"/>
      <c r="BIK9" s="892"/>
      <c r="BIL9" s="892"/>
      <c r="BIM9" s="892"/>
      <c r="BIN9" s="892"/>
      <c r="BIO9" s="892"/>
      <c r="BIP9" s="892"/>
      <c r="BIQ9" s="892"/>
      <c r="BIR9" s="892"/>
      <c r="BIS9" s="892"/>
      <c r="BIT9" s="892"/>
      <c r="BIU9" s="892"/>
      <c r="BIV9" s="892"/>
      <c r="BIW9" s="892"/>
      <c r="BIX9" s="892"/>
      <c r="BIY9" s="892"/>
      <c r="BIZ9" s="892"/>
      <c r="BJA9" s="892"/>
      <c r="BJB9" s="892"/>
      <c r="BJC9" s="892"/>
      <c r="BJD9" s="892"/>
      <c r="BJE9" s="892"/>
      <c r="BJF9" s="892"/>
      <c r="BJG9" s="892"/>
      <c r="BJH9" s="892"/>
      <c r="BJI9" s="892"/>
      <c r="BJJ9" s="892"/>
      <c r="BJK9" s="892"/>
      <c r="BJL9" s="892"/>
      <c r="BJM9" s="892"/>
      <c r="BJN9" s="892"/>
      <c r="BJO9" s="892"/>
      <c r="BJP9" s="892"/>
      <c r="BJQ9" s="892"/>
      <c r="BJR9" s="892"/>
      <c r="BJS9" s="892"/>
      <c r="BJT9" s="892"/>
      <c r="BJU9" s="892"/>
      <c r="BJV9" s="892"/>
      <c r="BJW9" s="892"/>
      <c r="BJX9" s="892"/>
      <c r="BJY9" s="892"/>
      <c r="BJZ9" s="892"/>
      <c r="BKA9" s="892"/>
      <c r="BKB9" s="892"/>
      <c r="BKC9" s="892"/>
      <c r="BKD9" s="892"/>
      <c r="BKE9" s="892"/>
      <c r="BKF9" s="892"/>
      <c r="BKG9" s="892"/>
      <c r="BKH9" s="892"/>
      <c r="BKI9" s="892"/>
      <c r="BKJ9" s="892"/>
      <c r="BKK9" s="892"/>
      <c r="BKL9" s="892"/>
      <c r="BKM9" s="892"/>
      <c r="BKN9" s="892"/>
      <c r="BKO9" s="892"/>
      <c r="BKP9" s="892"/>
      <c r="BKQ9" s="892"/>
      <c r="BKR9" s="892"/>
      <c r="BKS9" s="892"/>
      <c r="BKT9" s="892"/>
      <c r="BKU9" s="892"/>
      <c r="BKV9" s="892"/>
      <c r="BKW9" s="892"/>
      <c r="BKX9" s="892"/>
      <c r="BKY9" s="892"/>
      <c r="BKZ9" s="892"/>
      <c r="BLA9" s="892"/>
      <c r="BLB9" s="892"/>
      <c r="BLC9" s="892"/>
      <c r="BLD9" s="892"/>
      <c r="BLE9" s="892"/>
      <c r="BLF9" s="892"/>
      <c r="BLG9" s="892"/>
      <c r="BLH9" s="892"/>
      <c r="BLI9" s="892"/>
      <c r="BLJ9" s="892"/>
      <c r="BLK9" s="892"/>
      <c r="BLL9" s="892"/>
      <c r="BLM9" s="892"/>
      <c r="BLN9" s="892"/>
      <c r="BLO9" s="892"/>
      <c r="BLP9" s="892"/>
      <c r="BLQ9" s="892"/>
      <c r="BLR9" s="892"/>
      <c r="BLS9" s="892"/>
      <c r="BLT9" s="892"/>
      <c r="BLU9" s="892"/>
      <c r="BLV9" s="892"/>
      <c r="BLW9" s="892"/>
      <c r="BLX9" s="892"/>
      <c r="BLY9" s="892"/>
      <c r="BLZ9" s="892"/>
      <c r="BMA9" s="892"/>
      <c r="BMB9" s="892"/>
      <c r="BMC9" s="892"/>
      <c r="BMD9" s="892"/>
      <c r="BME9" s="892"/>
      <c r="BMF9" s="892"/>
      <c r="BMG9" s="892"/>
      <c r="BMH9" s="892"/>
      <c r="BMI9" s="892"/>
      <c r="BMJ9" s="892"/>
      <c r="BMK9" s="892"/>
      <c r="BML9" s="892"/>
      <c r="BMM9" s="892"/>
      <c r="BMN9" s="892"/>
      <c r="BMO9" s="892"/>
      <c r="BMP9" s="892"/>
      <c r="BMQ9" s="892"/>
      <c r="BMR9" s="892"/>
      <c r="BMS9" s="892"/>
      <c r="BMT9" s="892"/>
      <c r="BMU9" s="892"/>
      <c r="BMV9" s="892"/>
      <c r="BMW9" s="892"/>
      <c r="BMX9" s="892"/>
      <c r="BMY9" s="892"/>
      <c r="BMZ9" s="892"/>
      <c r="BNA9" s="892"/>
      <c r="BNB9" s="892"/>
      <c r="BNC9" s="892"/>
      <c r="BND9" s="892"/>
      <c r="BNE9" s="892"/>
      <c r="BNF9" s="892"/>
      <c r="BNG9" s="892"/>
      <c r="BNH9" s="892"/>
      <c r="BNI9" s="892"/>
      <c r="BNJ9" s="892"/>
      <c r="BNK9" s="892"/>
      <c r="BNL9" s="892"/>
      <c r="BNM9" s="892"/>
      <c r="BNN9" s="892"/>
      <c r="BNO9" s="892"/>
      <c r="BNP9" s="892"/>
      <c r="BNQ9" s="892"/>
      <c r="BNR9" s="892"/>
      <c r="BNS9" s="892"/>
      <c r="BNT9" s="892"/>
      <c r="BNU9" s="892"/>
      <c r="BNV9" s="892"/>
      <c r="BNW9" s="892"/>
      <c r="BNX9" s="892"/>
      <c r="BNY9" s="892"/>
      <c r="BNZ9" s="892"/>
      <c r="BOA9" s="892"/>
      <c r="BOB9" s="892"/>
      <c r="BOC9" s="892"/>
      <c r="BOD9" s="892"/>
      <c r="BOE9" s="892"/>
      <c r="BOF9" s="892"/>
      <c r="BOG9" s="892"/>
      <c r="BOH9" s="892"/>
      <c r="BOI9" s="892"/>
      <c r="BOJ9" s="892"/>
      <c r="BOK9" s="892"/>
      <c r="BOL9" s="892"/>
      <c r="BOM9" s="892"/>
      <c r="BON9" s="892"/>
      <c r="BOO9" s="892"/>
      <c r="BOP9" s="892"/>
      <c r="BOQ9" s="892"/>
      <c r="BOR9" s="892"/>
      <c r="BOS9" s="892"/>
      <c r="BOT9" s="892"/>
      <c r="BOU9" s="892"/>
      <c r="BOV9" s="892"/>
      <c r="BOW9" s="892"/>
      <c r="BOX9" s="892"/>
      <c r="BOY9" s="892"/>
      <c r="BOZ9" s="892"/>
      <c r="BPA9" s="892"/>
      <c r="BPB9" s="892"/>
      <c r="BPC9" s="892"/>
      <c r="BPD9" s="892"/>
      <c r="BPE9" s="892"/>
      <c r="BPF9" s="892"/>
      <c r="BPG9" s="892"/>
      <c r="BPH9" s="892"/>
      <c r="BPI9" s="892"/>
      <c r="BPJ9" s="892"/>
      <c r="BPK9" s="892"/>
      <c r="BPL9" s="892"/>
      <c r="BPM9" s="892"/>
      <c r="BPN9" s="892"/>
      <c r="BPO9" s="892"/>
      <c r="BPP9" s="892"/>
      <c r="BPQ9" s="892"/>
      <c r="BPR9" s="892"/>
      <c r="BPS9" s="892"/>
      <c r="BPT9" s="892"/>
      <c r="BPU9" s="892"/>
      <c r="BPV9" s="892"/>
      <c r="BPW9" s="892"/>
      <c r="BPX9" s="892"/>
      <c r="BPY9" s="892"/>
      <c r="BPZ9" s="892"/>
      <c r="BQA9" s="892"/>
      <c r="BQB9" s="892"/>
      <c r="BQC9" s="892"/>
      <c r="BQD9" s="892"/>
      <c r="BQE9" s="892"/>
      <c r="BQF9" s="892"/>
      <c r="BQG9" s="892"/>
      <c r="BQH9" s="892"/>
      <c r="BQI9" s="892"/>
      <c r="BQJ9" s="892"/>
      <c r="BQK9" s="892"/>
      <c r="BQL9" s="892"/>
      <c r="BQM9" s="892"/>
      <c r="BQN9" s="892"/>
      <c r="BQO9" s="892"/>
      <c r="BQP9" s="892"/>
      <c r="BQQ9" s="892"/>
      <c r="BQR9" s="892"/>
      <c r="BQS9" s="892"/>
      <c r="BQT9" s="892"/>
      <c r="BQU9" s="892"/>
      <c r="BQV9" s="892"/>
      <c r="BQW9" s="892"/>
      <c r="BQX9" s="892"/>
      <c r="BQY9" s="892"/>
      <c r="BQZ9" s="892"/>
      <c r="BRA9" s="892"/>
      <c r="BRB9" s="892"/>
      <c r="BRC9" s="892"/>
      <c r="BRD9" s="892"/>
      <c r="BRE9" s="892"/>
      <c r="BRF9" s="892"/>
      <c r="BRG9" s="892"/>
      <c r="BRH9" s="892"/>
      <c r="BRI9" s="892"/>
      <c r="BRJ9" s="892"/>
      <c r="BRK9" s="892"/>
      <c r="BRL9" s="892"/>
      <c r="BRM9" s="892"/>
      <c r="BRN9" s="892"/>
      <c r="BRO9" s="892"/>
      <c r="BRP9" s="892"/>
      <c r="BRQ9" s="892"/>
      <c r="BRR9" s="892"/>
      <c r="BRS9" s="892"/>
      <c r="BRT9" s="892"/>
      <c r="BRU9" s="892"/>
      <c r="BRV9" s="892"/>
      <c r="BRW9" s="892"/>
      <c r="BRX9" s="892"/>
      <c r="BRY9" s="892"/>
      <c r="BRZ9" s="892"/>
      <c r="BSA9" s="892"/>
      <c r="BSB9" s="892"/>
      <c r="BSC9" s="892"/>
      <c r="BSD9" s="892"/>
      <c r="BSE9" s="892"/>
      <c r="BSF9" s="892"/>
      <c r="BSG9" s="892"/>
      <c r="BSH9" s="892"/>
      <c r="BSI9" s="892"/>
      <c r="BSJ9" s="892"/>
      <c r="BSK9" s="892"/>
      <c r="BSL9" s="892"/>
      <c r="BSM9" s="892"/>
      <c r="BSN9" s="892"/>
      <c r="BSO9" s="892"/>
      <c r="BSP9" s="892"/>
      <c r="BSQ9" s="892"/>
      <c r="BSR9" s="892"/>
      <c r="BSS9" s="892"/>
      <c r="BST9" s="892"/>
      <c r="BSU9" s="892"/>
      <c r="BSV9" s="892"/>
      <c r="BSW9" s="892"/>
      <c r="BSX9" s="892"/>
      <c r="BSY9" s="892"/>
      <c r="BSZ9" s="892"/>
      <c r="BTA9" s="892"/>
      <c r="BTB9" s="892"/>
      <c r="BTC9" s="892"/>
      <c r="BTD9" s="892"/>
      <c r="BTE9" s="892"/>
      <c r="BTF9" s="892"/>
      <c r="BTG9" s="892"/>
      <c r="BTH9" s="892"/>
      <c r="BTI9" s="892"/>
      <c r="BTJ9" s="892"/>
      <c r="BTK9" s="892"/>
      <c r="BTL9" s="892"/>
      <c r="BTM9" s="892"/>
      <c r="BTN9" s="892"/>
      <c r="BTO9" s="892"/>
      <c r="BTP9" s="892"/>
      <c r="BTQ9" s="892"/>
      <c r="BTR9" s="892"/>
      <c r="BTS9" s="892"/>
      <c r="BTT9" s="892"/>
      <c r="BTU9" s="892"/>
      <c r="BTV9" s="892"/>
      <c r="BTW9" s="892"/>
      <c r="BTX9" s="892"/>
      <c r="BTY9" s="892"/>
      <c r="BTZ9" s="892"/>
      <c r="BUA9" s="892"/>
      <c r="BUB9" s="892"/>
      <c r="BUC9" s="892"/>
      <c r="BUD9" s="892"/>
      <c r="BUE9" s="892"/>
      <c r="BUF9" s="892"/>
      <c r="BUG9" s="892"/>
      <c r="BUH9" s="892"/>
      <c r="BUI9" s="892"/>
      <c r="BUJ9" s="892"/>
      <c r="BUK9" s="892"/>
      <c r="BUL9" s="892"/>
      <c r="BUM9" s="892"/>
      <c r="BUN9" s="892"/>
      <c r="BUO9" s="892"/>
      <c r="BUP9" s="892"/>
      <c r="BUQ9" s="892"/>
      <c r="BUR9" s="892"/>
      <c r="BUS9" s="892"/>
      <c r="BUT9" s="892"/>
      <c r="BUU9" s="892"/>
      <c r="BUV9" s="892"/>
      <c r="BUW9" s="892"/>
      <c r="BUX9" s="892"/>
      <c r="BUY9" s="892"/>
      <c r="BUZ9" s="892"/>
      <c r="BVA9" s="892"/>
      <c r="BVB9" s="892"/>
      <c r="BVC9" s="892"/>
      <c r="BVD9" s="892"/>
      <c r="BVE9" s="892"/>
      <c r="BVF9" s="892"/>
      <c r="BVG9" s="892"/>
      <c r="BVH9" s="892"/>
      <c r="BVI9" s="892"/>
      <c r="BVJ9" s="892"/>
      <c r="BVK9" s="892"/>
      <c r="BVL9" s="892"/>
      <c r="BVM9" s="892"/>
      <c r="BVN9" s="892"/>
      <c r="BVO9" s="892"/>
      <c r="BVP9" s="892"/>
      <c r="BVQ9" s="892"/>
      <c r="BVR9" s="892"/>
      <c r="BVS9" s="892"/>
      <c r="BVT9" s="892"/>
      <c r="BVU9" s="892"/>
      <c r="BVV9" s="892"/>
      <c r="BVW9" s="892"/>
      <c r="BVX9" s="892"/>
      <c r="BVY9" s="892"/>
      <c r="BVZ9" s="892"/>
      <c r="BWA9" s="892"/>
      <c r="BWB9" s="892"/>
      <c r="BWC9" s="892"/>
      <c r="BWD9" s="892"/>
      <c r="BWE9" s="892"/>
      <c r="BWF9" s="892"/>
      <c r="BWG9" s="892"/>
      <c r="BWH9" s="892"/>
      <c r="BWI9" s="892"/>
      <c r="BWJ9" s="892"/>
      <c r="BWK9" s="892"/>
      <c r="BWL9" s="892"/>
      <c r="BWM9" s="892"/>
      <c r="BWN9" s="892"/>
      <c r="BWO9" s="892"/>
      <c r="BWP9" s="892"/>
      <c r="BWQ9" s="892"/>
      <c r="BWR9" s="892"/>
      <c r="BWS9" s="892"/>
      <c r="BWT9" s="892"/>
      <c r="BWU9" s="892"/>
      <c r="BWV9" s="892"/>
      <c r="BWW9" s="892"/>
      <c r="BWX9" s="892"/>
      <c r="BWY9" s="892"/>
      <c r="BWZ9" s="892"/>
      <c r="BXA9" s="892"/>
      <c r="BXB9" s="892"/>
      <c r="BXC9" s="892"/>
      <c r="BXD9" s="892"/>
      <c r="BXE9" s="892"/>
      <c r="BXF9" s="892"/>
      <c r="BXG9" s="892"/>
      <c r="BXH9" s="892"/>
      <c r="BXI9" s="892"/>
      <c r="BXJ9" s="892"/>
      <c r="BXK9" s="892"/>
      <c r="BXL9" s="892"/>
      <c r="BXM9" s="892"/>
      <c r="BXN9" s="892"/>
      <c r="BXO9" s="892"/>
      <c r="BXP9" s="892"/>
      <c r="BXQ9" s="892"/>
      <c r="BXR9" s="892"/>
      <c r="BXS9" s="892"/>
      <c r="BXT9" s="892"/>
      <c r="BXU9" s="892"/>
      <c r="BXV9" s="892"/>
      <c r="BXW9" s="892"/>
      <c r="BXX9" s="892"/>
      <c r="BXY9" s="892"/>
      <c r="BXZ9" s="892"/>
      <c r="BYA9" s="892"/>
      <c r="BYB9" s="892"/>
      <c r="BYC9" s="892"/>
      <c r="BYD9" s="892"/>
      <c r="BYE9" s="892"/>
      <c r="BYF9" s="892"/>
      <c r="BYG9" s="892"/>
      <c r="BYH9" s="892"/>
      <c r="BYI9" s="892"/>
      <c r="BYJ9" s="892"/>
      <c r="BYK9" s="892"/>
      <c r="BYL9" s="892"/>
      <c r="BYM9" s="892"/>
      <c r="BYN9" s="892"/>
      <c r="BYO9" s="892"/>
      <c r="BYP9" s="892"/>
      <c r="BYQ9" s="892"/>
      <c r="BYR9" s="892"/>
      <c r="BYS9" s="892"/>
      <c r="BYT9" s="892"/>
      <c r="BYU9" s="892"/>
      <c r="BYV9" s="892"/>
      <c r="BYW9" s="892"/>
      <c r="BYX9" s="892"/>
      <c r="BYY9" s="892"/>
      <c r="BYZ9" s="892"/>
      <c r="BZA9" s="892"/>
      <c r="BZB9" s="892"/>
      <c r="BZC9" s="892"/>
      <c r="BZD9" s="892"/>
      <c r="BZE9" s="892"/>
      <c r="BZF9" s="892"/>
      <c r="BZG9" s="892"/>
      <c r="BZH9" s="892"/>
      <c r="BZI9" s="892"/>
      <c r="BZJ9" s="892"/>
      <c r="BZK9" s="892"/>
      <c r="BZL9" s="892"/>
      <c r="BZM9" s="892"/>
      <c r="BZN9" s="892"/>
      <c r="BZO9" s="892"/>
      <c r="BZP9" s="892"/>
      <c r="BZQ9" s="892"/>
      <c r="BZR9" s="892"/>
      <c r="BZS9" s="892"/>
      <c r="BZT9" s="892"/>
      <c r="BZU9" s="892"/>
      <c r="BZV9" s="892"/>
      <c r="BZW9" s="892"/>
      <c r="BZX9" s="892"/>
      <c r="BZY9" s="892"/>
      <c r="BZZ9" s="892"/>
      <c r="CAA9" s="892"/>
      <c r="CAB9" s="892"/>
      <c r="CAC9" s="892"/>
      <c r="CAD9" s="892"/>
      <c r="CAE9" s="892"/>
      <c r="CAF9" s="892"/>
      <c r="CAG9" s="892"/>
      <c r="CAH9" s="892"/>
      <c r="CAI9" s="892"/>
      <c r="CAJ9" s="892"/>
      <c r="CAK9" s="892"/>
      <c r="CAL9" s="892"/>
      <c r="CAM9" s="892"/>
      <c r="CAN9" s="892"/>
      <c r="CAO9" s="892"/>
      <c r="CAP9" s="892"/>
      <c r="CAQ9" s="892"/>
      <c r="CAR9" s="892"/>
      <c r="CAS9" s="892"/>
      <c r="CAT9" s="892"/>
      <c r="CAU9" s="892"/>
      <c r="CAV9" s="892"/>
      <c r="CAW9" s="892"/>
      <c r="CAX9" s="892"/>
      <c r="CAY9" s="892"/>
      <c r="CAZ9" s="892"/>
      <c r="CBA9" s="892"/>
      <c r="CBB9" s="892"/>
      <c r="CBC9" s="892"/>
      <c r="CBD9" s="892"/>
      <c r="CBE9" s="892"/>
      <c r="CBF9" s="892"/>
      <c r="CBG9" s="892"/>
      <c r="CBH9" s="892"/>
      <c r="CBI9" s="892"/>
      <c r="CBJ9" s="892"/>
      <c r="CBK9" s="892"/>
      <c r="CBL9" s="892"/>
      <c r="CBM9" s="892"/>
      <c r="CBN9" s="892"/>
      <c r="CBO9" s="892"/>
      <c r="CBP9" s="892"/>
      <c r="CBQ9" s="892"/>
      <c r="CBR9" s="892"/>
      <c r="CBS9" s="892"/>
      <c r="CBT9" s="892"/>
      <c r="CBU9" s="892"/>
      <c r="CBV9" s="892"/>
      <c r="CBW9" s="892"/>
      <c r="CBX9" s="892"/>
      <c r="CBY9" s="892"/>
      <c r="CBZ9" s="892"/>
      <c r="CCA9" s="892"/>
      <c r="CCB9" s="892"/>
      <c r="CCC9" s="892"/>
      <c r="CCD9" s="892"/>
      <c r="CCE9" s="892"/>
      <c r="CCF9" s="892"/>
      <c r="CCG9" s="892"/>
      <c r="CCH9" s="892"/>
      <c r="CCI9" s="892"/>
      <c r="CCJ9" s="892"/>
      <c r="CCK9" s="892"/>
      <c r="CCL9" s="892"/>
      <c r="CCM9" s="892"/>
      <c r="CCN9" s="892"/>
      <c r="CCO9" s="892"/>
      <c r="CCP9" s="892"/>
      <c r="CCQ9" s="892"/>
      <c r="CCR9" s="892"/>
      <c r="CCS9" s="892"/>
      <c r="CCT9" s="892"/>
      <c r="CCU9" s="892"/>
      <c r="CCV9" s="892"/>
      <c r="CCW9" s="892"/>
      <c r="CCX9" s="892"/>
      <c r="CCY9" s="892"/>
      <c r="CCZ9" s="892"/>
      <c r="CDA9" s="892"/>
      <c r="CDB9" s="892"/>
      <c r="CDC9" s="892"/>
      <c r="CDD9" s="892"/>
      <c r="CDE9" s="892"/>
      <c r="CDF9" s="892"/>
      <c r="CDG9" s="892"/>
      <c r="CDH9" s="892"/>
      <c r="CDI9" s="892"/>
      <c r="CDJ9" s="892"/>
      <c r="CDK9" s="892"/>
      <c r="CDL9" s="892"/>
      <c r="CDM9" s="892"/>
      <c r="CDN9" s="892"/>
      <c r="CDO9" s="892"/>
      <c r="CDP9" s="892"/>
      <c r="CDQ9" s="892"/>
      <c r="CDR9" s="892"/>
      <c r="CDS9" s="892"/>
      <c r="CDT9" s="892"/>
      <c r="CDU9" s="892"/>
      <c r="CDV9" s="892"/>
      <c r="CDW9" s="892"/>
      <c r="CDX9" s="892"/>
      <c r="CDY9" s="892"/>
      <c r="CDZ9" s="892"/>
      <c r="CEA9" s="892"/>
      <c r="CEB9" s="892"/>
      <c r="CEC9" s="892"/>
      <c r="CED9" s="892"/>
      <c r="CEE9" s="892"/>
      <c r="CEF9" s="892"/>
      <c r="CEG9" s="892"/>
      <c r="CEH9" s="892"/>
      <c r="CEI9" s="892"/>
      <c r="CEJ9" s="892"/>
      <c r="CEK9" s="892"/>
      <c r="CEL9" s="892"/>
      <c r="CEM9" s="892"/>
      <c r="CEN9" s="892"/>
      <c r="CEO9" s="892"/>
      <c r="CEP9" s="892"/>
      <c r="CEQ9" s="892"/>
      <c r="CER9" s="892"/>
      <c r="CES9" s="892"/>
      <c r="CET9" s="892"/>
      <c r="CEU9" s="892"/>
      <c r="CEV9" s="892"/>
      <c r="CEW9" s="892"/>
      <c r="CEX9" s="892"/>
      <c r="CEY9" s="892"/>
      <c r="CEZ9" s="892"/>
      <c r="CFA9" s="892"/>
      <c r="CFB9" s="892"/>
      <c r="CFC9" s="892"/>
      <c r="CFD9" s="892"/>
      <c r="CFE9" s="892"/>
      <c r="CFF9" s="892"/>
      <c r="CFG9" s="892"/>
      <c r="CFH9" s="892"/>
      <c r="CFI9" s="892"/>
      <c r="CFJ9" s="892"/>
      <c r="CFK9" s="892"/>
      <c r="CFL9" s="892"/>
      <c r="CFM9" s="892"/>
      <c r="CFN9" s="892"/>
      <c r="CFO9" s="892"/>
      <c r="CFP9" s="892"/>
      <c r="CFQ9" s="892"/>
      <c r="CFR9" s="892"/>
      <c r="CFS9" s="892"/>
      <c r="CFT9" s="892"/>
      <c r="CFU9" s="892"/>
      <c r="CFV9" s="892"/>
      <c r="CFW9" s="892"/>
      <c r="CFX9" s="892"/>
      <c r="CFY9" s="892"/>
      <c r="CFZ9" s="892"/>
      <c r="CGA9" s="892"/>
      <c r="CGB9" s="892"/>
      <c r="CGC9" s="892"/>
      <c r="CGD9" s="892"/>
      <c r="CGE9" s="892"/>
      <c r="CGF9" s="892"/>
      <c r="CGG9" s="892"/>
      <c r="CGH9" s="892"/>
      <c r="CGI9" s="892"/>
      <c r="CGJ9" s="892"/>
      <c r="CGK9" s="892"/>
      <c r="CGL9" s="892"/>
      <c r="CGM9" s="892"/>
      <c r="CGN9" s="892"/>
      <c r="CGO9" s="892"/>
      <c r="CGP9" s="892"/>
      <c r="CGQ9" s="892"/>
      <c r="CGR9" s="892"/>
      <c r="CGS9" s="892"/>
      <c r="CGT9" s="892"/>
      <c r="CGU9" s="892"/>
      <c r="CGV9" s="892"/>
      <c r="CGW9" s="892"/>
      <c r="CGX9" s="892"/>
      <c r="CGY9" s="892"/>
      <c r="CGZ9" s="892"/>
      <c r="CHA9" s="892"/>
      <c r="CHB9" s="892"/>
      <c r="CHC9" s="892"/>
      <c r="CHD9" s="892"/>
      <c r="CHE9" s="892"/>
      <c r="CHF9" s="892"/>
      <c r="CHG9" s="892"/>
      <c r="CHH9" s="892"/>
      <c r="CHI9" s="892"/>
      <c r="CHJ9" s="892"/>
      <c r="CHK9" s="892"/>
      <c r="CHL9" s="892"/>
      <c r="CHM9" s="892"/>
      <c r="CHN9" s="892"/>
      <c r="CHO9" s="892"/>
      <c r="CHP9" s="892"/>
      <c r="CHQ9" s="892"/>
      <c r="CHR9" s="892"/>
      <c r="CHS9" s="892"/>
      <c r="CHT9" s="892"/>
      <c r="CHU9" s="892"/>
      <c r="CHV9" s="892"/>
      <c r="CHW9" s="892"/>
      <c r="CHX9" s="892"/>
      <c r="CHY9" s="892"/>
      <c r="CHZ9" s="892"/>
      <c r="CIA9" s="892"/>
      <c r="CIB9" s="892"/>
      <c r="CIC9" s="892"/>
      <c r="CID9" s="892"/>
      <c r="CIE9" s="892"/>
      <c r="CIF9" s="892"/>
      <c r="CIG9" s="892"/>
      <c r="CIH9" s="892"/>
      <c r="CII9" s="892"/>
      <c r="CIJ9" s="892"/>
      <c r="CIK9" s="892"/>
      <c r="CIL9" s="892"/>
      <c r="CIM9" s="892"/>
      <c r="CIN9" s="892"/>
      <c r="CIO9" s="892"/>
      <c r="CIP9" s="892"/>
      <c r="CIQ9" s="892"/>
      <c r="CIR9" s="892"/>
      <c r="CIS9" s="892"/>
      <c r="CIT9" s="892"/>
      <c r="CIU9" s="892"/>
      <c r="CIV9" s="892"/>
      <c r="CIW9" s="892"/>
      <c r="CIX9" s="892"/>
      <c r="CIY9" s="892"/>
      <c r="CIZ9" s="892"/>
      <c r="CJA9" s="892"/>
      <c r="CJB9" s="892"/>
      <c r="CJC9" s="892"/>
      <c r="CJD9" s="892"/>
      <c r="CJE9" s="892"/>
      <c r="CJF9" s="892"/>
      <c r="CJG9" s="892"/>
      <c r="CJH9" s="892"/>
      <c r="CJI9" s="892"/>
      <c r="CJJ9" s="892"/>
      <c r="CJK9" s="892"/>
      <c r="CJL9" s="892"/>
      <c r="CJM9" s="892"/>
      <c r="CJN9" s="892"/>
      <c r="CJO9" s="892"/>
      <c r="CJP9" s="892"/>
      <c r="CJQ9" s="892"/>
      <c r="CJR9" s="892"/>
      <c r="CJS9" s="892"/>
      <c r="CJT9" s="892"/>
      <c r="CJU9" s="892"/>
      <c r="CJV9" s="892"/>
      <c r="CJW9" s="892"/>
      <c r="CJX9" s="892"/>
      <c r="CJY9" s="892"/>
      <c r="CJZ9" s="892"/>
      <c r="CKA9" s="892"/>
      <c r="CKB9" s="892"/>
      <c r="CKC9" s="892"/>
      <c r="CKD9" s="892"/>
      <c r="CKE9" s="892"/>
      <c r="CKF9" s="892"/>
      <c r="CKG9" s="892"/>
      <c r="CKH9" s="892"/>
      <c r="CKI9" s="892"/>
      <c r="CKJ9" s="892"/>
      <c r="CKK9" s="892"/>
      <c r="CKL9" s="892"/>
      <c r="CKM9" s="892"/>
      <c r="CKN9" s="892"/>
      <c r="CKO9" s="892"/>
      <c r="CKP9" s="892"/>
      <c r="CKQ9" s="892"/>
      <c r="CKR9" s="892"/>
      <c r="CKS9" s="892"/>
      <c r="CKT9" s="892"/>
      <c r="CKU9" s="892"/>
      <c r="CKV9" s="892"/>
      <c r="CKW9" s="892"/>
      <c r="CKX9" s="892"/>
      <c r="CKY9" s="892"/>
      <c r="CKZ9" s="892"/>
      <c r="CLA9" s="892"/>
      <c r="CLB9" s="892"/>
      <c r="CLC9" s="892"/>
      <c r="CLD9" s="892"/>
      <c r="CLE9" s="892"/>
      <c r="CLF9" s="892"/>
      <c r="CLG9" s="892"/>
      <c r="CLH9" s="892"/>
      <c r="CLI9" s="892"/>
      <c r="CLJ9" s="892"/>
      <c r="CLK9" s="892"/>
      <c r="CLL9" s="892"/>
      <c r="CLM9" s="892"/>
      <c r="CLN9" s="892"/>
      <c r="CLO9" s="892"/>
      <c r="CLP9" s="892"/>
      <c r="CLQ9" s="892"/>
      <c r="CLR9" s="892"/>
      <c r="CLS9" s="892"/>
      <c r="CLT9" s="892"/>
      <c r="CLU9" s="892"/>
      <c r="CLV9" s="892"/>
      <c r="CLW9" s="892"/>
      <c r="CLX9" s="892"/>
      <c r="CLY9" s="892"/>
      <c r="CLZ9" s="892"/>
      <c r="CMA9" s="892"/>
      <c r="CMB9" s="892"/>
      <c r="CMC9" s="892"/>
      <c r="CMD9" s="892"/>
      <c r="CME9" s="892"/>
      <c r="CMF9" s="892"/>
      <c r="CMG9" s="892"/>
      <c r="CMH9" s="892"/>
      <c r="CMI9" s="892"/>
      <c r="CMJ9" s="892"/>
      <c r="CMK9" s="892"/>
      <c r="CML9" s="892"/>
      <c r="CMM9" s="892"/>
      <c r="CMN9" s="892"/>
      <c r="CMO9" s="892"/>
      <c r="CMP9" s="892"/>
      <c r="CMQ9" s="892"/>
      <c r="CMR9" s="892"/>
      <c r="CMS9" s="892"/>
      <c r="CMT9" s="892"/>
      <c r="CMU9" s="892"/>
      <c r="CMV9" s="892"/>
      <c r="CMW9" s="892"/>
      <c r="CMX9" s="892"/>
      <c r="CMY9" s="892"/>
      <c r="CMZ9" s="892"/>
      <c r="CNA9" s="892"/>
      <c r="CNB9" s="892"/>
      <c r="CNC9" s="892"/>
      <c r="CND9" s="892"/>
      <c r="CNE9" s="892"/>
      <c r="CNF9" s="892"/>
      <c r="CNG9" s="892"/>
      <c r="CNH9" s="892"/>
      <c r="CNI9" s="892"/>
      <c r="CNJ9" s="892"/>
      <c r="CNK9" s="892"/>
      <c r="CNL9" s="892"/>
      <c r="CNM9" s="892"/>
      <c r="CNN9" s="892"/>
      <c r="CNO9" s="892"/>
      <c r="CNP9" s="892"/>
      <c r="CNQ9" s="892"/>
      <c r="CNR9" s="892"/>
      <c r="CNS9" s="892"/>
      <c r="CNT9" s="892"/>
      <c r="CNU9" s="892"/>
      <c r="CNV9" s="892"/>
      <c r="CNW9" s="892"/>
      <c r="CNX9" s="892"/>
      <c r="CNY9" s="892"/>
      <c r="CNZ9" s="892"/>
      <c r="COA9" s="892"/>
      <c r="COB9" s="892"/>
      <c r="COC9" s="892"/>
      <c r="COD9" s="892"/>
      <c r="COE9" s="892"/>
      <c r="COF9" s="892"/>
      <c r="COG9" s="892"/>
      <c r="COH9" s="892"/>
      <c r="COI9" s="892"/>
      <c r="COJ9" s="892"/>
      <c r="COK9" s="892"/>
      <c r="COL9" s="892"/>
      <c r="COM9" s="892"/>
      <c r="CON9" s="892"/>
      <c r="COO9" s="892"/>
      <c r="COP9" s="892"/>
      <c r="COQ9" s="892"/>
      <c r="COR9" s="892"/>
      <c r="COS9" s="892"/>
      <c r="COT9" s="892"/>
      <c r="COU9" s="892"/>
      <c r="COV9" s="892"/>
      <c r="COW9" s="892"/>
      <c r="COX9" s="892"/>
      <c r="COY9" s="892"/>
      <c r="COZ9" s="892"/>
      <c r="CPA9" s="892"/>
      <c r="CPB9" s="892"/>
      <c r="CPC9" s="892"/>
      <c r="CPD9" s="892"/>
      <c r="CPE9" s="892"/>
      <c r="CPF9" s="892"/>
      <c r="CPG9" s="892"/>
      <c r="CPH9" s="892"/>
      <c r="CPI9" s="892"/>
      <c r="CPJ9" s="892"/>
      <c r="CPK9" s="892"/>
      <c r="CPL9" s="892"/>
      <c r="CPM9" s="892"/>
      <c r="CPN9" s="892"/>
      <c r="CPO9" s="892"/>
      <c r="CPP9" s="892"/>
      <c r="CPQ9" s="892"/>
      <c r="CPR9" s="892"/>
      <c r="CPS9" s="892"/>
      <c r="CPT9" s="892"/>
      <c r="CPU9" s="892"/>
      <c r="CPV9" s="892"/>
      <c r="CPW9" s="892"/>
      <c r="CPX9" s="892"/>
      <c r="CPY9" s="892"/>
      <c r="CPZ9" s="892"/>
      <c r="CQA9" s="892"/>
      <c r="CQB9" s="892"/>
      <c r="CQC9" s="892"/>
      <c r="CQD9" s="892"/>
      <c r="CQE9" s="892"/>
      <c r="CQF9" s="892"/>
      <c r="CQG9" s="892"/>
      <c r="CQH9" s="892"/>
      <c r="CQI9" s="892"/>
      <c r="CQJ9" s="892"/>
      <c r="CQK9" s="892"/>
      <c r="CQL9" s="892"/>
      <c r="CQM9" s="892"/>
      <c r="CQN9" s="892"/>
      <c r="CQO9" s="892"/>
      <c r="CQP9" s="892"/>
      <c r="CQQ9" s="892"/>
      <c r="CQR9" s="892"/>
      <c r="CQS9" s="892"/>
      <c r="CQT9" s="892"/>
      <c r="CQU9" s="892"/>
      <c r="CQV9" s="892"/>
      <c r="CQW9" s="892"/>
      <c r="CQX9" s="892"/>
      <c r="CQY9" s="892"/>
      <c r="CQZ9" s="892"/>
      <c r="CRA9" s="892"/>
      <c r="CRB9" s="892"/>
      <c r="CRC9" s="892"/>
      <c r="CRD9" s="892"/>
      <c r="CRE9" s="892"/>
      <c r="CRF9" s="892"/>
      <c r="CRG9" s="892"/>
      <c r="CRH9" s="892"/>
      <c r="CRI9" s="892"/>
      <c r="CRJ9" s="892"/>
      <c r="CRK9" s="892"/>
      <c r="CRL9" s="892"/>
      <c r="CRM9" s="892"/>
      <c r="CRN9" s="892"/>
      <c r="CRO9" s="892"/>
      <c r="CRP9" s="892"/>
      <c r="CRQ9" s="892"/>
      <c r="CRR9" s="892"/>
      <c r="CRS9" s="892"/>
      <c r="CRT9" s="892"/>
      <c r="CRU9" s="892"/>
      <c r="CRV9" s="892"/>
      <c r="CRW9" s="892"/>
      <c r="CRX9" s="892"/>
      <c r="CRY9" s="892"/>
      <c r="CRZ9" s="892"/>
      <c r="CSA9" s="892"/>
      <c r="CSB9" s="892"/>
      <c r="CSC9" s="892"/>
      <c r="CSD9" s="892"/>
      <c r="CSE9" s="892"/>
      <c r="CSF9" s="892"/>
      <c r="CSG9" s="892"/>
      <c r="CSH9" s="892"/>
      <c r="CSI9" s="892"/>
      <c r="CSJ9" s="892"/>
      <c r="CSK9" s="892"/>
      <c r="CSL9" s="892"/>
      <c r="CSM9" s="892"/>
      <c r="CSN9" s="892"/>
      <c r="CSO9" s="892"/>
      <c r="CSP9" s="892"/>
      <c r="CSQ9" s="892"/>
      <c r="CSR9" s="892"/>
      <c r="CSS9" s="892"/>
      <c r="CST9" s="892"/>
      <c r="CSU9" s="892"/>
      <c r="CSV9" s="892"/>
      <c r="CSW9" s="892"/>
      <c r="CSX9" s="892"/>
      <c r="CSY9" s="892"/>
      <c r="CSZ9" s="892"/>
      <c r="CTA9" s="892"/>
      <c r="CTB9" s="892"/>
      <c r="CTC9" s="892"/>
      <c r="CTD9" s="892"/>
      <c r="CTE9" s="892"/>
      <c r="CTF9" s="892"/>
      <c r="CTG9" s="892"/>
      <c r="CTH9" s="892"/>
      <c r="CTI9" s="892"/>
      <c r="CTJ9" s="892"/>
      <c r="CTK9" s="892"/>
      <c r="CTL9" s="892"/>
      <c r="CTM9" s="892"/>
      <c r="CTN9" s="892"/>
      <c r="CTO9" s="892"/>
      <c r="CTP9" s="892"/>
      <c r="CTQ9" s="892"/>
      <c r="CTR9" s="892"/>
      <c r="CTS9" s="892"/>
      <c r="CTT9" s="892"/>
      <c r="CTU9" s="892"/>
      <c r="CTV9" s="892"/>
      <c r="CTW9" s="892"/>
      <c r="CTX9" s="892"/>
      <c r="CTY9" s="892"/>
      <c r="CTZ9" s="892"/>
      <c r="CUA9" s="892"/>
      <c r="CUB9" s="892"/>
      <c r="CUC9" s="892"/>
      <c r="CUD9" s="892"/>
      <c r="CUE9" s="892"/>
      <c r="CUF9" s="892"/>
      <c r="CUG9" s="892"/>
      <c r="CUH9" s="892"/>
      <c r="CUI9" s="892"/>
      <c r="CUJ9" s="892"/>
      <c r="CUK9" s="892"/>
      <c r="CUL9" s="892"/>
      <c r="CUM9" s="892"/>
      <c r="CUN9" s="892"/>
      <c r="CUO9" s="892"/>
      <c r="CUP9" s="892"/>
      <c r="CUQ9" s="892"/>
      <c r="CUR9" s="892"/>
      <c r="CUS9" s="892"/>
      <c r="CUT9" s="892"/>
      <c r="CUU9" s="892"/>
      <c r="CUV9" s="892"/>
      <c r="CUW9" s="892"/>
      <c r="CUX9" s="892"/>
      <c r="CUY9" s="892"/>
      <c r="CUZ9" s="892"/>
      <c r="CVA9" s="892"/>
      <c r="CVB9" s="892"/>
      <c r="CVC9" s="892"/>
      <c r="CVD9" s="892"/>
      <c r="CVE9" s="892"/>
      <c r="CVF9" s="892"/>
      <c r="CVG9" s="892"/>
      <c r="CVH9" s="892"/>
      <c r="CVI9" s="892"/>
      <c r="CVJ9" s="892"/>
      <c r="CVK9" s="892"/>
      <c r="CVL9" s="892"/>
      <c r="CVM9" s="892"/>
      <c r="CVN9" s="892"/>
      <c r="CVO9" s="892"/>
      <c r="CVP9" s="892"/>
      <c r="CVQ9" s="892"/>
      <c r="CVR9" s="892"/>
      <c r="CVS9" s="892"/>
      <c r="CVT9" s="892"/>
      <c r="CVU9" s="892"/>
      <c r="CVV9" s="892"/>
      <c r="CVW9" s="892"/>
      <c r="CVX9" s="892"/>
      <c r="CVY9" s="892"/>
      <c r="CVZ9" s="892"/>
      <c r="CWA9" s="892"/>
      <c r="CWB9" s="892"/>
      <c r="CWC9" s="892"/>
      <c r="CWD9" s="892"/>
      <c r="CWE9" s="892"/>
      <c r="CWF9" s="892"/>
      <c r="CWG9" s="892"/>
      <c r="CWH9" s="892"/>
      <c r="CWI9" s="892"/>
      <c r="CWJ9" s="892"/>
      <c r="CWK9" s="892"/>
      <c r="CWL9" s="892"/>
      <c r="CWM9" s="892"/>
      <c r="CWN9" s="892"/>
      <c r="CWO9" s="892"/>
      <c r="CWP9" s="892"/>
      <c r="CWQ9" s="892"/>
      <c r="CWR9" s="892"/>
      <c r="CWS9" s="892"/>
      <c r="CWT9" s="892"/>
      <c r="CWU9" s="892"/>
      <c r="CWV9" s="892"/>
      <c r="CWW9" s="892"/>
      <c r="CWX9" s="892"/>
      <c r="CWY9" s="892"/>
      <c r="CWZ9" s="892"/>
      <c r="CXA9" s="892"/>
      <c r="CXB9" s="892"/>
      <c r="CXC9" s="892"/>
      <c r="CXD9" s="892"/>
      <c r="CXE9" s="892"/>
      <c r="CXF9" s="892"/>
      <c r="CXG9" s="892"/>
      <c r="CXH9" s="892"/>
      <c r="CXI9" s="892"/>
      <c r="CXJ9" s="892"/>
      <c r="CXK9" s="892"/>
      <c r="CXL9" s="892"/>
      <c r="CXM9" s="892"/>
      <c r="CXN9" s="892"/>
      <c r="CXO9" s="892"/>
      <c r="CXP9" s="892"/>
      <c r="CXQ9" s="892"/>
      <c r="CXR9" s="892"/>
      <c r="CXS9" s="892"/>
      <c r="CXT9" s="892"/>
      <c r="CXU9" s="892"/>
      <c r="CXV9" s="892"/>
      <c r="CXW9" s="892"/>
      <c r="CXX9" s="892"/>
      <c r="CXY9" s="892"/>
      <c r="CXZ9" s="892"/>
      <c r="CYA9" s="892"/>
      <c r="CYB9" s="892"/>
      <c r="CYC9" s="892"/>
      <c r="CYD9" s="892"/>
      <c r="CYE9" s="892"/>
      <c r="CYF9" s="892"/>
      <c r="CYG9" s="892"/>
      <c r="CYH9" s="892"/>
      <c r="CYI9" s="892"/>
      <c r="CYJ9" s="892"/>
      <c r="CYK9" s="892"/>
      <c r="CYL9" s="892"/>
      <c r="CYM9" s="892"/>
      <c r="CYN9" s="892"/>
      <c r="CYO9" s="892"/>
      <c r="CYP9" s="892"/>
      <c r="CYQ9" s="892"/>
      <c r="CYR9" s="892"/>
      <c r="CYS9" s="892"/>
      <c r="CYT9" s="892"/>
      <c r="CYU9" s="892"/>
      <c r="CYV9" s="892"/>
      <c r="CYW9" s="892"/>
      <c r="CYX9" s="892"/>
      <c r="CYY9" s="892"/>
      <c r="CYZ9" s="892"/>
      <c r="CZA9" s="892"/>
      <c r="CZB9" s="892"/>
      <c r="CZC9" s="892"/>
      <c r="CZD9" s="892"/>
      <c r="CZE9" s="892"/>
      <c r="CZF9" s="892"/>
      <c r="CZG9" s="892"/>
      <c r="CZH9" s="892"/>
      <c r="CZI9" s="892"/>
      <c r="CZJ9" s="892"/>
      <c r="CZK9" s="892"/>
      <c r="CZL9" s="892"/>
      <c r="CZM9" s="892"/>
      <c r="CZN9" s="892"/>
      <c r="CZO9" s="892"/>
      <c r="CZP9" s="892"/>
      <c r="CZQ9" s="892"/>
      <c r="CZR9" s="892"/>
      <c r="CZS9" s="892"/>
      <c r="CZT9" s="892"/>
      <c r="CZU9" s="892"/>
      <c r="CZV9" s="892"/>
      <c r="CZW9" s="892"/>
      <c r="CZX9" s="892"/>
      <c r="CZY9" s="892"/>
      <c r="CZZ9" s="892"/>
      <c r="DAA9" s="892"/>
      <c r="DAB9" s="892"/>
      <c r="DAC9" s="892"/>
      <c r="DAD9" s="892"/>
      <c r="DAE9" s="892"/>
      <c r="DAF9" s="892"/>
      <c r="DAG9" s="892"/>
      <c r="DAH9" s="892"/>
      <c r="DAI9" s="892"/>
      <c r="DAJ9" s="892"/>
      <c r="DAK9" s="892"/>
      <c r="DAL9" s="892"/>
      <c r="DAM9" s="892"/>
      <c r="DAN9" s="892"/>
      <c r="DAO9" s="892"/>
      <c r="DAP9" s="892"/>
      <c r="DAQ9" s="892"/>
      <c r="DAR9" s="892"/>
      <c r="DAS9" s="892"/>
      <c r="DAT9" s="892"/>
      <c r="DAU9" s="892"/>
      <c r="DAV9" s="892"/>
      <c r="DAW9" s="892"/>
      <c r="DAX9" s="892"/>
      <c r="DAY9" s="892"/>
      <c r="DAZ9" s="892"/>
      <c r="DBA9" s="892"/>
      <c r="DBB9" s="892"/>
      <c r="DBC9" s="892"/>
      <c r="DBD9" s="892"/>
      <c r="DBE9" s="892"/>
      <c r="DBF9" s="892"/>
      <c r="DBG9" s="892"/>
      <c r="DBH9" s="892"/>
      <c r="DBI9" s="892"/>
      <c r="DBJ9" s="892"/>
      <c r="DBK9" s="892"/>
      <c r="DBL9" s="892"/>
      <c r="DBM9" s="892"/>
      <c r="DBN9" s="892"/>
      <c r="DBO9" s="892"/>
      <c r="DBP9" s="892"/>
      <c r="DBQ9" s="892"/>
      <c r="DBR9" s="892"/>
      <c r="DBS9" s="892"/>
      <c r="DBT9" s="892"/>
      <c r="DBU9" s="892"/>
      <c r="DBV9" s="892"/>
      <c r="DBW9" s="892"/>
      <c r="DBX9" s="892"/>
      <c r="DBY9" s="892"/>
      <c r="DBZ9" s="892"/>
      <c r="DCA9" s="892"/>
      <c r="DCB9" s="892"/>
      <c r="DCC9" s="892"/>
      <c r="DCD9" s="892"/>
      <c r="DCE9" s="892"/>
      <c r="DCF9" s="892"/>
      <c r="DCG9" s="892"/>
      <c r="DCH9" s="892"/>
      <c r="DCI9" s="892"/>
      <c r="DCJ9" s="892"/>
      <c r="DCK9" s="892"/>
      <c r="DCL9" s="892"/>
      <c r="DCM9" s="892"/>
      <c r="DCN9" s="892"/>
      <c r="DCO9" s="892"/>
      <c r="DCP9" s="892"/>
      <c r="DCQ9" s="892"/>
      <c r="DCR9" s="892"/>
      <c r="DCS9" s="892"/>
      <c r="DCT9" s="892"/>
      <c r="DCU9" s="892"/>
      <c r="DCV9" s="892"/>
      <c r="DCW9" s="892"/>
      <c r="DCX9" s="892"/>
      <c r="DCY9" s="892"/>
      <c r="DCZ9" s="892"/>
      <c r="DDA9" s="892"/>
      <c r="DDB9" s="892"/>
      <c r="DDC9" s="892"/>
      <c r="DDD9" s="892"/>
      <c r="DDE9" s="892"/>
      <c r="DDF9" s="892"/>
      <c r="DDG9" s="892"/>
      <c r="DDH9" s="892"/>
      <c r="DDI9" s="892"/>
      <c r="DDJ9" s="892"/>
      <c r="DDK9" s="892"/>
      <c r="DDL9" s="892"/>
      <c r="DDM9" s="892"/>
      <c r="DDN9" s="892"/>
      <c r="DDO9" s="892"/>
      <c r="DDP9" s="892"/>
      <c r="DDQ9" s="892"/>
      <c r="DDR9" s="892"/>
      <c r="DDS9" s="892"/>
      <c r="DDT9" s="892"/>
      <c r="DDU9" s="892"/>
      <c r="DDV9" s="892"/>
      <c r="DDW9" s="892"/>
      <c r="DDX9" s="892"/>
      <c r="DDY9" s="892"/>
      <c r="DDZ9" s="892"/>
      <c r="DEA9" s="892"/>
      <c r="DEB9" s="892"/>
      <c r="DEC9" s="892"/>
      <c r="DED9" s="892"/>
      <c r="DEE9" s="892"/>
      <c r="DEF9" s="892"/>
      <c r="DEG9" s="892"/>
      <c r="DEH9" s="892"/>
      <c r="DEI9" s="892"/>
      <c r="DEJ9" s="892"/>
      <c r="DEK9" s="892"/>
      <c r="DEL9" s="892"/>
      <c r="DEM9" s="892"/>
      <c r="DEN9" s="892"/>
      <c r="DEO9" s="892"/>
      <c r="DEP9" s="892"/>
      <c r="DEQ9" s="892"/>
      <c r="DER9" s="892"/>
      <c r="DES9" s="892"/>
      <c r="DET9" s="892"/>
      <c r="DEU9" s="892"/>
      <c r="DEV9" s="892"/>
      <c r="DEW9" s="892"/>
      <c r="DEX9" s="892"/>
      <c r="DEY9" s="892"/>
      <c r="DEZ9" s="892"/>
      <c r="DFA9" s="892"/>
      <c r="DFB9" s="892"/>
      <c r="DFC9" s="892"/>
      <c r="DFD9" s="892"/>
      <c r="DFE9" s="892"/>
      <c r="DFF9" s="892"/>
      <c r="DFG9" s="892"/>
      <c r="DFH9" s="892"/>
      <c r="DFI9" s="892"/>
      <c r="DFJ9" s="892"/>
      <c r="DFK9" s="892"/>
      <c r="DFL9" s="892"/>
      <c r="DFM9" s="892"/>
      <c r="DFN9" s="892"/>
      <c r="DFO9" s="892"/>
      <c r="DFP9" s="892"/>
      <c r="DFQ9" s="892"/>
      <c r="DFR9" s="892"/>
      <c r="DFS9" s="892"/>
      <c r="DFT9" s="892"/>
      <c r="DFU9" s="892"/>
      <c r="DFV9" s="892"/>
      <c r="DFW9" s="892"/>
      <c r="DFX9" s="892"/>
      <c r="DFY9" s="892"/>
      <c r="DFZ9" s="892"/>
      <c r="DGA9" s="892"/>
      <c r="DGB9" s="892"/>
      <c r="DGC9" s="892"/>
      <c r="DGD9" s="892"/>
      <c r="DGE9" s="892"/>
      <c r="DGF9" s="892"/>
      <c r="DGG9" s="892"/>
      <c r="DGH9" s="892"/>
      <c r="DGI9" s="892"/>
      <c r="DGJ9" s="892"/>
      <c r="DGK9" s="892"/>
      <c r="DGL9" s="892"/>
      <c r="DGM9" s="892"/>
      <c r="DGN9" s="892"/>
      <c r="DGO9" s="892"/>
      <c r="DGP9" s="892"/>
      <c r="DGQ9" s="892"/>
      <c r="DGR9" s="892"/>
      <c r="DGS9" s="892"/>
      <c r="DGT9" s="892"/>
      <c r="DGU9" s="892"/>
      <c r="DGV9" s="892"/>
      <c r="DGW9" s="892"/>
      <c r="DGX9" s="892"/>
      <c r="DGY9" s="892"/>
      <c r="DGZ9" s="892"/>
      <c r="DHA9" s="892"/>
      <c r="DHB9" s="892"/>
      <c r="DHC9" s="892"/>
      <c r="DHD9" s="892"/>
      <c r="DHE9" s="892"/>
      <c r="DHF9" s="892"/>
      <c r="DHG9" s="892"/>
      <c r="DHH9" s="892"/>
      <c r="DHI9" s="892"/>
      <c r="DHJ9" s="892"/>
      <c r="DHK9" s="892"/>
      <c r="DHL9" s="892"/>
      <c r="DHM9" s="892"/>
      <c r="DHN9" s="892"/>
      <c r="DHO9" s="892"/>
      <c r="DHP9" s="892"/>
      <c r="DHQ9" s="892"/>
      <c r="DHR9" s="892"/>
      <c r="DHS9" s="892"/>
      <c r="DHT9" s="892"/>
      <c r="DHU9" s="892"/>
      <c r="DHV9" s="892"/>
      <c r="DHW9" s="892"/>
      <c r="DHX9" s="892"/>
      <c r="DHY9" s="892"/>
      <c r="DHZ9" s="892"/>
      <c r="DIA9" s="892"/>
      <c r="DIB9" s="892"/>
      <c r="DIC9" s="892"/>
      <c r="DID9" s="892"/>
      <c r="DIE9" s="892"/>
      <c r="DIF9" s="892"/>
      <c r="DIG9" s="892"/>
      <c r="DIH9" s="892"/>
      <c r="DII9" s="892"/>
      <c r="DIJ9" s="892"/>
      <c r="DIK9" s="892"/>
      <c r="DIL9" s="892"/>
      <c r="DIM9" s="892"/>
      <c r="DIN9" s="892"/>
      <c r="DIO9" s="892"/>
      <c r="DIP9" s="892"/>
      <c r="DIQ9" s="892"/>
      <c r="DIR9" s="892"/>
      <c r="DIS9" s="892"/>
      <c r="DIT9" s="892"/>
      <c r="DIU9" s="892"/>
      <c r="DIV9" s="892"/>
      <c r="DIW9" s="892"/>
      <c r="DIX9" s="892"/>
      <c r="DIY9" s="892"/>
      <c r="DIZ9" s="892"/>
      <c r="DJA9" s="892"/>
      <c r="DJB9" s="892"/>
      <c r="DJC9" s="892"/>
      <c r="DJD9" s="892"/>
      <c r="DJE9" s="892"/>
      <c r="DJF9" s="892"/>
      <c r="DJG9" s="892"/>
      <c r="DJH9" s="892"/>
      <c r="DJI9" s="892"/>
      <c r="DJJ9" s="892"/>
      <c r="DJK9" s="892"/>
      <c r="DJL9" s="892"/>
      <c r="DJM9" s="892"/>
      <c r="DJN9" s="892"/>
      <c r="DJO9" s="892"/>
      <c r="DJP9" s="892"/>
      <c r="DJQ9" s="892"/>
      <c r="DJR9" s="892"/>
      <c r="DJS9" s="892"/>
      <c r="DJT9" s="892"/>
      <c r="DJU9" s="892"/>
      <c r="DJV9" s="892"/>
      <c r="DJW9" s="892"/>
      <c r="DJX9" s="892"/>
      <c r="DJY9" s="892"/>
      <c r="DJZ9" s="892"/>
      <c r="DKA9" s="892"/>
      <c r="DKB9" s="892"/>
      <c r="DKC9" s="892"/>
      <c r="DKD9" s="892"/>
      <c r="DKE9" s="892"/>
      <c r="DKF9" s="892"/>
      <c r="DKG9" s="892"/>
      <c r="DKH9" s="892"/>
      <c r="DKI9" s="892"/>
      <c r="DKJ9" s="892"/>
      <c r="DKK9" s="892"/>
      <c r="DKL9" s="892"/>
      <c r="DKM9" s="892"/>
      <c r="DKN9" s="892"/>
      <c r="DKO9" s="892"/>
      <c r="DKP9" s="892"/>
      <c r="DKQ9" s="892"/>
      <c r="DKR9" s="892"/>
      <c r="DKS9" s="892"/>
      <c r="DKT9" s="892"/>
      <c r="DKU9" s="892"/>
      <c r="DKV9" s="892"/>
      <c r="DKW9" s="892"/>
      <c r="DKX9" s="892"/>
      <c r="DKY9" s="892"/>
      <c r="DKZ9" s="892"/>
      <c r="DLA9" s="892"/>
      <c r="DLB9" s="892"/>
      <c r="DLC9" s="892"/>
      <c r="DLD9" s="892"/>
      <c r="DLE9" s="892"/>
      <c r="DLF9" s="892"/>
      <c r="DLG9" s="892"/>
      <c r="DLH9" s="892"/>
      <c r="DLI9" s="892"/>
      <c r="DLJ9" s="892"/>
      <c r="DLK9" s="892"/>
      <c r="DLL9" s="892"/>
      <c r="DLM9" s="892"/>
      <c r="DLN9" s="892"/>
      <c r="DLO9" s="892"/>
      <c r="DLP9" s="892"/>
      <c r="DLQ9" s="892"/>
      <c r="DLR9" s="892"/>
      <c r="DLS9" s="892"/>
      <c r="DLT9" s="892"/>
      <c r="DLU9" s="892"/>
      <c r="DLV9" s="892"/>
      <c r="DLW9" s="892"/>
      <c r="DLX9" s="892"/>
      <c r="DLY9" s="892"/>
      <c r="DLZ9" s="892"/>
      <c r="DMA9" s="892"/>
      <c r="DMB9" s="892"/>
      <c r="DMC9" s="892"/>
      <c r="DMD9" s="892"/>
      <c r="DME9" s="892"/>
      <c r="DMF9" s="892"/>
      <c r="DMG9" s="892"/>
      <c r="DMH9" s="892"/>
      <c r="DMI9" s="892"/>
      <c r="DMJ9" s="892"/>
      <c r="DMK9" s="892"/>
      <c r="DML9" s="892"/>
      <c r="DMM9" s="892"/>
      <c r="DMN9" s="892"/>
      <c r="DMO9" s="892"/>
      <c r="DMP9" s="892"/>
      <c r="DMQ9" s="892"/>
      <c r="DMR9" s="892"/>
      <c r="DMS9" s="892"/>
      <c r="DMT9" s="892"/>
      <c r="DMU9" s="892"/>
      <c r="DMV9" s="892"/>
      <c r="DMW9" s="892"/>
      <c r="DMX9" s="892"/>
      <c r="DMY9" s="892"/>
      <c r="DMZ9" s="892"/>
      <c r="DNA9" s="892"/>
      <c r="DNB9" s="892"/>
      <c r="DNC9" s="892"/>
      <c r="DND9" s="892"/>
      <c r="DNE9" s="892"/>
      <c r="DNF9" s="892"/>
      <c r="DNG9" s="892"/>
      <c r="DNH9" s="892"/>
      <c r="DNI9" s="892"/>
      <c r="DNJ9" s="892"/>
      <c r="DNK9" s="892"/>
      <c r="DNL9" s="892"/>
      <c r="DNM9" s="892"/>
      <c r="DNN9" s="892"/>
      <c r="DNO9" s="892"/>
      <c r="DNP9" s="892"/>
      <c r="DNQ9" s="892"/>
      <c r="DNR9" s="892"/>
      <c r="DNS9" s="892"/>
      <c r="DNT9" s="892"/>
      <c r="DNU9" s="892"/>
      <c r="DNV9" s="892"/>
      <c r="DNW9" s="892"/>
      <c r="DNX9" s="892"/>
      <c r="DNY9" s="892"/>
      <c r="DNZ9" s="892"/>
      <c r="DOA9" s="892"/>
      <c r="DOB9" s="892"/>
      <c r="DOC9" s="892"/>
      <c r="DOD9" s="892"/>
      <c r="DOE9" s="892"/>
      <c r="DOF9" s="892"/>
      <c r="DOG9" s="892"/>
      <c r="DOH9" s="892"/>
      <c r="DOI9" s="892"/>
      <c r="DOJ9" s="892"/>
      <c r="DOK9" s="892"/>
      <c r="DOL9" s="892"/>
      <c r="DOM9" s="892"/>
      <c r="DON9" s="892"/>
      <c r="DOO9" s="892"/>
      <c r="DOP9" s="892"/>
      <c r="DOQ9" s="892"/>
      <c r="DOR9" s="892"/>
      <c r="DOS9" s="892"/>
      <c r="DOT9" s="892"/>
      <c r="DOU9" s="892"/>
      <c r="DOV9" s="892"/>
      <c r="DOW9" s="892"/>
      <c r="DOX9" s="892"/>
      <c r="DOY9" s="892"/>
      <c r="DOZ9" s="892"/>
      <c r="DPA9" s="892"/>
      <c r="DPB9" s="892"/>
      <c r="DPC9" s="892"/>
      <c r="DPD9" s="892"/>
      <c r="DPE9" s="892"/>
      <c r="DPF9" s="892"/>
      <c r="DPG9" s="892"/>
      <c r="DPH9" s="892"/>
      <c r="DPI9" s="892"/>
      <c r="DPJ9" s="892"/>
      <c r="DPK9" s="892"/>
      <c r="DPL9" s="892"/>
      <c r="DPM9" s="892"/>
      <c r="DPN9" s="892"/>
      <c r="DPO9" s="892"/>
      <c r="DPP9" s="892"/>
      <c r="DPQ9" s="892"/>
      <c r="DPR9" s="892"/>
      <c r="DPS9" s="892"/>
      <c r="DPT9" s="892"/>
      <c r="DPU9" s="892"/>
      <c r="DPV9" s="892"/>
      <c r="DPW9" s="892"/>
      <c r="DPX9" s="892"/>
      <c r="DPY9" s="892"/>
      <c r="DPZ9" s="892"/>
      <c r="DQA9" s="892"/>
      <c r="DQB9" s="892"/>
      <c r="DQC9" s="892"/>
      <c r="DQD9" s="892"/>
      <c r="DQE9" s="892"/>
      <c r="DQF9" s="892"/>
      <c r="DQG9" s="892"/>
      <c r="DQH9" s="892"/>
      <c r="DQI9" s="892"/>
      <c r="DQJ9" s="892"/>
      <c r="DQK9" s="892"/>
      <c r="DQL9" s="892"/>
      <c r="DQM9" s="892"/>
      <c r="DQN9" s="892"/>
      <c r="DQO9" s="892"/>
      <c r="DQP9" s="892"/>
      <c r="DQQ9" s="892"/>
      <c r="DQR9" s="892"/>
      <c r="DQS9" s="892"/>
      <c r="DQT9" s="892"/>
      <c r="DQU9" s="892"/>
      <c r="DQV9" s="892"/>
      <c r="DQW9" s="892"/>
      <c r="DQX9" s="892"/>
      <c r="DQY9" s="892"/>
      <c r="DQZ9" s="892"/>
      <c r="DRA9" s="892"/>
      <c r="DRB9" s="892"/>
      <c r="DRC9" s="892"/>
      <c r="DRD9" s="892"/>
      <c r="DRE9" s="892"/>
      <c r="DRF9" s="892"/>
      <c r="DRG9" s="892"/>
      <c r="DRH9" s="892"/>
      <c r="DRI9" s="892"/>
      <c r="DRJ9" s="892"/>
      <c r="DRK9" s="892"/>
      <c r="DRL9" s="892"/>
      <c r="DRM9" s="892"/>
      <c r="DRN9" s="892"/>
      <c r="DRO9" s="892"/>
      <c r="DRP9" s="892"/>
      <c r="DRQ9" s="892"/>
      <c r="DRR9" s="892"/>
      <c r="DRS9" s="892"/>
      <c r="DRT9" s="892"/>
      <c r="DRU9" s="892"/>
      <c r="DRV9" s="892"/>
      <c r="DRW9" s="892"/>
      <c r="DRX9" s="892"/>
      <c r="DRY9" s="892"/>
      <c r="DRZ9" s="892"/>
      <c r="DSA9" s="892"/>
      <c r="DSB9" s="892"/>
      <c r="DSC9" s="892"/>
      <c r="DSD9" s="892"/>
      <c r="DSE9" s="892"/>
      <c r="DSF9" s="892"/>
      <c r="DSG9" s="892"/>
      <c r="DSH9" s="892"/>
      <c r="DSI9" s="892"/>
      <c r="DSJ9" s="892"/>
      <c r="DSK9" s="892"/>
      <c r="DSL9" s="892"/>
      <c r="DSM9" s="892"/>
      <c r="DSN9" s="892"/>
      <c r="DSO9" s="892"/>
      <c r="DSP9" s="892"/>
      <c r="DSQ9" s="892"/>
      <c r="DSR9" s="892"/>
      <c r="DSS9" s="892"/>
      <c r="DST9" s="892"/>
      <c r="DSU9" s="892"/>
      <c r="DSV9" s="892"/>
      <c r="DSW9" s="892"/>
      <c r="DSX9" s="892"/>
      <c r="DSY9" s="892"/>
      <c r="DSZ9" s="892"/>
      <c r="DTA9" s="892"/>
      <c r="DTB9" s="892"/>
      <c r="DTC9" s="892"/>
      <c r="DTD9" s="892"/>
      <c r="DTE9" s="892"/>
      <c r="DTF9" s="892"/>
      <c r="DTG9" s="892"/>
      <c r="DTH9" s="892"/>
      <c r="DTI9" s="892"/>
      <c r="DTJ9" s="892"/>
      <c r="DTK9" s="892"/>
      <c r="DTL9" s="892"/>
      <c r="DTM9" s="892"/>
      <c r="DTN9" s="892"/>
      <c r="DTO9" s="892"/>
      <c r="DTP9" s="892"/>
      <c r="DTQ9" s="892"/>
      <c r="DTR9" s="892"/>
      <c r="DTS9" s="892"/>
      <c r="DTT9" s="892"/>
      <c r="DTU9" s="892"/>
      <c r="DTV9" s="892"/>
      <c r="DTW9" s="892"/>
      <c r="DTX9" s="892"/>
      <c r="DTY9" s="892"/>
      <c r="DTZ9" s="892"/>
      <c r="DUA9" s="892"/>
      <c r="DUB9" s="892"/>
      <c r="DUC9" s="892"/>
      <c r="DUD9" s="892"/>
      <c r="DUE9" s="892"/>
      <c r="DUF9" s="892"/>
      <c r="DUG9" s="892"/>
      <c r="DUH9" s="892"/>
      <c r="DUI9" s="892"/>
      <c r="DUJ9" s="892"/>
      <c r="DUK9" s="892"/>
      <c r="DUL9" s="892"/>
      <c r="DUM9" s="892"/>
      <c r="DUN9" s="892"/>
      <c r="DUO9" s="892"/>
      <c r="DUP9" s="892"/>
      <c r="DUQ9" s="892"/>
      <c r="DUR9" s="892"/>
      <c r="DUS9" s="892"/>
      <c r="DUT9" s="892"/>
      <c r="DUU9" s="892"/>
      <c r="DUV9" s="892"/>
      <c r="DUW9" s="892"/>
      <c r="DUX9" s="892"/>
      <c r="DUY9" s="892"/>
      <c r="DUZ9" s="892"/>
      <c r="DVA9" s="892"/>
      <c r="DVB9" s="892"/>
      <c r="DVC9" s="892"/>
      <c r="DVD9" s="892"/>
      <c r="DVE9" s="892"/>
      <c r="DVF9" s="892"/>
      <c r="DVG9" s="892"/>
      <c r="DVH9" s="892"/>
      <c r="DVI9" s="892"/>
      <c r="DVJ9" s="892"/>
      <c r="DVK9" s="892"/>
      <c r="DVL9" s="892"/>
      <c r="DVM9" s="892"/>
      <c r="DVN9" s="892"/>
      <c r="DVO9" s="892"/>
      <c r="DVP9" s="892"/>
      <c r="DVQ9" s="892"/>
      <c r="DVR9" s="892"/>
      <c r="DVS9" s="892"/>
      <c r="DVT9" s="892"/>
      <c r="DVU9" s="892"/>
      <c r="DVV9" s="892"/>
      <c r="DVW9" s="892"/>
      <c r="DVX9" s="892"/>
      <c r="DVY9" s="892"/>
      <c r="DVZ9" s="892"/>
      <c r="DWA9" s="892"/>
      <c r="DWB9" s="892"/>
      <c r="DWC9" s="892"/>
      <c r="DWD9" s="892"/>
      <c r="DWE9" s="892"/>
      <c r="DWF9" s="892"/>
      <c r="DWG9" s="892"/>
      <c r="DWH9" s="892"/>
      <c r="DWI9" s="892"/>
      <c r="DWJ9" s="892"/>
      <c r="DWK9" s="892"/>
      <c r="DWL9" s="892"/>
      <c r="DWM9" s="892"/>
      <c r="DWN9" s="892"/>
      <c r="DWO9" s="892"/>
      <c r="DWP9" s="892"/>
      <c r="DWQ9" s="892"/>
      <c r="DWR9" s="892"/>
      <c r="DWS9" s="892"/>
      <c r="DWT9" s="892"/>
      <c r="DWU9" s="892"/>
      <c r="DWV9" s="892"/>
      <c r="DWW9" s="892"/>
      <c r="DWX9" s="892"/>
      <c r="DWY9" s="892"/>
      <c r="DWZ9" s="892"/>
      <c r="DXA9" s="892"/>
      <c r="DXB9" s="892"/>
      <c r="DXC9" s="892"/>
      <c r="DXD9" s="892"/>
      <c r="DXE9" s="892"/>
      <c r="DXF9" s="892"/>
      <c r="DXG9" s="892"/>
      <c r="DXH9" s="892"/>
      <c r="DXI9" s="892"/>
      <c r="DXJ9" s="892"/>
      <c r="DXK9" s="892"/>
      <c r="DXL9" s="892"/>
      <c r="DXM9" s="892"/>
      <c r="DXN9" s="892"/>
      <c r="DXO9" s="892"/>
      <c r="DXP9" s="892"/>
      <c r="DXQ9" s="892"/>
      <c r="DXR9" s="892"/>
      <c r="DXS9" s="892"/>
      <c r="DXT9" s="892"/>
      <c r="DXU9" s="892"/>
      <c r="DXV9" s="892"/>
      <c r="DXW9" s="892"/>
      <c r="DXX9" s="892"/>
      <c r="DXY9" s="892"/>
      <c r="DXZ9" s="892"/>
      <c r="DYA9" s="892"/>
      <c r="DYB9" s="892"/>
      <c r="DYC9" s="892"/>
      <c r="DYD9" s="892"/>
      <c r="DYE9" s="892"/>
      <c r="DYF9" s="892"/>
      <c r="DYG9" s="892"/>
      <c r="DYH9" s="892"/>
      <c r="DYI9" s="892"/>
      <c r="DYJ9" s="892"/>
      <c r="DYK9" s="892"/>
      <c r="DYL9" s="892"/>
      <c r="DYM9" s="892"/>
      <c r="DYN9" s="892"/>
      <c r="DYO9" s="892"/>
      <c r="DYP9" s="892"/>
      <c r="DYQ9" s="892"/>
      <c r="DYR9" s="892"/>
      <c r="DYS9" s="892"/>
      <c r="DYT9" s="892"/>
      <c r="DYU9" s="892"/>
      <c r="DYV9" s="892"/>
      <c r="DYW9" s="892"/>
      <c r="DYX9" s="892"/>
      <c r="DYY9" s="892"/>
      <c r="DYZ9" s="892"/>
      <c r="DZA9" s="892"/>
      <c r="DZB9" s="892"/>
      <c r="DZC9" s="892"/>
      <c r="DZD9" s="892"/>
      <c r="DZE9" s="892"/>
      <c r="DZF9" s="892"/>
      <c r="DZG9" s="892"/>
      <c r="DZH9" s="892"/>
      <c r="DZI9" s="892"/>
      <c r="DZJ9" s="892"/>
      <c r="DZK9" s="892"/>
      <c r="DZL9" s="892"/>
      <c r="DZM9" s="892"/>
      <c r="DZN9" s="892"/>
      <c r="DZO9" s="892"/>
      <c r="DZP9" s="892"/>
      <c r="DZQ9" s="892"/>
      <c r="DZR9" s="892"/>
      <c r="DZS9" s="892"/>
      <c r="DZT9" s="892"/>
      <c r="DZU9" s="892"/>
      <c r="DZV9" s="892"/>
      <c r="DZW9" s="892"/>
      <c r="DZX9" s="892"/>
      <c r="DZY9" s="892"/>
      <c r="DZZ9" s="892"/>
      <c r="EAA9" s="892"/>
      <c r="EAB9" s="892"/>
      <c r="EAC9" s="892"/>
      <c r="EAD9" s="892"/>
      <c r="EAE9" s="892"/>
      <c r="EAF9" s="892"/>
      <c r="EAG9" s="892"/>
      <c r="EAH9" s="892"/>
      <c r="EAI9" s="892"/>
      <c r="EAJ9" s="892"/>
      <c r="EAK9" s="892"/>
      <c r="EAL9" s="892"/>
      <c r="EAM9" s="892"/>
      <c r="EAN9" s="892"/>
      <c r="EAO9" s="892"/>
      <c r="EAP9" s="892"/>
      <c r="EAQ9" s="892"/>
      <c r="EAR9" s="892"/>
      <c r="EAS9" s="892"/>
      <c r="EAT9" s="892"/>
      <c r="EAU9" s="892"/>
      <c r="EAV9" s="892"/>
      <c r="EAW9" s="892"/>
      <c r="EAX9" s="892"/>
      <c r="EAY9" s="892"/>
      <c r="EAZ9" s="892"/>
      <c r="EBA9" s="892"/>
      <c r="EBB9" s="892"/>
      <c r="EBC9" s="892"/>
      <c r="EBD9" s="892"/>
      <c r="EBE9" s="892"/>
      <c r="EBF9" s="892"/>
      <c r="EBG9" s="892"/>
      <c r="EBH9" s="892"/>
      <c r="EBI9" s="892"/>
      <c r="EBJ9" s="892"/>
      <c r="EBK9" s="892"/>
      <c r="EBL9" s="892"/>
      <c r="EBM9" s="892"/>
      <c r="EBN9" s="892"/>
      <c r="EBO9" s="892"/>
      <c r="EBP9" s="892"/>
      <c r="EBQ9" s="892"/>
      <c r="EBR9" s="892"/>
      <c r="EBS9" s="892"/>
      <c r="EBT9" s="892"/>
      <c r="EBU9" s="892"/>
      <c r="EBV9" s="892"/>
      <c r="EBW9" s="892"/>
      <c r="EBX9" s="892"/>
      <c r="EBY9" s="892"/>
      <c r="EBZ9" s="892"/>
      <c r="ECA9" s="892"/>
      <c r="ECB9" s="892"/>
      <c r="ECC9" s="892"/>
      <c r="ECD9" s="892"/>
      <c r="ECE9" s="892"/>
      <c r="ECF9" s="892"/>
      <c r="ECG9" s="892"/>
      <c r="ECH9" s="892"/>
      <c r="ECI9" s="892"/>
      <c r="ECJ9" s="892"/>
      <c r="ECK9" s="892"/>
      <c r="ECL9" s="892"/>
      <c r="ECM9" s="892"/>
      <c r="ECN9" s="892"/>
      <c r="ECO9" s="892"/>
      <c r="ECP9" s="892"/>
      <c r="ECQ9" s="892"/>
      <c r="ECR9" s="892"/>
      <c r="ECS9" s="892"/>
      <c r="ECT9" s="892"/>
      <c r="ECU9" s="892"/>
      <c r="ECV9" s="892"/>
      <c r="ECW9" s="892"/>
      <c r="ECX9" s="892"/>
      <c r="ECY9" s="892"/>
      <c r="ECZ9" s="892"/>
      <c r="EDA9" s="892"/>
      <c r="EDB9" s="892"/>
      <c r="EDC9" s="892"/>
      <c r="EDD9" s="892"/>
      <c r="EDE9" s="892"/>
      <c r="EDF9" s="892"/>
      <c r="EDG9" s="892"/>
      <c r="EDH9" s="892"/>
      <c r="EDI9" s="892"/>
      <c r="EDJ9" s="892"/>
      <c r="EDK9" s="892"/>
      <c r="EDL9" s="892"/>
      <c r="EDM9" s="892"/>
      <c r="EDN9" s="892"/>
      <c r="EDO9" s="892"/>
      <c r="EDP9" s="892"/>
      <c r="EDQ9" s="892"/>
      <c r="EDR9" s="892"/>
      <c r="EDS9" s="892"/>
      <c r="EDT9" s="892"/>
      <c r="EDU9" s="892"/>
      <c r="EDV9" s="892"/>
      <c r="EDW9" s="892"/>
      <c r="EDX9" s="892"/>
      <c r="EDY9" s="892"/>
      <c r="EDZ9" s="892"/>
      <c r="EEA9" s="892"/>
      <c r="EEB9" s="892"/>
      <c r="EEC9" s="892"/>
      <c r="EED9" s="892"/>
      <c r="EEE9" s="892"/>
      <c r="EEF9" s="892"/>
      <c r="EEG9" s="892"/>
      <c r="EEH9" s="892"/>
      <c r="EEI9" s="892"/>
      <c r="EEJ9" s="892"/>
      <c r="EEK9" s="892"/>
      <c r="EEL9" s="892"/>
      <c r="EEM9" s="892"/>
      <c r="EEN9" s="892"/>
      <c r="EEO9" s="892"/>
      <c r="EEP9" s="892"/>
      <c r="EEQ9" s="892"/>
      <c r="EER9" s="892"/>
      <c r="EES9" s="892"/>
      <c r="EET9" s="892"/>
      <c r="EEU9" s="892"/>
      <c r="EEV9" s="892"/>
      <c r="EEW9" s="892"/>
      <c r="EEX9" s="892"/>
      <c r="EEY9" s="892"/>
      <c r="EEZ9" s="892"/>
      <c r="EFA9" s="892"/>
      <c r="EFB9" s="892"/>
      <c r="EFC9" s="892"/>
      <c r="EFD9" s="892"/>
      <c r="EFE9" s="892"/>
      <c r="EFF9" s="892"/>
      <c r="EFG9" s="892"/>
      <c r="EFH9" s="892"/>
      <c r="EFI9" s="892"/>
      <c r="EFJ9" s="892"/>
      <c r="EFK9" s="892"/>
      <c r="EFL9" s="892"/>
      <c r="EFM9" s="892"/>
      <c r="EFN9" s="892"/>
      <c r="EFO9" s="892"/>
      <c r="EFP9" s="892"/>
      <c r="EFQ9" s="892"/>
      <c r="EFR9" s="892"/>
      <c r="EFS9" s="892"/>
      <c r="EFT9" s="892"/>
      <c r="EFU9" s="892"/>
      <c r="EFV9" s="892"/>
      <c r="EFW9" s="892"/>
      <c r="EFX9" s="892"/>
      <c r="EFY9" s="892"/>
      <c r="EFZ9" s="892"/>
      <c r="EGA9" s="892"/>
      <c r="EGB9" s="892"/>
      <c r="EGC9" s="892"/>
      <c r="EGD9" s="892"/>
      <c r="EGE9" s="892"/>
      <c r="EGF9" s="892"/>
      <c r="EGG9" s="892"/>
      <c r="EGH9" s="892"/>
      <c r="EGI9" s="892"/>
      <c r="EGJ9" s="892"/>
      <c r="EGK9" s="892"/>
      <c r="EGL9" s="892"/>
      <c r="EGM9" s="892"/>
      <c r="EGN9" s="892"/>
      <c r="EGO9" s="892"/>
      <c r="EGP9" s="892"/>
      <c r="EGQ9" s="892"/>
      <c r="EGR9" s="892"/>
      <c r="EGS9" s="892"/>
      <c r="EGT9" s="892"/>
      <c r="EGU9" s="892"/>
      <c r="EGV9" s="892"/>
      <c r="EGW9" s="892"/>
      <c r="EGX9" s="892"/>
      <c r="EGY9" s="892"/>
      <c r="EGZ9" s="892"/>
      <c r="EHA9" s="892"/>
      <c r="EHB9" s="892"/>
      <c r="EHC9" s="892"/>
      <c r="EHD9" s="892"/>
      <c r="EHE9" s="892"/>
      <c r="EHF9" s="892"/>
      <c r="EHG9" s="892"/>
      <c r="EHH9" s="892"/>
      <c r="EHI9" s="892"/>
      <c r="EHJ9" s="892"/>
      <c r="EHK9" s="892"/>
      <c r="EHL9" s="892"/>
      <c r="EHM9" s="892"/>
      <c r="EHN9" s="892"/>
      <c r="EHO9" s="892"/>
      <c r="EHP9" s="892"/>
      <c r="EHQ9" s="892"/>
      <c r="EHR9" s="892"/>
      <c r="EHS9" s="892"/>
      <c r="EHT9" s="892"/>
      <c r="EHU9" s="892"/>
      <c r="EHV9" s="892"/>
      <c r="EHW9" s="892"/>
      <c r="EHX9" s="892"/>
      <c r="EHY9" s="892"/>
      <c r="EHZ9" s="892"/>
      <c r="EIA9" s="892"/>
      <c r="EIB9" s="892"/>
      <c r="EIC9" s="892"/>
      <c r="EID9" s="892"/>
      <c r="EIE9" s="892"/>
      <c r="EIF9" s="892"/>
      <c r="EIG9" s="892"/>
      <c r="EIH9" s="892"/>
      <c r="EII9" s="892"/>
      <c r="EIJ9" s="892"/>
      <c r="EIK9" s="892"/>
      <c r="EIL9" s="892"/>
      <c r="EIM9" s="892"/>
      <c r="EIN9" s="892"/>
      <c r="EIO9" s="892"/>
      <c r="EIP9" s="892"/>
      <c r="EIQ9" s="892"/>
      <c r="EIR9" s="892"/>
      <c r="EIS9" s="892"/>
      <c r="EIT9" s="892"/>
      <c r="EIU9" s="892"/>
      <c r="EIV9" s="892"/>
      <c r="EIW9" s="892"/>
      <c r="EIX9" s="892"/>
      <c r="EIY9" s="892"/>
      <c r="EIZ9" s="892"/>
      <c r="EJA9" s="892"/>
      <c r="EJB9" s="892"/>
      <c r="EJC9" s="892"/>
      <c r="EJD9" s="892"/>
      <c r="EJE9" s="892"/>
      <c r="EJF9" s="892"/>
      <c r="EJG9" s="892"/>
      <c r="EJH9" s="892"/>
      <c r="EJI9" s="892"/>
      <c r="EJJ9" s="892"/>
      <c r="EJK9" s="892"/>
      <c r="EJL9" s="892"/>
      <c r="EJM9" s="892"/>
      <c r="EJN9" s="892"/>
      <c r="EJO9" s="892"/>
      <c r="EJP9" s="892"/>
      <c r="EJQ9" s="892"/>
      <c r="EJR9" s="892"/>
      <c r="EJS9" s="892"/>
      <c r="EJT9" s="892"/>
      <c r="EJU9" s="892"/>
      <c r="EJV9" s="892"/>
      <c r="EJW9" s="892"/>
      <c r="EJX9" s="892"/>
      <c r="EJY9" s="892"/>
      <c r="EJZ9" s="892"/>
      <c r="EKA9" s="892"/>
      <c r="EKB9" s="892"/>
      <c r="EKC9" s="892"/>
      <c r="EKD9" s="892"/>
      <c r="EKE9" s="892"/>
      <c r="EKF9" s="892"/>
      <c r="EKG9" s="892"/>
      <c r="EKH9" s="892"/>
      <c r="EKI9" s="892"/>
      <c r="EKJ9" s="892"/>
      <c r="EKK9" s="892"/>
      <c r="EKL9" s="892"/>
      <c r="EKM9" s="892"/>
      <c r="EKN9" s="892"/>
      <c r="EKO9" s="892"/>
      <c r="EKP9" s="892"/>
      <c r="EKQ9" s="892"/>
      <c r="EKR9" s="892"/>
      <c r="EKS9" s="892"/>
      <c r="EKT9" s="892"/>
      <c r="EKU9" s="892"/>
      <c r="EKV9" s="892"/>
      <c r="EKW9" s="892"/>
      <c r="EKX9" s="892"/>
      <c r="EKY9" s="892"/>
      <c r="EKZ9" s="892"/>
      <c r="ELA9" s="892"/>
      <c r="ELB9" s="892"/>
      <c r="ELC9" s="892"/>
      <c r="ELD9" s="892"/>
      <c r="ELE9" s="892"/>
      <c r="ELF9" s="892"/>
      <c r="ELG9" s="892"/>
      <c r="ELH9" s="892"/>
      <c r="ELI9" s="892"/>
      <c r="ELJ9" s="892"/>
      <c r="ELK9" s="892"/>
      <c r="ELL9" s="892"/>
      <c r="ELM9" s="892"/>
      <c r="ELN9" s="892"/>
      <c r="ELO9" s="892"/>
      <c r="ELP9" s="892"/>
      <c r="ELQ9" s="892"/>
      <c r="ELR9" s="892"/>
      <c r="ELS9" s="892"/>
      <c r="ELT9" s="892"/>
      <c r="ELU9" s="892"/>
      <c r="ELV9" s="892"/>
      <c r="ELW9" s="892"/>
      <c r="ELX9" s="892"/>
      <c r="ELY9" s="892"/>
      <c r="ELZ9" s="892"/>
      <c r="EMA9" s="892"/>
      <c r="EMB9" s="892"/>
      <c r="EMC9" s="892"/>
      <c r="EMD9" s="892"/>
      <c r="EME9" s="892"/>
      <c r="EMF9" s="892"/>
      <c r="EMG9" s="892"/>
      <c r="EMH9" s="892"/>
      <c r="EMI9" s="892"/>
      <c r="EMJ9" s="892"/>
      <c r="EMK9" s="892"/>
      <c r="EML9" s="892"/>
      <c r="EMM9" s="892"/>
      <c r="EMN9" s="892"/>
      <c r="EMO9" s="892"/>
      <c r="EMP9" s="892"/>
      <c r="EMQ9" s="892"/>
      <c r="EMR9" s="892"/>
      <c r="EMS9" s="892"/>
      <c r="EMT9" s="892"/>
      <c r="EMU9" s="892"/>
      <c r="EMV9" s="892"/>
      <c r="EMW9" s="892"/>
      <c r="EMX9" s="892"/>
      <c r="EMY9" s="892"/>
      <c r="EMZ9" s="892"/>
      <c r="ENA9" s="892"/>
      <c r="ENB9" s="892"/>
      <c r="ENC9" s="892"/>
      <c r="END9" s="892"/>
      <c r="ENE9" s="892"/>
      <c r="ENF9" s="892"/>
      <c r="ENG9" s="892"/>
      <c r="ENH9" s="892"/>
      <c r="ENI9" s="892"/>
      <c r="ENJ9" s="892"/>
      <c r="ENK9" s="892"/>
      <c r="ENL9" s="892"/>
      <c r="ENM9" s="892"/>
      <c r="ENN9" s="892"/>
      <c r="ENO9" s="892"/>
      <c r="ENP9" s="892"/>
      <c r="ENQ9" s="892"/>
      <c r="ENR9" s="892"/>
      <c r="ENS9" s="892"/>
      <c r="ENT9" s="892"/>
      <c r="ENU9" s="892"/>
      <c r="ENV9" s="892"/>
      <c r="ENW9" s="892"/>
      <c r="ENX9" s="892"/>
      <c r="ENY9" s="892"/>
      <c r="ENZ9" s="892"/>
      <c r="EOA9" s="892"/>
      <c r="EOB9" s="892"/>
      <c r="EOC9" s="892"/>
      <c r="EOD9" s="892"/>
      <c r="EOE9" s="892"/>
      <c r="EOF9" s="892"/>
      <c r="EOG9" s="892"/>
      <c r="EOH9" s="892"/>
      <c r="EOI9" s="892"/>
      <c r="EOJ9" s="892"/>
      <c r="EOK9" s="892"/>
      <c r="EOL9" s="892"/>
      <c r="EOM9" s="892"/>
      <c r="EON9" s="892"/>
      <c r="EOO9" s="892"/>
      <c r="EOP9" s="892"/>
      <c r="EOQ9" s="892"/>
      <c r="EOR9" s="892"/>
      <c r="EOS9" s="892"/>
      <c r="EOT9" s="892"/>
      <c r="EOU9" s="892"/>
      <c r="EOV9" s="892"/>
      <c r="EOW9" s="892"/>
      <c r="EOX9" s="892"/>
      <c r="EOY9" s="892"/>
      <c r="EOZ9" s="892"/>
      <c r="EPA9" s="892"/>
      <c r="EPB9" s="892"/>
      <c r="EPC9" s="892"/>
      <c r="EPD9" s="892"/>
      <c r="EPE9" s="892"/>
      <c r="EPF9" s="892"/>
      <c r="EPG9" s="892"/>
      <c r="EPH9" s="892"/>
      <c r="EPI9" s="892"/>
      <c r="EPJ9" s="892"/>
      <c r="EPK9" s="892"/>
      <c r="EPL9" s="892"/>
      <c r="EPM9" s="892"/>
      <c r="EPN9" s="892"/>
      <c r="EPO9" s="892"/>
      <c r="EPP9" s="892"/>
      <c r="EPQ9" s="892"/>
      <c r="EPR9" s="892"/>
      <c r="EPS9" s="892"/>
      <c r="EPT9" s="892"/>
      <c r="EPU9" s="892"/>
      <c r="EPV9" s="892"/>
      <c r="EPW9" s="892"/>
      <c r="EPX9" s="892"/>
      <c r="EPY9" s="892"/>
      <c r="EPZ9" s="892"/>
      <c r="EQA9" s="892"/>
      <c r="EQB9" s="892"/>
      <c r="EQC9" s="892"/>
      <c r="EQD9" s="892"/>
      <c r="EQE9" s="892"/>
      <c r="EQF9" s="892"/>
      <c r="EQG9" s="892"/>
      <c r="EQH9" s="892"/>
      <c r="EQI9" s="892"/>
      <c r="EQJ9" s="892"/>
      <c r="EQK9" s="892"/>
      <c r="EQL9" s="892"/>
      <c r="EQM9" s="892"/>
      <c r="EQN9" s="892"/>
      <c r="EQO9" s="892"/>
      <c r="EQP9" s="892"/>
      <c r="EQQ9" s="892"/>
      <c r="EQR9" s="892"/>
      <c r="EQS9" s="892"/>
      <c r="EQT9" s="892"/>
      <c r="EQU9" s="892"/>
      <c r="EQV9" s="892"/>
      <c r="EQW9" s="892"/>
      <c r="EQX9" s="892"/>
      <c r="EQY9" s="892"/>
      <c r="EQZ9" s="892"/>
      <c r="ERA9" s="892"/>
      <c r="ERB9" s="892"/>
      <c r="ERC9" s="892"/>
      <c r="ERD9" s="892"/>
      <c r="ERE9" s="892"/>
      <c r="ERF9" s="892"/>
      <c r="ERG9" s="892"/>
      <c r="ERH9" s="892"/>
      <c r="ERI9" s="892"/>
      <c r="ERJ9" s="892"/>
      <c r="ERK9" s="892"/>
      <c r="ERL9" s="892"/>
      <c r="ERM9" s="892"/>
      <c r="ERN9" s="892"/>
      <c r="ERO9" s="892"/>
      <c r="ERP9" s="892"/>
      <c r="ERQ9" s="892"/>
      <c r="ERR9" s="892"/>
      <c r="ERS9" s="892"/>
      <c r="ERT9" s="892"/>
      <c r="ERU9" s="892"/>
      <c r="ERV9" s="892"/>
      <c r="ERW9" s="892"/>
      <c r="ERX9" s="892"/>
      <c r="ERY9" s="892"/>
      <c r="ERZ9" s="892"/>
      <c r="ESA9" s="892"/>
      <c r="ESB9" s="892"/>
      <c r="ESC9" s="892"/>
      <c r="ESD9" s="892"/>
      <c r="ESE9" s="892"/>
      <c r="ESF9" s="892"/>
      <c r="ESG9" s="892"/>
      <c r="ESH9" s="892"/>
      <c r="ESI9" s="892"/>
      <c r="ESJ9" s="892"/>
      <c r="ESK9" s="892"/>
      <c r="ESL9" s="892"/>
      <c r="ESM9" s="892"/>
      <c r="ESN9" s="892"/>
      <c r="ESO9" s="892"/>
      <c r="ESP9" s="892"/>
      <c r="ESQ9" s="892"/>
      <c r="ESR9" s="892"/>
      <c r="ESS9" s="892"/>
      <c r="EST9" s="892"/>
      <c r="ESU9" s="892"/>
      <c r="ESV9" s="892"/>
      <c r="ESW9" s="892"/>
      <c r="ESX9" s="892"/>
      <c r="ESY9" s="892"/>
      <c r="ESZ9" s="892"/>
      <c r="ETA9" s="892"/>
      <c r="ETB9" s="892"/>
      <c r="ETC9" s="892"/>
      <c r="ETD9" s="892"/>
      <c r="ETE9" s="892"/>
      <c r="ETF9" s="892"/>
      <c r="ETG9" s="892"/>
      <c r="ETH9" s="892"/>
      <c r="ETI9" s="892"/>
      <c r="ETJ9" s="892"/>
      <c r="ETK9" s="892"/>
      <c r="ETL9" s="892"/>
      <c r="ETM9" s="892"/>
      <c r="ETN9" s="892"/>
      <c r="ETO9" s="892"/>
      <c r="ETP9" s="892"/>
      <c r="ETQ9" s="892"/>
      <c r="ETR9" s="892"/>
      <c r="ETS9" s="892"/>
      <c r="ETT9" s="892"/>
      <c r="ETU9" s="892"/>
      <c r="ETV9" s="892"/>
      <c r="ETW9" s="892"/>
      <c r="ETX9" s="892"/>
      <c r="ETY9" s="892"/>
      <c r="ETZ9" s="892"/>
      <c r="EUA9" s="892"/>
      <c r="EUB9" s="892"/>
      <c r="EUC9" s="892"/>
      <c r="EUD9" s="892"/>
      <c r="EUE9" s="892"/>
      <c r="EUF9" s="892"/>
      <c r="EUG9" s="892"/>
      <c r="EUH9" s="892"/>
      <c r="EUI9" s="892"/>
      <c r="EUJ9" s="892"/>
      <c r="EUK9" s="892"/>
      <c r="EUL9" s="892"/>
      <c r="EUM9" s="892"/>
      <c r="EUN9" s="892"/>
      <c r="EUO9" s="892"/>
      <c r="EUP9" s="892"/>
      <c r="EUQ9" s="892"/>
      <c r="EUR9" s="892"/>
      <c r="EUS9" s="892"/>
      <c r="EUT9" s="892"/>
      <c r="EUU9" s="892"/>
      <c r="EUV9" s="892"/>
      <c r="EUW9" s="892"/>
      <c r="EUX9" s="892"/>
      <c r="EUY9" s="892"/>
      <c r="EUZ9" s="892"/>
      <c r="EVA9" s="892"/>
      <c r="EVB9" s="892"/>
      <c r="EVC9" s="892"/>
      <c r="EVD9" s="892"/>
      <c r="EVE9" s="892"/>
      <c r="EVF9" s="892"/>
      <c r="EVG9" s="892"/>
      <c r="EVH9" s="892"/>
      <c r="EVI9" s="892"/>
      <c r="EVJ9" s="892"/>
      <c r="EVK9" s="892"/>
      <c r="EVL9" s="892"/>
      <c r="EVM9" s="892"/>
      <c r="EVN9" s="892"/>
      <c r="EVO9" s="892"/>
      <c r="EVP9" s="892"/>
      <c r="EVQ9" s="892"/>
      <c r="EVR9" s="892"/>
      <c r="EVS9" s="892"/>
      <c r="EVT9" s="892"/>
      <c r="EVU9" s="892"/>
      <c r="EVV9" s="892"/>
      <c r="EVW9" s="892"/>
      <c r="EVX9" s="892"/>
      <c r="EVY9" s="892"/>
      <c r="EVZ9" s="892"/>
      <c r="EWA9" s="892"/>
      <c r="EWB9" s="892"/>
      <c r="EWC9" s="892"/>
      <c r="EWD9" s="892"/>
      <c r="EWE9" s="892"/>
      <c r="EWF9" s="892"/>
      <c r="EWG9" s="892"/>
      <c r="EWH9" s="892"/>
      <c r="EWI9" s="892"/>
      <c r="EWJ9" s="892"/>
      <c r="EWK9" s="892"/>
      <c r="EWL9" s="892"/>
      <c r="EWM9" s="892"/>
      <c r="EWN9" s="892"/>
      <c r="EWO9" s="892"/>
      <c r="EWP9" s="892"/>
      <c r="EWQ9" s="892"/>
      <c r="EWR9" s="892"/>
      <c r="EWS9" s="892"/>
      <c r="EWT9" s="892"/>
      <c r="EWU9" s="892"/>
      <c r="EWV9" s="892"/>
      <c r="EWW9" s="892"/>
      <c r="EWX9" s="892"/>
      <c r="EWY9" s="892"/>
      <c r="EWZ9" s="892"/>
      <c r="EXA9" s="892"/>
      <c r="EXB9" s="892"/>
      <c r="EXC9" s="892"/>
      <c r="EXD9" s="892"/>
      <c r="EXE9" s="892"/>
      <c r="EXF9" s="892"/>
      <c r="EXG9" s="892"/>
      <c r="EXH9" s="892"/>
      <c r="EXI9" s="892"/>
      <c r="EXJ9" s="892"/>
      <c r="EXK9" s="892"/>
      <c r="EXL9" s="892"/>
      <c r="EXM9" s="892"/>
      <c r="EXN9" s="892"/>
      <c r="EXO9" s="892"/>
      <c r="EXP9" s="892"/>
      <c r="EXQ9" s="892"/>
      <c r="EXR9" s="892"/>
      <c r="EXS9" s="892"/>
      <c r="EXT9" s="892"/>
      <c r="EXU9" s="892"/>
      <c r="EXV9" s="892"/>
      <c r="EXW9" s="892"/>
      <c r="EXX9" s="892"/>
      <c r="EXY9" s="892"/>
      <c r="EXZ9" s="892"/>
      <c r="EYA9" s="892"/>
      <c r="EYB9" s="892"/>
      <c r="EYC9" s="892"/>
      <c r="EYD9" s="892"/>
      <c r="EYE9" s="892"/>
      <c r="EYF9" s="892"/>
      <c r="EYG9" s="892"/>
      <c r="EYH9" s="892"/>
      <c r="EYI9" s="892"/>
      <c r="EYJ9" s="892"/>
      <c r="EYK9" s="892"/>
      <c r="EYL9" s="892"/>
      <c r="EYM9" s="892"/>
      <c r="EYN9" s="892"/>
      <c r="EYO9" s="892"/>
      <c r="EYP9" s="892"/>
      <c r="EYQ9" s="892"/>
      <c r="EYR9" s="892"/>
      <c r="EYS9" s="892"/>
      <c r="EYT9" s="892"/>
      <c r="EYU9" s="892"/>
      <c r="EYV9" s="892"/>
      <c r="EYW9" s="892"/>
      <c r="EYX9" s="892"/>
      <c r="EYY9" s="892"/>
      <c r="EYZ9" s="892"/>
      <c r="EZA9" s="892"/>
      <c r="EZB9" s="892"/>
      <c r="EZC9" s="892"/>
      <c r="EZD9" s="892"/>
      <c r="EZE9" s="892"/>
      <c r="EZF9" s="892"/>
      <c r="EZG9" s="892"/>
      <c r="EZH9" s="892"/>
      <c r="EZI9" s="892"/>
      <c r="EZJ9" s="892"/>
      <c r="EZK9" s="892"/>
      <c r="EZL9" s="892"/>
      <c r="EZM9" s="892"/>
      <c r="EZN9" s="892"/>
      <c r="EZO9" s="892"/>
      <c r="EZP9" s="892"/>
      <c r="EZQ9" s="892"/>
      <c r="EZR9" s="892"/>
      <c r="EZS9" s="892"/>
      <c r="EZT9" s="892"/>
      <c r="EZU9" s="892"/>
      <c r="EZV9" s="892"/>
      <c r="EZW9" s="892"/>
      <c r="EZX9" s="892"/>
      <c r="EZY9" s="892"/>
      <c r="EZZ9" s="892"/>
      <c r="FAA9" s="892"/>
      <c r="FAB9" s="892"/>
      <c r="FAC9" s="892"/>
      <c r="FAD9" s="892"/>
      <c r="FAE9" s="892"/>
      <c r="FAF9" s="892"/>
      <c r="FAG9" s="892"/>
      <c r="FAH9" s="892"/>
      <c r="FAI9" s="892"/>
      <c r="FAJ9" s="892"/>
      <c r="FAK9" s="892"/>
      <c r="FAL9" s="892"/>
      <c r="FAM9" s="892"/>
      <c r="FAN9" s="892"/>
      <c r="FAO9" s="892"/>
      <c r="FAP9" s="892"/>
      <c r="FAQ9" s="892"/>
      <c r="FAR9" s="892"/>
      <c r="FAS9" s="892"/>
      <c r="FAT9" s="892"/>
      <c r="FAU9" s="892"/>
      <c r="FAV9" s="892"/>
      <c r="FAW9" s="892"/>
      <c r="FAX9" s="892"/>
      <c r="FAY9" s="892"/>
      <c r="FAZ9" s="892"/>
      <c r="FBA9" s="892"/>
      <c r="FBB9" s="892"/>
      <c r="FBC9" s="892"/>
      <c r="FBD9" s="892"/>
      <c r="FBE9" s="892"/>
      <c r="FBF9" s="892"/>
      <c r="FBG9" s="892"/>
      <c r="FBH9" s="892"/>
      <c r="FBI9" s="892"/>
      <c r="FBJ9" s="892"/>
      <c r="FBK9" s="892"/>
      <c r="FBL9" s="892"/>
      <c r="FBM9" s="892"/>
      <c r="FBN9" s="892"/>
      <c r="FBO9" s="892"/>
      <c r="FBP9" s="892"/>
      <c r="FBQ9" s="892"/>
      <c r="FBR9" s="892"/>
      <c r="FBS9" s="892"/>
      <c r="FBT9" s="892"/>
      <c r="FBU9" s="892"/>
      <c r="FBV9" s="892"/>
      <c r="FBW9" s="892"/>
      <c r="FBX9" s="892"/>
      <c r="FBY9" s="892"/>
      <c r="FBZ9" s="892"/>
      <c r="FCA9" s="892"/>
      <c r="FCB9" s="892"/>
      <c r="FCC9" s="892"/>
      <c r="FCD9" s="892"/>
      <c r="FCE9" s="892"/>
      <c r="FCF9" s="892"/>
      <c r="FCG9" s="892"/>
      <c r="FCH9" s="892"/>
      <c r="FCI9" s="892"/>
      <c r="FCJ9" s="892"/>
      <c r="FCK9" s="892"/>
      <c r="FCL9" s="892"/>
      <c r="FCM9" s="892"/>
      <c r="FCN9" s="892"/>
      <c r="FCO9" s="892"/>
      <c r="FCP9" s="892"/>
      <c r="FCQ9" s="892"/>
      <c r="FCR9" s="892"/>
      <c r="FCS9" s="892"/>
      <c r="FCT9" s="892"/>
      <c r="FCU9" s="892"/>
      <c r="FCV9" s="892"/>
      <c r="FCW9" s="892"/>
      <c r="FCX9" s="892"/>
      <c r="FCY9" s="892"/>
      <c r="FCZ9" s="892"/>
      <c r="FDA9" s="892"/>
      <c r="FDB9" s="892"/>
      <c r="FDC9" s="892"/>
      <c r="FDD9" s="892"/>
      <c r="FDE9" s="892"/>
      <c r="FDF9" s="892"/>
      <c r="FDG9" s="892"/>
      <c r="FDH9" s="892"/>
      <c r="FDI9" s="892"/>
      <c r="FDJ9" s="892"/>
      <c r="FDK9" s="892"/>
      <c r="FDL9" s="892"/>
      <c r="FDM9" s="892"/>
      <c r="FDN9" s="892"/>
      <c r="FDO9" s="892"/>
      <c r="FDP9" s="892"/>
      <c r="FDQ9" s="892"/>
      <c r="FDR9" s="892"/>
      <c r="FDS9" s="892"/>
      <c r="FDT9" s="892"/>
      <c r="FDU9" s="892"/>
      <c r="FDV9" s="892"/>
      <c r="FDW9" s="892"/>
      <c r="FDX9" s="892"/>
      <c r="FDY9" s="892"/>
      <c r="FDZ9" s="892"/>
      <c r="FEA9" s="892"/>
      <c r="FEB9" s="892"/>
      <c r="FEC9" s="892"/>
      <c r="FED9" s="892"/>
      <c r="FEE9" s="892"/>
      <c r="FEF9" s="892"/>
      <c r="FEG9" s="892"/>
      <c r="FEH9" s="892"/>
      <c r="FEI9" s="892"/>
      <c r="FEJ9" s="892"/>
      <c r="FEK9" s="892"/>
      <c r="FEL9" s="892"/>
      <c r="FEM9" s="892"/>
      <c r="FEN9" s="892"/>
      <c r="FEO9" s="892"/>
      <c r="FEP9" s="892"/>
      <c r="FEQ9" s="892"/>
      <c r="FER9" s="892"/>
      <c r="FES9" s="892"/>
      <c r="FET9" s="892"/>
      <c r="FEU9" s="892"/>
      <c r="FEV9" s="892"/>
      <c r="FEW9" s="892"/>
      <c r="FEX9" s="892"/>
      <c r="FEY9" s="892"/>
      <c r="FEZ9" s="892"/>
      <c r="FFA9" s="892"/>
      <c r="FFB9" s="892"/>
      <c r="FFC9" s="892"/>
      <c r="FFD9" s="892"/>
      <c r="FFE9" s="892"/>
      <c r="FFF9" s="892"/>
      <c r="FFG9" s="892"/>
      <c r="FFH9" s="892"/>
      <c r="FFI9" s="892"/>
      <c r="FFJ9" s="892"/>
      <c r="FFK9" s="892"/>
      <c r="FFL9" s="892"/>
      <c r="FFM9" s="892"/>
      <c r="FFN9" s="892"/>
      <c r="FFO9" s="892"/>
      <c r="FFP9" s="892"/>
      <c r="FFQ9" s="892"/>
      <c r="FFR9" s="892"/>
      <c r="FFS9" s="892"/>
      <c r="FFT9" s="892"/>
      <c r="FFU9" s="892"/>
      <c r="FFV9" s="892"/>
      <c r="FFW9" s="892"/>
      <c r="FFX9" s="892"/>
      <c r="FFY9" s="892"/>
      <c r="FFZ9" s="892"/>
      <c r="FGA9" s="892"/>
      <c r="FGB9" s="892"/>
      <c r="FGC9" s="892"/>
      <c r="FGD9" s="892"/>
      <c r="FGE9" s="892"/>
      <c r="FGF9" s="892"/>
      <c r="FGG9" s="892"/>
      <c r="FGH9" s="892"/>
      <c r="FGI9" s="892"/>
      <c r="FGJ9" s="892"/>
      <c r="FGK9" s="892"/>
      <c r="FGL9" s="892"/>
      <c r="FGM9" s="892"/>
      <c r="FGN9" s="892"/>
      <c r="FGO9" s="892"/>
      <c r="FGP9" s="892"/>
      <c r="FGQ9" s="892"/>
      <c r="FGR9" s="892"/>
      <c r="FGS9" s="892"/>
      <c r="FGT9" s="892"/>
      <c r="FGU9" s="892"/>
      <c r="FGV9" s="892"/>
      <c r="FGW9" s="892"/>
      <c r="FGX9" s="892"/>
      <c r="FGY9" s="892"/>
      <c r="FGZ9" s="892"/>
      <c r="FHA9" s="892"/>
      <c r="FHB9" s="892"/>
      <c r="FHC9" s="892"/>
      <c r="FHD9" s="892"/>
      <c r="FHE9" s="892"/>
      <c r="FHF9" s="892"/>
      <c r="FHG9" s="892"/>
      <c r="FHH9" s="892"/>
      <c r="FHI9" s="892"/>
      <c r="FHJ9" s="892"/>
      <c r="FHK9" s="892"/>
      <c r="FHL9" s="892"/>
      <c r="FHM9" s="892"/>
      <c r="FHN9" s="892"/>
      <c r="FHO9" s="892"/>
      <c r="FHP9" s="892"/>
      <c r="FHQ9" s="892"/>
      <c r="FHR9" s="892"/>
      <c r="FHS9" s="892"/>
      <c r="FHT9" s="892"/>
      <c r="FHU9" s="892"/>
      <c r="FHV9" s="892"/>
      <c r="FHW9" s="892"/>
      <c r="FHX9" s="892"/>
      <c r="FHY9" s="892"/>
      <c r="FHZ9" s="892"/>
      <c r="FIA9" s="892"/>
      <c r="FIB9" s="892"/>
      <c r="FIC9" s="892"/>
      <c r="FID9" s="892"/>
      <c r="FIE9" s="892"/>
      <c r="FIF9" s="892"/>
      <c r="FIG9" s="892"/>
      <c r="FIH9" s="892"/>
      <c r="FII9" s="892"/>
      <c r="FIJ9" s="892"/>
      <c r="FIK9" s="892"/>
      <c r="FIL9" s="892"/>
      <c r="FIM9" s="892"/>
      <c r="FIN9" s="892"/>
      <c r="FIO9" s="892"/>
      <c r="FIP9" s="892"/>
      <c r="FIQ9" s="892"/>
      <c r="FIR9" s="892"/>
      <c r="FIS9" s="892"/>
      <c r="FIT9" s="892"/>
      <c r="FIU9" s="892"/>
      <c r="FIV9" s="892"/>
      <c r="FIW9" s="892"/>
      <c r="FIX9" s="892"/>
      <c r="FIY9" s="892"/>
      <c r="FIZ9" s="892"/>
      <c r="FJA9" s="892"/>
      <c r="FJB9" s="892"/>
      <c r="FJC9" s="892"/>
      <c r="FJD9" s="892"/>
      <c r="FJE9" s="892"/>
      <c r="FJF9" s="892"/>
      <c r="FJG9" s="892"/>
      <c r="FJH9" s="892"/>
      <c r="FJI9" s="892"/>
      <c r="FJJ9" s="892"/>
      <c r="FJK9" s="892"/>
      <c r="FJL9" s="892"/>
      <c r="FJM9" s="892"/>
      <c r="FJN9" s="892"/>
      <c r="FJO9" s="892"/>
      <c r="FJP9" s="892"/>
      <c r="FJQ9" s="892"/>
      <c r="FJR9" s="892"/>
      <c r="FJS9" s="892"/>
      <c r="FJT9" s="892"/>
      <c r="FJU9" s="892"/>
      <c r="FJV9" s="892"/>
      <c r="FJW9" s="892"/>
      <c r="FJX9" s="892"/>
      <c r="FJY9" s="892"/>
      <c r="FJZ9" s="892"/>
      <c r="FKA9" s="892"/>
      <c r="FKB9" s="892"/>
      <c r="FKC9" s="892"/>
      <c r="FKD9" s="892"/>
      <c r="FKE9" s="892"/>
      <c r="FKF9" s="892"/>
      <c r="FKG9" s="892"/>
      <c r="FKH9" s="892"/>
      <c r="FKI9" s="892"/>
      <c r="FKJ9" s="892"/>
      <c r="FKK9" s="892"/>
      <c r="FKL9" s="892"/>
      <c r="FKM9" s="892"/>
      <c r="FKN9" s="892"/>
      <c r="FKO9" s="892"/>
      <c r="FKP9" s="892"/>
      <c r="FKQ9" s="892"/>
      <c r="FKR9" s="892"/>
      <c r="FKS9" s="892"/>
      <c r="FKT9" s="892"/>
      <c r="FKU9" s="892"/>
      <c r="FKV9" s="892"/>
      <c r="FKW9" s="892"/>
      <c r="FKX9" s="892"/>
      <c r="FKY9" s="892"/>
      <c r="FKZ9" s="892"/>
      <c r="FLA9" s="892"/>
      <c r="FLB9" s="892"/>
      <c r="FLC9" s="892"/>
      <c r="FLD9" s="892"/>
      <c r="FLE9" s="892"/>
      <c r="FLF9" s="892"/>
      <c r="FLG9" s="892"/>
      <c r="FLH9" s="892"/>
      <c r="FLI9" s="892"/>
      <c r="FLJ9" s="892"/>
      <c r="FLK9" s="892"/>
      <c r="FLL9" s="892"/>
      <c r="FLM9" s="892"/>
      <c r="FLN9" s="892"/>
      <c r="FLO9" s="892"/>
      <c r="FLP9" s="892"/>
      <c r="FLQ9" s="892"/>
      <c r="FLR9" s="892"/>
      <c r="FLS9" s="892"/>
      <c r="FLT9" s="892"/>
      <c r="FLU9" s="892"/>
      <c r="FLV9" s="892"/>
      <c r="FLW9" s="892"/>
      <c r="FLX9" s="892"/>
      <c r="FLY9" s="892"/>
      <c r="FLZ9" s="892"/>
      <c r="FMA9" s="892"/>
      <c r="FMB9" s="892"/>
      <c r="FMC9" s="892"/>
      <c r="FMD9" s="892"/>
      <c r="FME9" s="892"/>
      <c r="FMF9" s="892"/>
      <c r="FMG9" s="892"/>
      <c r="FMH9" s="892"/>
      <c r="FMI9" s="892"/>
      <c r="FMJ9" s="892"/>
      <c r="FMK9" s="892"/>
      <c r="FML9" s="892"/>
      <c r="FMM9" s="892"/>
      <c r="FMN9" s="892"/>
      <c r="FMO9" s="892"/>
      <c r="FMP9" s="892"/>
      <c r="FMQ9" s="892"/>
      <c r="FMR9" s="892"/>
      <c r="FMS9" s="892"/>
      <c r="FMT9" s="892"/>
      <c r="FMU9" s="892"/>
      <c r="FMV9" s="892"/>
      <c r="FMW9" s="892"/>
      <c r="FMX9" s="892"/>
      <c r="FMY9" s="892"/>
      <c r="FMZ9" s="892"/>
      <c r="FNA9" s="892"/>
      <c r="FNB9" s="892"/>
      <c r="FNC9" s="892"/>
      <c r="FND9" s="892"/>
      <c r="FNE9" s="892"/>
      <c r="FNF9" s="892"/>
      <c r="FNG9" s="892"/>
      <c r="FNH9" s="892"/>
      <c r="FNI9" s="892"/>
      <c r="FNJ9" s="892"/>
      <c r="FNK9" s="892"/>
      <c r="FNL9" s="892"/>
      <c r="FNM9" s="892"/>
      <c r="FNN9" s="892"/>
      <c r="FNO9" s="892"/>
      <c r="FNP9" s="892"/>
      <c r="FNQ9" s="892"/>
      <c r="FNR9" s="892"/>
      <c r="FNS9" s="892"/>
      <c r="FNT9" s="892"/>
      <c r="FNU9" s="892"/>
      <c r="FNV9" s="892"/>
      <c r="FNW9" s="892"/>
      <c r="FNX9" s="892"/>
      <c r="FNY9" s="892"/>
      <c r="FNZ9" s="892"/>
      <c r="FOA9" s="892"/>
      <c r="FOB9" s="892"/>
      <c r="FOC9" s="892"/>
      <c r="FOD9" s="892"/>
      <c r="FOE9" s="892"/>
      <c r="FOF9" s="892"/>
      <c r="FOG9" s="892"/>
      <c r="FOH9" s="892"/>
      <c r="FOI9" s="892"/>
      <c r="FOJ9" s="892"/>
      <c r="FOK9" s="892"/>
      <c r="FOL9" s="892"/>
      <c r="FOM9" s="892"/>
      <c r="FON9" s="892"/>
      <c r="FOO9" s="892"/>
      <c r="FOP9" s="892"/>
      <c r="FOQ9" s="892"/>
      <c r="FOR9" s="892"/>
      <c r="FOS9" s="892"/>
      <c r="FOT9" s="892"/>
      <c r="FOU9" s="892"/>
      <c r="FOV9" s="892"/>
      <c r="FOW9" s="892"/>
      <c r="FOX9" s="892"/>
      <c r="FOY9" s="892"/>
      <c r="FOZ9" s="892"/>
      <c r="FPA9" s="892"/>
      <c r="FPB9" s="892"/>
      <c r="FPC9" s="892"/>
      <c r="FPD9" s="892"/>
      <c r="FPE9" s="892"/>
      <c r="FPF9" s="892"/>
      <c r="FPG9" s="892"/>
      <c r="FPH9" s="892"/>
      <c r="FPI9" s="892"/>
      <c r="FPJ9" s="892"/>
      <c r="FPK9" s="892"/>
      <c r="FPL9" s="892"/>
      <c r="FPM9" s="892"/>
      <c r="FPN9" s="892"/>
      <c r="FPO9" s="892"/>
      <c r="FPP9" s="892"/>
      <c r="FPQ9" s="892"/>
      <c r="FPR9" s="892"/>
      <c r="FPS9" s="892"/>
      <c r="FPT9" s="892"/>
      <c r="FPU9" s="892"/>
      <c r="FPV9" s="892"/>
      <c r="FPW9" s="892"/>
      <c r="FPX9" s="892"/>
      <c r="FPY9" s="892"/>
      <c r="FPZ9" s="892"/>
      <c r="FQA9" s="892"/>
      <c r="FQB9" s="892"/>
      <c r="FQC9" s="892"/>
      <c r="FQD9" s="892"/>
      <c r="FQE9" s="892"/>
      <c r="FQF9" s="892"/>
      <c r="FQG9" s="892"/>
      <c r="FQH9" s="892"/>
      <c r="FQI9" s="892"/>
      <c r="FQJ9" s="892"/>
      <c r="FQK9" s="892"/>
      <c r="FQL9" s="892"/>
      <c r="FQM9" s="892"/>
      <c r="FQN9" s="892"/>
      <c r="FQO9" s="892"/>
      <c r="FQP9" s="892"/>
      <c r="FQQ9" s="892"/>
      <c r="FQR9" s="892"/>
      <c r="FQS9" s="892"/>
      <c r="FQT9" s="892"/>
      <c r="FQU9" s="892"/>
      <c r="FQV9" s="892"/>
      <c r="FQW9" s="892"/>
      <c r="FQX9" s="892"/>
      <c r="FQY9" s="892"/>
      <c r="FQZ9" s="892"/>
      <c r="FRA9" s="892"/>
      <c r="FRB9" s="892"/>
      <c r="FRC9" s="892"/>
      <c r="FRD9" s="892"/>
      <c r="FRE9" s="892"/>
      <c r="FRF9" s="892"/>
      <c r="FRG9" s="892"/>
      <c r="FRH9" s="892"/>
      <c r="FRI9" s="892"/>
      <c r="FRJ9" s="892"/>
      <c r="FRK9" s="892"/>
      <c r="FRL9" s="892"/>
      <c r="FRM9" s="892"/>
      <c r="FRN9" s="892"/>
      <c r="FRO9" s="892"/>
      <c r="FRP9" s="892"/>
      <c r="FRQ9" s="892"/>
      <c r="FRR9" s="892"/>
      <c r="FRS9" s="892"/>
      <c r="FRT9" s="892"/>
      <c r="FRU9" s="892"/>
      <c r="FRV9" s="892"/>
      <c r="FRW9" s="892"/>
      <c r="FRX9" s="892"/>
      <c r="FRY9" s="892"/>
      <c r="FRZ9" s="892"/>
      <c r="FSA9" s="892"/>
      <c r="FSB9" s="892"/>
      <c r="FSC9" s="892"/>
      <c r="FSD9" s="892"/>
      <c r="FSE9" s="892"/>
      <c r="FSF9" s="892"/>
      <c r="FSG9" s="892"/>
      <c r="FSH9" s="892"/>
      <c r="FSI9" s="892"/>
      <c r="FSJ9" s="892"/>
      <c r="FSK9" s="892"/>
      <c r="FSL9" s="892"/>
      <c r="FSM9" s="892"/>
      <c r="FSN9" s="892"/>
      <c r="FSO9" s="892"/>
      <c r="FSP9" s="892"/>
      <c r="FSQ9" s="892"/>
      <c r="FSR9" s="892"/>
      <c r="FSS9" s="892"/>
      <c r="FST9" s="892"/>
      <c r="FSU9" s="892"/>
      <c r="FSV9" s="892"/>
      <c r="FSW9" s="892"/>
      <c r="FSX9" s="892"/>
      <c r="FSY9" s="892"/>
      <c r="FSZ9" s="892"/>
      <c r="FTA9" s="892"/>
      <c r="FTB9" s="892"/>
      <c r="FTC9" s="892"/>
      <c r="FTD9" s="892"/>
      <c r="FTE9" s="892"/>
      <c r="FTF9" s="892"/>
      <c r="FTG9" s="892"/>
      <c r="FTH9" s="892"/>
      <c r="FTI9" s="892"/>
      <c r="FTJ9" s="892"/>
      <c r="FTK9" s="892"/>
      <c r="FTL9" s="892"/>
      <c r="FTM9" s="892"/>
      <c r="FTN9" s="892"/>
      <c r="FTO9" s="892"/>
      <c r="FTP9" s="892"/>
      <c r="FTQ9" s="892"/>
      <c r="FTR9" s="892"/>
      <c r="FTS9" s="892"/>
      <c r="FTT9" s="892"/>
      <c r="FTU9" s="892"/>
      <c r="FTV9" s="892"/>
      <c r="FTW9" s="892"/>
      <c r="FTX9" s="892"/>
      <c r="FTY9" s="892"/>
      <c r="FTZ9" s="892"/>
      <c r="FUA9" s="892"/>
      <c r="FUB9" s="892"/>
      <c r="FUC9" s="892"/>
      <c r="FUD9" s="892"/>
      <c r="FUE9" s="892"/>
      <c r="FUF9" s="892"/>
      <c r="FUG9" s="892"/>
      <c r="FUH9" s="892"/>
      <c r="FUI9" s="892"/>
      <c r="FUJ9" s="892"/>
      <c r="FUK9" s="892"/>
      <c r="FUL9" s="892"/>
      <c r="FUM9" s="892"/>
      <c r="FUN9" s="892"/>
      <c r="FUO9" s="892"/>
      <c r="FUP9" s="892"/>
      <c r="FUQ9" s="892"/>
      <c r="FUR9" s="892"/>
      <c r="FUS9" s="892"/>
      <c r="FUT9" s="892"/>
      <c r="FUU9" s="892"/>
      <c r="FUV9" s="892"/>
      <c r="FUW9" s="892"/>
      <c r="FUX9" s="892"/>
      <c r="FUY9" s="892"/>
      <c r="FUZ9" s="892"/>
      <c r="FVA9" s="892"/>
      <c r="FVB9" s="892"/>
      <c r="FVC9" s="892"/>
      <c r="FVD9" s="892"/>
      <c r="FVE9" s="892"/>
      <c r="FVF9" s="892"/>
      <c r="FVG9" s="892"/>
      <c r="FVH9" s="892"/>
      <c r="FVI9" s="892"/>
      <c r="FVJ9" s="892"/>
      <c r="FVK9" s="892"/>
      <c r="FVL9" s="892"/>
      <c r="FVM9" s="892"/>
      <c r="FVN9" s="892"/>
      <c r="FVO9" s="892"/>
      <c r="FVP9" s="892"/>
      <c r="FVQ9" s="892"/>
      <c r="FVR9" s="892"/>
      <c r="FVS9" s="892"/>
      <c r="FVT9" s="892"/>
      <c r="FVU9" s="892"/>
      <c r="FVV9" s="892"/>
      <c r="FVW9" s="892"/>
      <c r="FVX9" s="892"/>
      <c r="FVY9" s="892"/>
      <c r="FVZ9" s="892"/>
      <c r="FWA9" s="892"/>
      <c r="FWB9" s="892"/>
      <c r="FWC9" s="892"/>
      <c r="FWD9" s="892"/>
      <c r="FWE9" s="892"/>
      <c r="FWF9" s="892"/>
      <c r="FWG9" s="892"/>
      <c r="FWH9" s="892"/>
      <c r="FWI9" s="892"/>
      <c r="FWJ9" s="892"/>
      <c r="FWK9" s="892"/>
      <c r="FWL9" s="892"/>
      <c r="FWM9" s="892"/>
      <c r="FWN9" s="892"/>
      <c r="FWO9" s="892"/>
      <c r="FWP9" s="892"/>
      <c r="FWQ9" s="892"/>
      <c r="FWR9" s="892"/>
      <c r="FWS9" s="892"/>
      <c r="FWT9" s="892"/>
      <c r="FWU9" s="892"/>
      <c r="FWV9" s="892"/>
      <c r="FWW9" s="892"/>
      <c r="FWX9" s="892"/>
      <c r="FWY9" s="892"/>
      <c r="FWZ9" s="892"/>
      <c r="FXA9" s="892"/>
      <c r="FXB9" s="892"/>
      <c r="FXC9" s="892"/>
      <c r="FXD9" s="892"/>
      <c r="FXE9" s="892"/>
      <c r="FXF9" s="892"/>
      <c r="FXG9" s="892"/>
      <c r="FXH9" s="892"/>
      <c r="FXI9" s="892"/>
      <c r="FXJ9" s="892"/>
      <c r="FXK9" s="892"/>
      <c r="FXL9" s="892"/>
      <c r="FXM9" s="892"/>
      <c r="FXN9" s="892"/>
      <c r="FXO9" s="892"/>
      <c r="FXP9" s="892"/>
      <c r="FXQ9" s="892"/>
      <c r="FXR9" s="892"/>
      <c r="FXS9" s="892"/>
      <c r="FXT9" s="892"/>
      <c r="FXU9" s="892"/>
      <c r="FXV9" s="892"/>
      <c r="FXW9" s="892"/>
      <c r="FXX9" s="892"/>
      <c r="FXY9" s="892"/>
      <c r="FXZ9" s="892"/>
      <c r="FYA9" s="892"/>
      <c r="FYB9" s="892"/>
      <c r="FYC9" s="892"/>
      <c r="FYD9" s="892"/>
      <c r="FYE9" s="892"/>
      <c r="FYF9" s="892"/>
      <c r="FYG9" s="892"/>
      <c r="FYH9" s="892"/>
      <c r="FYI9" s="892"/>
      <c r="FYJ9" s="892"/>
      <c r="FYK9" s="892"/>
      <c r="FYL9" s="892"/>
      <c r="FYM9" s="892"/>
      <c r="FYN9" s="892"/>
      <c r="FYO9" s="892"/>
      <c r="FYP9" s="892"/>
      <c r="FYQ9" s="892"/>
      <c r="FYR9" s="892"/>
      <c r="FYS9" s="892"/>
      <c r="FYT9" s="892"/>
      <c r="FYU9" s="892"/>
      <c r="FYV9" s="892"/>
      <c r="FYW9" s="892"/>
      <c r="FYX9" s="892"/>
      <c r="FYY9" s="892"/>
      <c r="FYZ9" s="892"/>
      <c r="FZA9" s="892"/>
      <c r="FZB9" s="892"/>
      <c r="FZC9" s="892"/>
      <c r="FZD9" s="892"/>
      <c r="FZE9" s="892"/>
      <c r="FZF9" s="892"/>
      <c r="FZG9" s="892"/>
      <c r="FZH9" s="892"/>
      <c r="FZI9" s="892"/>
      <c r="FZJ9" s="892"/>
      <c r="FZK9" s="892"/>
      <c r="FZL9" s="892"/>
      <c r="FZM9" s="892"/>
      <c r="FZN9" s="892"/>
      <c r="FZO9" s="892"/>
      <c r="FZP9" s="892"/>
      <c r="FZQ9" s="892"/>
      <c r="FZR9" s="892"/>
      <c r="FZS9" s="892"/>
      <c r="FZT9" s="892"/>
      <c r="FZU9" s="892"/>
      <c r="FZV9" s="892"/>
      <c r="FZW9" s="892"/>
      <c r="FZX9" s="892"/>
      <c r="FZY9" s="892"/>
      <c r="FZZ9" s="892"/>
      <c r="GAA9" s="892"/>
      <c r="GAB9" s="892"/>
      <c r="GAC9" s="892"/>
      <c r="GAD9" s="892"/>
      <c r="GAE9" s="892"/>
      <c r="GAF9" s="892"/>
      <c r="GAG9" s="892"/>
      <c r="GAH9" s="892"/>
      <c r="GAI9" s="892"/>
      <c r="GAJ9" s="892"/>
      <c r="GAK9" s="892"/>
      <c r="GAL9" s="892"/>
      <c r="GAM9" s="892"/>
      <c r="GAN9" s="892"/>
      <c r="GAO9" s="892"/>
      <c r="GAP9" s="892"/>
      <c r="GAQ9" s="892"/>
      <c r="GAR9" s="892"/>
      <c r="GAS9" s="892"/>
      <c r="GAT9" s="892"/>
      <c r="GAU9" s="892"/>
      <c r="GAV9" s="892"/>
      <c r="GAW9" s="892"/>
      <c r="GAX9" s="892"/>
      <c r="GAY9" s="892"/>
      <c r="GAZ9" s="892"/>
      <c r="GBA9" s="892"/>
      <c r="GBB9" s="892"/>
      <c r="GBC9" s="892"/>
      <c r="GBD9" s="892"/>
      <c r="GBE9" s="892"/>
      <c r="GBF9" s="892"/>
      <c r="GBG9" s="892"/>
      <c r="GBH9" s="892"/>
      <c r="GBI9" s="892"/>
      <c r="GBJ9" s="892"/>
      <c r="GBK9" s="892"/>
      <c r="GBL9" s="892"/>
      <c r="GBM9" s="892"/>
      <c r="GBN9" s="892"/>
      <c r="GBO9" s="892"/>
      <c r="GBP9" s="892"/>
      <c r="GBQ9" s="892"/>
      <c r="GBR9" s="892"/>
      <c r="GBS9" s="892"/>
      <c r="GBT9" s="892"/>
      <c r="GBU9" s="892"/>
      <c r="GBV9" s="892"/>
      <c r="GBW9" s="892"/>
      <c r="GBX9" s="892"/>
      <c r="GBY9" s="892"/>
      <c r="GBZ9" s="892"/>
      <c r="GCA9" s="892"/>
      <c r="GCB9" s="892"/>
      <c r="GCC9" s="892"/>
      <c r="GCD9" s="892"/>
      <c r="GCE9" s="892"/>
      <c r="GCF9" s="892"/>
      <c r="GCG9" s="892"/>
      <c r="GCH9" s="892"/>
      <c r="GCI9" s="892"/>
      <c r="GCJ9" s="892"/>
      <c r="GCK9" s="892"/>
      <c r="GCL9" s="892"/>
      <c r="GCM9" s="892"/>
      <c r="GCN9" s="892"/>
      <c r="GCO9" s="892"/>
      <c r="GCP9" s="892"/>
      <c r="GCQ9" s="892"/>
      <c r="GCR9" s="892"/>
      <c r="GCS9" s="892"/>
      <c r="GCT9" s="892"/>
      <c r="GCU9" s="892"/>
      <c r="GCV9" s="892"/>
      <c r="GCW9" s="892"/>
      <c r="GCX9" s="892"/>
      <c r="GCY9" s="892"/>
      <c r="GCZ9" s="892"/>
      <c r="GDA9" s="892"/>
      <c r="GDB9" s="892"/>
      <c r="GDC9" s="892"/>
      <c r="GDD9" s="892"/>
      <c r="GDE9" s="892"/>
      <c r="GDF9" s="892"/>
      <c r="GDG9" s="892"/>
      <c r="GDH9" s="892"/>
      <c r="GDI9" s="892"/>
      <c r="GDJ9" s="892"/>
      <c r="GDK9" s="892"/>
      <c r="GDL9" s="892"/>
      <c r="GDM9" s="892"/>
      <c r="GDN9" s="892"/>
      <c r="GDO9" s="892"/>
      <c r="GDP9" s="892"/>
      <c r="GDQ9" s="892"/>
      <c r="GDR9" s="892"/>
      <c r="GDS9" s="892"/>
      <c r="GDT9" s="892"/>
      <c r="GDU9" s="892"/>
      <c r="GDV9" s="892"/>
      <c r="GDW9" s="892"/>
      <c r="GDX9" s="892"/>
      <c r="GDY9" s="892"/>
      <c r="GDZ9" s="892"/>
      <c r="GEA9" s="892"/>
      <c r="GEB9" s="892"/>
      <c r="GEC9" s="892"/>
      <c r="GED9" s="892"/>
      <c r="GEE9" s="892"/>
      <c r="GEF9" s="892"/>
      <c r="GEG9" s="892"/>
      <c r="GEH9" s="892"/>
      <c r="GEI9" s="892"/>
      <c r="GEJ9" s="892"/>
      <c r="GEK9" s="892"/>
      <c r="GEL9" s="892"/>
      <c r="GEM9" s="892"/>
      <c r="GEN9" s="892"/>
      <c r="GEO9" s="892"/>
      <c r="GEP9" s="892"/>
      <c r="GEQ9" s="892"/>
      <c r="GER9" s="892"/>
      <c r="GES9" s="892"/>
      <c r="GET9" s="892"/>
      <c r="GEU9" s="892"/>
      <c r="GEV9" s="892"/>
      <c r="GEW9" s="892"/>
      <c r="GEX9" s="892"/>
      <c r="GEY9" s="892"/>
      <c r="GEZ9" s="892"/>
      <c r="GFA9" s="892"/>
      <c r="GFB9" s="892"/>
      <c r="GFC9" s="892"/>
      <c r="GFD9" s="892"/>
      <c r="GFE9" s="892"/>
      <c r="GFF9" s="892"/>
      <c r="GFG9" s="892"/>
      <c r="GFH9" s="892"/>
      <c r="GFI9" s="892"/>
      <c r="GFJ9" s="892"/>
      <c r="GFK9" s="892"/>
      <c r="GFL9" s="892"/>
      <c r="GFM9" s="892"/>
      <c r="GFN9" s="892"/>
      <c r="GFO9" s="892"/>
      <c r="GFP9" s="892"/>
      <c r="GFQ9" s="892"/>
      <c r="GFR9" s="892"/>
      <c r="GFS9" s="892"/>
      <c r="GFT9" s="892"/>
      <c r="GFU9" s="892"/>
      <c r="GFV9" s="892"/>
      <c r="GFW9" s="892"/>
      <c r="GFX9" s="892"/>
      <c r="GFY9" s="892"/>
      <c r="GFZ9" s="892"/>
      <c r="GGA9" s="892"/>
      <c r="GGB9" s="892"/>
      <c r="GGC9" s="892"/>
      <c r="GGD9" s="892"/>
      <c r="GGE9" s="892"/>
      <c r="GGF9" s="892"/>
      <c r="GGG9" s="892"/>
      <c r="GGH9" s="892"/>
      <c r="GGI9" s="892"/>
      <c r="GGJ9" s="892"/>
      <c r="GGK9" s="892"/>
      <c r="GGL9" s="892"/>
      <c r="GGM9" s="892"/>
      <c r="GGN9" s="892"/>
      <c r="GGO9" s="892"/>
      <c r="GGP9" s="892"/>
      <c r="GGQ9" s="892"/>
      <c r="GGR9" s="892"/>
      <c r="GGS9" s="892"/>
      <c r="GGT9" s="892"/>
      <c r="GGU9" s="892"/>
      <c r="GGV9" s="892"/>
      <c r="GGW9" s="892"/>
      <c r="GGX9" s="892"/>
      <c r="GGY9" s="892"/>
      <c r="GGZ9" s="892"/>
      <c r="GHA9" s="892"/>
      <c r="GHB9" s="892"/>
      <c r="GHC9" s="892"/>
      <c r="GHD9" s="892"/>
      <c r="GHE9" s="892"/>
      <c r="GHF9" s="892"/>
      <c r="GHG9" s="892"/>
      <c r="GHH9" s="892"/>
      <c r="GHI9" s="892"/>
      <c r="GHJ9" s="892"/>
      <c r="GHK9" s="892"/>
      <c r="GHL9" s="892"/>
      <c r="GHM9" s="892"/>
      <c r="GHN9" s="892"/>
      <c r="GHO9" s="892"/>
      <c r="GHP9" s="892"/>
      <c r="GHQ9" s="892"/>
      <c r="GHR9" s="892"/>
      <c r="GHS9" s="892"/>
      <c r="GHT9" s="892"/>
      <c r="GHU9" s="892"/>
      <c r="GHV9" s="892"/>
      <c r="GHW9" s="892"/>
      <c r="GHX9" s="892"/>
      <c r="GHY9" s="892"/>
      <c r="GHZ9" s="892"/>
      <c r="GIA9" s="892"/>
      <c r="GIB9" s="892"/>
      <c r="GIC9" s="892"/>
      <c r="GID9" s="892"/>
      <c r="GIE9" s="892"/>
      <c r="GIF9" s="892"/>
      <c r="GIG9" s="892"/>
      <c r="GIH9" s="892"/>
      <c r="GII9" s="892"/>
      <c r="GIJ9" s="892"/>
      <c r="GIK9" s="892"/>
      <c r="GIL9" s="892"/>
      <c r="GIM9" s="892"/>
      <c r="GIN9" s="892"/>
      <c r="GIO9" s="892"/>
      <c r="GIP9" s="892"/>
      <c r="GIQ9" s="892"/>
      <c r="GIR9" s="892"/>
      <c r="GIS9" s="892"/>
      <c r="GIT9" s="892"/>
      <c r="GIU9" s="892"/>
      <c r="GIV9" s="892"/>
      <c r="GIW9" s="892"/>
      <c r="GIX9" s="892"/>
      <c r="GIY9" s="892"/>
      <c r="GIZ9" s="892"/>
      <c r="GJA9" s="892"/>
      <c r="GJB9" s="892"/>
      <c r="GJC9" s="892"/>
      <c r="GJD9" s="892"/>
      <c r="GJE9" s="892"/>
      <c r="GJF9" s="892"/>
      <c r="GJG9" s="892"/>
      <c r="GJH9" s="892"/>
      <c r="GJI9" s="892"/>
      <c r="GJJ9" s="892"/>
      <c r="GJK9" s="892"/>
      <c r="GJL9" s="892"/>
      <c r="GJM9" s="892"/>
      <c r="GJN9" s="892"/>
      <c r="GJO9" s="892"/>
      <c r="GJP9" s="892"/>
      <c r="GJQ9" s="892"/>
      <c r="GJR9" s="892"/>
      <c r="GJS9" s="892"/>
      <c r="GJT9" s="892"/>
      <c r="GJU9" s="892"/>
      <c r="GJV9" s="892"/>
      <c r="GJW9" s="892"/>
      <c r="GJX9" s="892"/>
      <c r="GJY9" s="892"/>
      <c r="GJZ9" s="892"/>
      <c r="GKA9" s="892"/>
      <c r="GKB9" s="892"/>
      <c r="GKC9" s="892"/>
      <c r="GKD9" s="892"/>
      <c r="GKE9" s="892"/>
      <c r="GKF9" s="892"/>
      <c r="GKG9" s="892"/>
      <c r="GKH9" s="892"/>
      <c r="GKI9" s="892"/>
      <c r="GKJ9" s="892"/>
      <c r="GKK9" s="892"/>
      <c r="GKL9" s="892"/>
      <c r="GKM9" s="892"/>
      <c r="GKN9" s="892"/>
      <c r="GKO9" s="892"/>
      <c r="GKP9" s="892"/>
      <c r="GKQ9" s="892"/>
      <c r="GKR9" s="892"/>
      <c r="GKS9" s="892"/>
      <c r="GKT9" s="892"/>
      <c r="GKU9" s="892"/>
      <c r="GKV9" s="892"/>
      <c r="GKW9" s="892"/>
      <c r="GKX9" s="892"/>
      <c r="GKY9" s="892"/>
      <c r="GKZ9" s="892"/>
      <c r="GLA9" s="892"/>
      <c r="GLB9" s="892"/>
      <c r="GLC9" s="892"/>
      <c r="GLD9" s="892"/>
      <c r="GLE9" s="892"/>
      <c r="GLF9" s="892"/>
      <c r="GLG9" s="892"/>
      <c r="GLH9" s="892"/>
      <c r="GLI9" s="892"/>
      <c r="GLJ9" s="892"/>
      <c r="GLK9" s="892"/>
      <c r="GLL9" s="892"/>
      <c r="GLM9" s="892"/>
      <c r="GLN9" s="892"/>
      <c r="GLO9" s="892"/>
      <c r="GLP9" s="892"/>
      <c r="GLQ9" s="892"/>
      <c r="GLR9" s="892"/>
      <c r="GLS9" s="892"/>
      <c r="GLT9" s="892"/>
      <c r="GLU9" s="892"/>
      <c r="GLV9" s="892"/>
      <c r="GLW9" s="892"/>
      <c r="GLX9" s="892"/>
      <c r="GLY9" s="892"/>
      <c r="GLZ9" s="892"/>
      <c r="GMA9" s="892"/>
      <c r="GMB9" s="892"/>
      <c r="GMC9" s="892"/>
      <c r="GMD9" s="892"/>
      <c r="GME9" s="892"/>
      <c r="GMF9" s="892"/>
      <c r="GMG9" s="892"/>
      <c r="GMH9" s="892"/>
      <c r="GMI9" s="892"/>
      <c r="GMJ9" s="892"/>
      <c r="GMK9" s="892"/>
      <c r="GML9" s="892"/>
      <c r="GMM9" s="892"/>
      <c r="GMN9" s="892"/>
      <c r="GMO9" s="892"/>
      <c r="GMP9" s="892"/>
      <c r="GMQ9" s="892"/>
      <c r="GMR9" s="892"/>
      <c r="GMS9" s="892"/>
      <c r="GMT9" s="892"/>
      <c r="GMU9" s="892"/>
      <c r="GMV9" s="892"/>
      <c r="GMW9" s="892"/>
      <c r="GMX9" s="892"/>
      <c r="GMY9" s="892"/>
      <c r="GMZ9" s="892"/>
      <c r="GNA9" s="892"/>
      <c r="GNB9" s="892"/>
      <c r="GNC9" s="892"/>
      <c r="GND9" s="892"/>
      <c r="GNE9" s="892"/>
      <c r="GNF9" s="892"/>
      <c r="GNG9" s="892"/>
      <c r="GNH9" s="892"/>
      <c r="GNI9" s="892"/>
      <c r="GNJ9" s="892"/>
      <c r="GNK9" s="892"/>
      <c r="GNL9" s="892"/>
      <c r="GNM9" s="892"/>
      <c r="GNN9" s="892"/>
      <c r="GNO9" s="892"/>
      <c r="GNP9" s="892"/>
      <c r="GNQ9" s="892"/>
      <c r="GNR9" s="892"/>
      <c r="GNS9" s="892"/>
      <c r="GNT9" s="892"/>
      <c r="GNU9" s="892"/>
      <c r="GNV9" s="892"/>
      <c r="GNW9" s="892"/>
      <c r="GNX9" s="892"/>
      <c r="GNY9" s="892"/>
      <c r="GNZ9" s="892"/>
      <c r="GOA9" s="892"/>
      <c r="GOB9" s="892"/>
      <c r="GOC9" s="892"/>
      <c r="GOD9" s="892"/>
      <c r="GOE9" s="892"/>
      <c r="GOF9" s="892"/>
      <c r="GOG9" s="892"/>
      <c r="GOH9" s="892"/>
      <c r="GOI9" s="892"/>
      <c r="GOJ9" s="892"/>
      <c r="GOK9" s="892"/>
      <c r="GOL9" s="892"/>
      <c r="GOM9" s="892"/>
      <c r="GON9" s="892"/>
      <c r="GOO9" s="892"/>
      <c r="GOP9" s="892"/>
      <c r="GOQ9" s="892"/>
      <c r="GOR9" s="892"/>
      <c r="GOS9" s="892"/>
      <c r="GOT9" s="892"/>
      <c r="GOU9" s="892"/>
      <c r="GOV9" s="892"/>
      <c r="GOW9" s="892"/>
      <c r="GOX9" s="892"/>
      <c r="GOY9" s="892"/>
      <c r="GOZ9" s="892"/>
      <c r="GPA9" s="892"/>
      <c r="GPB9" s="892"/>
      <c r="GPC9" s="892"/>
      <c r="GPD9" s="892"/>
      <c r="GPE9" s="892"/>
      <c r="GPF9" s="892"/>
      <c r="GPG9" s="892"/>
      <c r="GPH9" s="892"/>
      <c r="GPI9" s="892"/>
      <c r="GPJ9" s="892"/>
      <c r="GPK9" s="892"/>
      <c r="GPL9" s="892"/>
      <c r="GPM9" s="892"/>
      <c r="GPN9" s="892"/>
      <c r="GPO9" s="892"/>
      <c r="GPP9" s="892"/>
      <c r="GPQ9" s="892"/>
      <c r="GPR9" s="892"/>
      <c r="GPS9" s="892"/>
      <c r="GPT9" s="892"/>
      <c r="GPU9" s="892"/>
      <c r="GPV9" s="892"/>
      <c r="GPW9" s="892"/>
      <c r="GPX9" s="892"/>
      <c r="GPY9" s="892"/>
      <c r="GPZ9" s="892"/>
      <c r="GQA9" s="892"/>
      <c r="GQB9" s="892"/>
      <c r="GQC9" s="892"/>
      <c r="GQD9" s="892"/>
      <c r="GQE9" s="892"/>
      <c r="GQF9" s="892"/>
      <c r="GQG9" s="892"/>
      <c r="GQH9" s="892"/>
      <c r="GQI9" s="892"/>
      <c r="GQJ9" s="892"/>
      <c r="GQK9" s="892"/>
      <c r="GQL9" s="892"/>
      <c r="GQM9" s="892"/>
      <c r="GQN9" s="892"/>
      <c r="GQO9" s="892"/>
      <c r="GQP9" s="892"/>
      <c r="GQQ9" s="892"/>
      <c r="GQR9" s="892"/>
      <c r="GQS9" s="892"/>
      <c r="GQT9" s="892"/>
      <c r="GQU9" s="892"/>
      <c r="GQV9" s="892"/>
      <c r="GQW9" s="892"/>
      <c r="GQX9" s="892"/>
      <c r="GQY9" s="892"/>
      <c r="GQZ9" s="892"/>
      <c r="GRA9" s="892"/>
      <c r="GRB9" s="892"/>
      <c r="GRC9" s="892"/>
      <c r="GRD9" s="892"/>
      <c r="GRE9" s="892"/>
      <c r="GRF9" s="892"/>
      <c r="GRG9" s="892"/>
      <c r="GRH9" s="892"/>
      <c r="GRI9" s="892"/>
      <c r="GRJ9" s="892"/>
      <c r="GRK9" s="892"/>
      <c r="GRL9" s="892"/>
      <c r="GRM9" s="892"/>
      <c r="GRN9" s="892"/>
      <c r="GRO9" s="892"/>
      <c r="GRP9" s="892"/>
      <c r="GRQ9" s="892"/>
      <c r="GRR9" s="892"/>
      <c r="GRS9" s="892"/>
      <c r="GRT9" s="892"/>
      <c r="GRU9" s="892"/>
      <c r="GRV9" s="892"/>
      <c r="GRW9" s="892"/>
      <c r="GRX9" s="892"/>
      <c r="GRY9" s="892"/>
      <c r="GRZ9" s="892"/>
      <c r="GSA9" s="892"/>
      <c r="GSB9" s="892"/>
      <c r="GSC9" s="892"/>
      <c r="GSD9" s="892"/>
      <c r="GSE9" s="892"/>
      <c r="GSF9" s="892"/>
      <c r="GSG9" s="892"/>
      <c r="GSH9" s="892"/>
      <c r="GSI9" s="892"/>
      <c r="GSJ9" s="892"/>
      <c r="GSK9" s="892"/>
      <c r="GSL9" s="892"/>
      <c r="GSM9" s="892"/>
      <c r="GSN9" s="892"/>
      <c r="GSO9" s="892"/>
      <c r="GSP9" s="892"/>
      <c r="GSQ9" s="892"/>
      <c r="GSR9" s="892"/>
      <c r="GSS9" s="892"/>
      <c r="GST9" s="892"/>
      <c r="GSU9" s="892"/>
      <c r="GSV9" s="892"/>
      <c r="GSW9" s="892"/>
      <c r="GSX9" s="892"/>
      <c r="GSY9" s="892"/>
      <c r="GSZ9" s="892"/>
      <c r="GTA9" s="892"/>
      <c r="GTB9" s="892"/>
      <c r="GTC9" s="892"/>
      <c r="GTD9" s="892"/>
      <c r="GTE9" s="892"/>
      <c r="GTF9" s="892"/>
      <c r="GTG9" s="892"/>
      <c r="GTH9" s="892"/>
      <c r="GTI9" s="892"/>
      <c r="GTJ9" s="892"/>
      <c r="GTK9" s="892"/>
      <c r="GTL9" s="892"/>
      <c r="GTM9" s="892"/>
      <c r="GTN9" s="892"/>
      <c r="GTO9" s="892"/>
      <c r="GTP9" s="892"/>
      <c r="GTQ9" s="892"/>
      <c r="GTR9" s="892"/>
      <c r="GTS9" s="892"/>
      <c r="GTT9" s="892"/>
      <c r="GTU9" s="892"/>
      <c r="GTV9" s="892"/>
      <c r="GTW9" s="892"/>
      <c r="GTX9" s="892"/>
      <c r="GTY9" s="892"/>
      <c r="GTZ9" s="892"/>
      <c r="GUA9" s="892"/>
      <c r="GUB9" s="892"/>
      <c r="GUC9" s="892"/>
      <c r="GUD9" s="892"/>
      <c r="GUE9" s="892"/>
      <c r="GUF9" s="892"/>
      <c r="GUG9" s="892"/>
      <c r="GUH9" s="892"/>
      <c r="GUI9" s="892"/>
      <c r="GUJ9" s="892"/>
      <c r="GUK9" s="892"/>
      <c r="GUL9" s="892"/>
      <c r="GUM9" s="892"/>
      <c r="GUN9" s="892"/>
      <c r="GUO9" s="892"/>
      <c r="GUP9" s="892"/>
      <c r="GUQ9" s="892"/>
      <c r="GUR9" s="892"/>
      <c r="GUS9" s="892"/>
      <c r="GUT9" s="892"/>
      <c r="GUU9" s="892"/>
      <c r="GUV9" s="892"/>
      <c r="GUW9" s="892"/>
      <c r="GUX9" s="892"/>
      <c r="GUY9" s="892"/>
      <c r="GUZ9" s="892"/>
      <c r="GVA9" s="892"/>
      <c r="GVB9" s="892"/>
      <c r="GVC9" s="892"/>
      <c r="GVD9" s="892"/>
      <c r="GVE9" s="892"/>
      <c r="GVF9" s="892"/>
      <c r="GVG9" s="892"/>
      <c r="GVH9" s="892"/>
      <c r="GVI9" s="892"/>
      <c r="GVJ9" s="892"/>
      <c r="GVK9" s="892"/>
      <c r="GVL9" s="892"/>
      <c r="GVM9" s="892"/>
      <c r="GVN9" s="892"/>
      <c r="GVO9" s="892"/>
      <c r="GVP9" s="892"/>
      <c r="GVQ9" s="892"/>
      <c r="GVR9" s="892"/>
      <c r="GVS9" s="892"/>
      <c r="GVT9" s="892"/>
      <c r="GVU9" s="892"/>
      <c r="GVV9" s="892"/>
      <c r="GVW9" s="892"/>
      <c r="GVX9" s="892"/>
      <c r="GVY9" s="892"/>
      <c r="GVZ9" s="892"/>
      <c r="GWA9" s="892"/>
      <c r="GWB9" s="892"/>
      <c r="GWC9" s="892"/>
      <c r="GWD9" s="892"/>
      <c r="GWE9" s="892"/>
      <c r="GWF9" s="892"/>
      <c r="GWG9" s="892"/>
      <c r="GWH9" s="892"/>
      <c r="GWI9" s="892"/>
      <c r="GWJ9" s="892"/>
      <c r="GWK9" s="892"/>
      <c r="GWL9" s="892"/>
      <c r="GWM9" s="892"/>
      <c r="GWN9" s="892"/>
      <c r="GWO9" s="892"/>
      <c r="GWP9" s="892"/>
      <c r="GWQ9" s="892"/>
      <c r="GWR9" s="892"/>
      <c r="GWS9" s="892"/>
      <c r="GWT9" s="892"/>
      <c r="GWU9" s="892"/>
      <c r="GWV9" s="892"/>
      <c r="GWW9" s="892"/>
      <c r="GWX9" s="892"/>
      <c r="GWY9" s="892"/>
      <c r="GWZ9" s="892"/>
      <c r="GXA9" s="892"/>
      <c r="GXB9" s="892"/>
      <c r="GXC9" s="892"/>
      <c r="GXD9" s="892"/>
      <c r="GXE9" s="892"/>
      <c r="GXF9" s="892"/>
      <c r="GXG9" s="892"/>
      <c r="GXH9" s="892"/>
      <c r="GXI9" s="892"/>
      <c r="GXJ9" s="892"/>
      <c r="GXK9" s="892"/>
      <c r="GXL9" s="892"/>
      <c r="GXM9" s="892"/>
      <c r="GXN9" s="892"/>
      <c r="GXO9" s="892"/>
      <c r="GXP9" s="892"/>
      <c r="GXQ9" s="892"/>
      <c r="GXR9" s="892"/>
      <c r="GXS9" s="892"/>
      <c r="GXT9" s="892"/>
      <c r="GXU9" s="892"/>
      <c r="GXV9" s="892"/>
      <c r="GXW9" s="892"/>
      <c r="GXX9" s="892"/>
      <c r="GXY9" s="892"/>
      <c r="GXZ9" s="892"/>
      <c r="GYA9" s="892"/>
      <c r="GYB9" s="892"/>
      <c r="GYC9" s="892"/>
      <c r="GYD9" s="892"/>
      <c r="GYE9" s="892"/>
      <c r="GYF9" s="892"/>
      <c r="GYG9" s="892"/>
      <c r="GYH9" s="892"/>
      <c r="GYI9" s="892"/>
      <c r="GYJ9" s="892"/>
      <c r="GYK9" s="892"/>
      <c r="GYL9" s="892"/>
      <c r="GYM9" s="892"/>
      <c r="GYN9" s="892"/>
      <c r="GYO9" s="892"/>
      <c r="GYP9" s="892"/>
      <c r="GYQ9" s="892"/>
      <c r="GYR9" s="892"/>
      <c r="GYS9" s="892"/>
      <c r="GYT9" s="892"/>
      <c r="GYU9" s="892"/>
      <c r="GYV9" s="892"/>
      <c r="GYW9" s="892"/>
      <c r="GYX9" s="892"/>
      <c r="GYY9" s="892"/>
      <c r="GYZ9" s="892"/>
      <c r="GZA9" s="892"/>
      <c r="GZB9" s="892"/>
      <c r="GZC9" s="892"/>
      <c r="GZD9" s="892"/>
      <c r="GZE9" s="892"/>
      <c r="GZF9" s="892"/>
      <c r="GZG9" s="892"/>
      <c r="GZH9" s="892"/>
      <c r="GZI9" s="892"/>
      <c r="GZJ9" s="892"/>
      <c r="GZK9" s="892"/>
      <c r="GZL9" s="892"/>
      <c r="GZM9" s="892"/>
      <c r="GZN9" s="892"/>
      <c r="GZO9" s="892"/>
      <c r="GZP9" s="892"/>
      <c r="GZQ9" s="892"/>
      <c r="GZR9" s="892"/>
      <c r="GZS9" s="892"/>
      <c r="GZT9" s="892"/>
      <c r="GZU9" s="892"/>
      <c r="GZV9" s="892"/>
      <c r="GZW9" s="892"/>
      <c r="GZX9" s="892"/>
      <c r="GZY9" s="892"/>
      <c r="GZZ9" s="892"/>
      <c r="HAA9" s="892"/>
      <c r="HAB9" s="892"/>
      <c r="HAC9" s="892"/>
      <c r="HAD9" s="892"/>
      <c r="HAE9" s="892"/>
      <c r="HAF9" s="892"/>
      <c r="HAG9" s="892"/>
      <c r="HAH9" s="892"/>
      <c r="HAI9" s="892"/>
      <c r="HAJ9" s="892"/>
      <c r="HAK9" s="892"/>
      <c r="HAL9" s="892"/>
      <c r="HAM9" s="892"/>
      <c r="HAN9" s="892"/>
      <c r="HAO9" s="892"/>
      <c r="HAP9" s="892"/>
      <c r="HAQ9" s="892"/>
      <c r="HAR9" s="892"/>
      <c r="HAS9" s="892"/>
      <c r="HAT9" s="892"/>
      <c r="HAU9" s="892"/>
      <c r="HAV9" s="892"/>
      <c r="HAW9" s="892"/>
      <c r="HAX9" s="892"/>
      <c r="HAY9" s="892"/>
      <c r="HAZ9" s="892"/>
      <c r="HBA9" s="892"/>
      <c r="HBB9" s="892"/>
      <c r="HBC9" s="892"/>
      <c r="HBD9" s="892"/>
      <c r="HBE9" s="892"/>
      <c r="HBF9" s="892"/>
      <c r="HBG9" s="892"/>
      <c r="HBH9" s="892"/>
      <c r="HBI9" s="892"/>
      <c r="HBJ9" s="892"/>
      <c r="HBK9" s="892"/>
      <c r="HBL9" s="892"/>
      <c r="HBM9" s="892"/>
      <c r="HBN9" s="892"/>
      <c r="HBO9" s="892"/>
      <c r="HBP9" s="892"/>
      <c r="HBQ9" s="892"/>
      <c r="HBR9" s="892"/>
      <c r="HBS9" s="892"/>
      <c r="HBT9" s="892"/>
      <c r="HBU9" s="892"/>
      <c r="HBV9" s="892"/>
      <c r="HBW9" s="892"/>
      <c r="HBX9" s="892"/>
      <c r="HBY9" s="892"/>
      <c r="HBZ9" s="892"/>
      <c r="HCA9" s="892"/>
      <c r="HCB9" s="892"/>
      <c r="HCC9" s="892"/>
      <c r="HCD9" s="892"/>
      <c r="HCE9" s="892"/>
      <c r="HCF9" s="892"/>
      <c r="HCG9" s="892"/>
      <c r="HCH9" s="892"/>
      <c r="HCI9" s="892"/>
      <c r="HCJ9" s="892"/>
      <c r="HCK9" s="892"/>
      <c r="HCL9" s="892"/>
      <c r="HCM9" s="892"/>
      <c r="HCN9" s="892"/>
      <c r="HCO9" s="892"/>
      <c r="HCP9" s="892"/>
      <c r="HCQ9" s="892"/>
      <c r="HCR9" s="892"/>
      <c r="HCS9" s="892"/>
      <c r="HCT9" s="892"/>
      <c r="HCU9" s="892"/>
      <c r="HCV9" s="892"/>
      <c r="HCW9" s="892"/>
      <c r="HCX9" s="892"/>
      <c r="HCY9" s="892"/>
      <c r="HCZ9" s="892"/>
      <c r="HDA9" s="892"/>
      <c r="HDB9" s="892"/>
      <c r="HDC9" s="892"/>
      <c r="HDD9" s="892"/>
      <c r="HDE9" s="892"/>
      <c r="HDF9" s="892"/>
      <c r="HDG9" s="892"/>
      <c r="HDH9" s="892"/>
      <c r="HDI9" s="892"/>
      <c r="HDJ9" s="892"/>
      <c r="HDK9" s="892"/>
      <c r="HDL9" s="892"/>
      <c r="HDM9" s="892"/>
      <c r="HDN9" s="892"/>
      <c r="HDO9" s="892"/>
      <c r="HDP9" s="892"/>
      <c r="HDQ9" s="892"/>
      <c r="HDR9" s="892"/>
      <c r="HDS9" s="892"/>
      <c r="HDT9" s="892"/>
      <c r="HDU9" s="892"/>
      <c r="HDV9" s="892"/>
      <c r="HDW9" s="892"/>
      <c r="HDX9" s="892"/>
      <c r="HDY9" s="892"/>
      <c r="HDZ9" s="892"/>
      <c r="HEA9" s="892"/>
      <c r="HEB9" s="892"/>
      <c r="HEC9" s="892"/>
      <c r="HED9" s="892"/>
      <c r="HEE9" s="892"/>
      <c r="HEF9" s="892"/>
      <c r="HEG9" s="892"/>
      <c r="HEH9" s="892"/>
      <c r="HEI9" s="892"/>
      <c r="HEJ9" s="892"/>
      <c r="HEK9" s="892"/>
      <c r="HEL9" s="892"/>
      <c r="HEM9" s="892"/>
      <c r="HEN9" s="892"/>
      <c r="HEO9" s="892"/>
      <c r="HEP9" s="892"/>
      <c r="HEQ9" s="892"/>
      <c r="HER9" s="892"/>
      <c r="HES9" s="892"/>
      <c r="HET9" s="892"/>
      <c r="HEU9" s="892"/>
      <c r="HEV9" s="892"/>
      <c r="HEW9" s="892"/>
      <c r="HEX9" s="892"/>
      <c r="HEY9" s="892"/>
      <c r="HEZ9" s="892"/>
      <c r="HFA9" s="892"/>
      <c r="HFB9" s="892"/>
      <c r="HFC9" s="892"/>
      <c r="HFD9" s="892"/>
      <c r="HFE9" s="892"/>
      <c r="HFF9" s="892"/>
      <c r="HFG9" s="892"/>
      <c r="HFH9" s="892"/>
      <c r="HFI9" s="892"/>
      <c r="HFJ9" s="892"/>
      <c r="HFK9" s="892"/>
      <c r="HFL9" s="892"/>
      <c r="HFM9" s="892"/>
      <c r="HFN9" s="892"/>
      <c r="HFO9" s="892"/>
      <c r="HFP9" s="892"/>
      <c r="HFQ9" s="892"/>
      <c r="HFR9" s="892"/>
      <c r="HFS9" s="892"/>
      <c r="HFT9" s="892"/>
      <c r="HFU9" s="892"/>
      <c r="HFV9" s="892"/>
      <c r="HFW9" s="892"/>
      <c r="HFX9" s="892"/>
      <c r="HFY9" s="892"/>
      <c r="HFZ9" s="892"/>
      <c r="HGA9" s="892"/>
      <c r="HGB9" s="892"/>
      <c r="HGC9" s="892"/>
      <c r="HGD9" s="892"/>
      <c r="HGE9" s="892"/>
      <c r="HGF9" s="892"/>
      <c r="HGG9" s="892"/>
      <c r="HGH9" s="892"/>
      <c r="HGI9" s="892"/>
      <c r="HGJ9" s="892"/>
      <c r="HGK9" s="892"/>
      <c r="HGL9" s="892"/>
      <c r="HGM9" s="892"/>
      <c r="HGN9" s="892"/>
      <c r="HGO9" s="892"/>
      <c r="HGP9" s="892"/>
      <c r="HGQ9" s="892"/>
      <c r="HGR9" s="892"/>
      <c r="HGS9" s="892"/>
      <c r="HGT9" s="892"/>
      <c r="HGU9" s="892"/>
      <c r="HGV9" s="892"/>
      <c r="HGW9" s="892"/>
      <c r="HGX9" s="892"/>
      <c r="HGY9" s="892"/>
      <c r="HGZ9" s="892"/>
      <c r="HHA9" s="892"/>
      <c r="HHB9" s="892"/>
      <c r="HHC9" s="892"/>
      <c r="HHD9" s="892"/>
      <c r="HHE9" s="892"/>
      <c r="HHF9" s="892"/>
      <c r="HHG9" s="892"/>
      <c r="HHH9" s="892"/>
      <c r="HHI9" s="892"/>
      <c r="HHJ9" s="892"/>
      <c r="HHK9" s="892"/>
      <c r="HHL9" s="892"/>
      <c r="HHM9" s="892"/>
      <c r="HHN9" s="892"/>
      <c r="HHO9" s="892"/>
      <c r="HHP9" s="892"/>
      <c r="HHQ9" s="892"/>
      <c r="HHR9" s="892"/>
      <c r="HHS9" s="892"/>
      <c r="HHT9" s="892"/>
      <c r="HHU9" s="892"/>
      <c r="HHV9" s="892"/>
      <c r="HHW9" s="892"/>
      <c r="HHX9" s="892"/>
      <c r="HHY9" s="892"/>
      <c r="HHZ9" s="892"/>
      <c r="HIA9" s="892"/>
      <c r="HIB9" s="892"/>
      <c r="HIC9" s="892"/>
      <c r="HID9" s="892"/>
      <c r="HIE9" s="892"/>
      <c r="HIF9" s="892"/>
      <c r="HIG9" s="892"/>
      <c r="HIH9" s="892"/>
      <c r="HII9" s="892"/>
      <c r="HIJ9" s="892"/>
      <c r="HIK9" s="892"/>
      <c r="HIL9" s="892"/>
      <c r="HIM9" s="892"/>
      <c r="HIN9" s="892"/>
      <c r="HIO9" s="892"/>
      <c r="HIP9" s="892"/>
      <c r="HIQ9" s="892"/>
      <c r="HIR9" s="892"/>
      <c r="HIS9" s="892"/>
      <c r="HIT9" s="892"/>
      <c r="HIU9" s="892"/>
      <c r="HIV9" s="892"/>
      <c r="HIW9" s="892"/>
      <c r="HIX9" s="892"/>
      <c r="HIY9" s="892"/>
      <c r="HIZ9" s="892"/>
      <c r="HJA9" s="892"/>
      <c r="HJB9" s="892"/>
      <c r="HJC9" s="892"/>
      <c r="HJD9" s="892"/>
      <c r="HJE9" s="892"/>
      <c r="HJF9" s="892"/>
      <c r="HJG9" s="892"/>
      <c r="HJH9" s="892"/>
      <c r="HJI9" s="892"/>
      <c r="HJJ9" s="892"/>
      <c r="HJK9" s="892"/>
      <c r="HJL9" s="892"/>
      <c r="HJM9" s="892"/>
      <c r="HJN9" s="892"/>
      <c r="HJO9" s="892"/>
      <c r="HJP9" s="892"/>
      <c r="HJQ9" s="892"/>
      <c r="HJR9" s="892"/>
      <c r="HJS9" s="892"/>
      <c r="HJT9" s="892"/>
      <c r="HJU9" s="892"/>
      <c r="HJV9" s="892"/>
      <c r="HJW9" s="892"/>
      <c r="HJX9" s="892"/>
      <c r="HJY9" s="892"/>
      <c r="HJZ9" s="892"/>
      <c r="HKA9" s="892"/>
      <c r="HKB9" s="892"/>
      <c r="HKC9" s="892"/>
      <c r="HKD9" s="892"/>
      <c r="HKE9" s="892"/>
      <c r="HKF9" s="892"/>
      <c r="HKG9" s="892"/>
      <c r="HKH9" s="892"/>
      <c r="HKI9" s="892"/>
      <c r="HKJ9" s="892"/>
      <c r="HKK9" s="892"/>
      <c r="HKL9" s="892"/>
      <c r="HKM9" s="892"/>
      <c r="HKN9" s="892"/>
      <c r="HKO9" s="892"/>
      <c r="HKP9" s="892"/>
      <c r="HKQ9" s="892"/>
      <c r="HKR9" s="892"/>
      <c r="HKS9" s="892"/>
      <c r="HKT9" s="892"/>
      <c r="HKU9" s="892"/>
      <c r="HKV9" s="892"/>
      <c r="HKW9" s="892"/>
      <c r="HKX9" s="892"/>
      <c r="HKY9" s="892"/>
      <c r="HKZ9" s="892"/>
      <c r="HLA9" s="892"/>
      <c r="HLB9" s="892"/>
      <c r="HLC9" s="892"/>
      <c r="HLD9" s="892"/>
      <c r="HLE9" s="892"/>
      <c r="HLF9" s="892"/>
      <c r="HLG9" s="892"/>
      <c r="HLH9" s="892"/>
      <c r="HLI9" s="892"/>
      <c r="HLJ9" s="892"/>
      <c r="HLK9" s="892"/>
      <c r="HLL9" s="892"/>
      <c r="HLM9" s="892"/>
      <c r="HLN9" s="892"/>
      <c r="HLO9" s="892"/>
      <c r="HLP9" s="892"/>
      <c r="HLQ9" s="892"/>
      <c r="HLR9" s="892"/>
      <c r="HLS9" s="892"/>
      <c r="HLT9" s="892"/>
      <c r="HLU9" s="892"/>
      <c r="HLV9" s="892"/>
      <c r="HLW9" s="892"/>
      <c r="HLX9" s="892"/>
      <c r="HLY9" s="892"/>
      <c r="HLZ9" s="892"/>
      <c r="HMA9" s="892"/>
      <c r="HMB9" s="892"/>
      <c r="HMC9" s="892"/>
      <c r="HMD9" s="892"/>
      <c r="HME9" s="892"/>
      <c r="HMF9" s="892"/>
      <c r="HMG9" s="892"/>
      <c r="HMH9" s="892"/>
      <c r="HMI9" s="892"/>
      <c r="HMJ9" s="892"/>
      <c r="HMK9" s="892"/>
      <c r="HML9" s="892"/>
      <c r="HMM9" s="892"/>
      <c r="HMN9" s="892"/>
      <c r="HMO9" s="892"/>
      <c r="HMP9" s="892"/>
      <c r="HMQ9" s="892"/>
      <c r="HMR9" s="892"/>
      <c r="HMS9" s="892"/>
      <c r="HMT9" s="892"/>
      <c r="HMU9" s="892"/>
      <c r="HMV9" s="892"/>
      <c r="HMW9" s="892"/>
      <c r="HMX9" s="892"/>
      <c r="HMY9" s="892"/>
      <c r="HMZ9" s="892"/>
      <c r="HNA9" s="892"/>
      <c r="HNB9" s="892"/>
      <c r="HNC9" s="892"/>
      <c r="HND9" s="892"/>
      <c r="HNE9" s="892"/>
      <c r="HNF9" s="892"/>
      <c r="HNG9" s="892"/>
      <c r="HNH9" s="892"/>
      <c r="HNI9" s="892"/>
      <c r="HNJ9" s="892"/>
      <c r="HNK9" s="892"/>
      <c r="HNL9" s="892"/>
      <c r="HNM9" s="892"/>
      <c r="HNN9" s="892"/>
      <c r="HNO9" s="892"/>
      <c r="HNP9" s="892"/>
      <c r="HNQ9" s="892"/>
      <c r="HNR9" s="892"/>
      <c r="HNS9" s="892"/>
      <c r="HNT9" s="892"/>
      <c r="HNU9" s="892"/>
      <c r="HNV9" s="892"/>
      <c r="HNW9" s="892"/>
      <c r="HNX9" s="892"/>
      <c r="HNY9" s="892"/>
      <c r="HNZ9" s="892"/>
      <c r="HOA9" s="892"/>
      <c r="HOB9" s="892"/>
      <c r="HOC9" s="892"/>
      <c r="HOD9" s="892"/>
      <c r="HOE9" s="892"/>
      <c r="HOF9" s="892"/>
      <c r="HOG9" s="892"/>
      <c r="HOH9" s="892"/>
      <c r="HOI9" s="892"/>
      <c r="HOJ9" s="892"/>
      <c r="HOK9" s="892"/>
      <c r="HOL9" s="892"/>
      <c r="HOM9" s="892"/>
      <c r="HON9" s="892"/>
      <c r="HOO9" s="892"/>
      <c r="HOP9" s="892"/>
      <c r="HOQ9" s="892"/>
      <c r="HOR9" s="892"/>
      <c r="HOS9" s="892"/>
      <c r="HOT9" s="892"/>
      <c r="HOU9" s="892"/>
      <c r="HOV9" s="892"/>
      <c r="HOW9" s="892"/>
      <c r="HOX9" s="892"/>
      <c r="HOY9" s="892"/>
      <c r="HOZ9" s="892"/>
      <c r="HPA9" s="892"/>
      <c r="HPB9" s="892"/>
      <c r="HPC9" s="892"/>
      <c r="HPD9" s="892"/>
      <c r="HPE9" s="892"/>
      <c r="HPF9" s="892"/>
      <c r="HPG9" s="892"/>
      <c r="HPH9" s="892"/>
      <c r="HPI9" s="892"/>
      <c r="HPJ9" s="892"/>
      <c r="HPK9" s="892"/>
      <c r="HPL9" s="892"/>
      <c r="HPM9" s="892"/>
      <c r="HPN9" s="892"/>
      <c r="HPO9" s="892"/>
      <c r="HPP9" s="892"/>
      <c r="HPQ9" s="892"/>
      <c r="HPR9" s="892"/>
      <c r="HPS9" s="892"/>
      <c r="HPT9" s="892"/>
      <c r="HPU9" s="892"/>
      <c r="HPV9" s="892"/>
      <c r="HPW9" s="892"/>
      <c r="HPX9" s="892"/>
      <c r="HPY9" s="892"/>
      <c r="HPZ9" s="892"/>
      <c r="HQA9" s="892"/>
      <c r="HQB9" s="892"/>
      <c r="HQC9" s="892"/>
      <c r="HQD9" s="892"/>
      <c r="HQE9" s="892"/>
      <c r="HQF9" s="892"/>
      <c r="HQG9" s="892"/>
      <c r="HQH9" s="892"/>
      <c r="HQI9" s="892"/>
      <c r="HQJ9" s="892"/>
      <c r="HQK9" s="892"/>
      <c r="HQL9" s="892"/>
      <c r="HQM9" s="892"/>
      <c r="HQN9" s="892"/>
      <c r="HQO9" s="892"/>
      <c r="HQP9" s="892"/>
      <c r="HQQ9" s="892"/>
      <c r="HQR9" s="892"/>
      <c r="HQS9" s="892"/>
      <c r="HQT9" s="892"/>
      <c r="HQU9" s="892"/>
      <c r="HQV9" s="892"/>
      <c r="HQW9" s="892"/>
      <c r="HQX9" s="892"/>
      <c r="HQY9" s="892"/>
      <c r="HQZ9" s="892"/>
      <c r="HRA9" s="892"/>
      <c r="HRB9" s="892"/>
      <c r="HRC9" s="892"/>
      <c r="HRD9" s="892"/>
      <c r="HRE9" s="892"/>
      <c r="HRF9" s="892"/>
      <c r="HRG9" s="892"/>
      <c r="HRH9" s="892"/>
      <c r="HRI9" s="892"/>
      <c r="HRJ9" s="892"/>
      <c r="HRK9" s="892"/>
      <c r="HRL9" s="892"/>
      <c r="HRM9" s="892"/>
      <c r="HRN9" s="892"/>
      <c r="HRO9" s="892"/>
      <c r="HRP9" s="892"/>
      <c r="HRQ9" s="892"/>
      <c r="HRR9" s="892"/>
      <c r="HRS9" s="892"/>
      <c r="HRT9" s="892"/>
      <c r="HRU9" s="892"/>
      <c r="HRV9" s="892"/>
      <c r="HRW9" s="892"/>
      <c r="HRX9" s="892"/>
      <c r="HRY9" s="892"/>
      <c r="HRZ9" s="892"/>
      <c r="HSA9" s="892"/>
      <c r="HSB9" s="892"/>
      <c r="HSC9" s="892"/>
      <c r="HSD9" s="892"/>
      <c r="HSE9" s="892"/>
      <c r="HSF9" s="892"/>
      <c r="HSG9" s="892"/>
      <c r="HSH9" s="892"/>
      <c r="HSI9" s="892"/>
      <c r="HSJ9" s="892"/>
      <c r="HSK9" s="892"/>
      <c r="HSL9" s="892"/>
      <c r="HSM9" s="892"/>
      <c r="HSN9" s="892"/>
      <c r="HSO9" s="892"/>
      <c r="HSP9" s="892"/>
      <c r="HSQ9" s="892"/>
      <c r="HSR9" s="892"/>
      <c r="HSS9" s="892"/>
      <c r="HST9" s="892"/>
      <c r="HSU9" s="892"/>
      <c r="HSV9" s="892"/>
      <c r="HSW9" s="892"/>
      <c r="HSX9" s="892"/>
      <c r="HSY9" s="892"/>
      <c r="HSZ9" s="892"/>
      <c r="HTA9" s="892"/>
      <c r="HTB9" s="892"/>
      <c r="HTC9" s="892"/>
      <c r="HTD9" s="892"/>
      <c r="HTE9" s="892"/>
      <c r="HTF9" s="892"/>
      <c r="HTG9" s="892"/>
      <c r="HTH9" s="892"/>
      <c r="HTI9" s="892"/>
      <c r="HTJ9" s="892"/>
      <c r="HTK9" s="892"/>
      <c r="HTL9" s="892"/>
      <c r="HTM9" s="892"/>
      <c r="HTN9" s="892"/>
      <c r="HTO9" s="892"/>
      <c r="HTP9" s="892"/>
      <c r="HTQ9" s="892"/>
      <c r="HTR9" s="892"/>
      <c r="HTS9" s="892"/>
      <c r="HTT9" s="892"/>
      <c r="HTU9" s="892"/>
      <c r="HTV9" s="892"/>
      <c r="HTW9" s="892"/>
      <c r="HTX9" s="892"/>
      <c r="HTY9" s="892"/>
      <c r="HTZ9" s="892"/>
      <c r="HUA9" s="892"/>
      <c r="HUB9" s="892"/>
      <c r="HUC9" s="892"/>
      <c r="HUD9" s="892"/>
      <c r="HUE9" s="892"/>
      <c r="HUF9" s="892"/>
      <c r="HUG9" s="892"/>
      <c r="HUH9" s="892"/>
      <c r="HUI9" s="892"/>
      <c r="HUJ9" s="892"/>
      <c r="HUK9" s="892"/>
      <c r="HUL9" s="892"/>
      <c r="HUM9" s="892"/>
      <c r="HUN9" s="892"/>
      <c r="HUO9" s="892"/>
      <c r="HUP9" s="892"/>
      <c r="HUQ9" s="892"/>
      <c r="HUR9" s="892"/>
      <c r="HUS9" s="892"/>
      <c r="HUT9" s="892"/>
      <c r="HUU9" s="892"/>
      <c r="HUV9" s="892"/>
      <c r="HUW9" s="892"/>
      <c r="HUX9" s="892"/>
      <c r="HUY9" s="892"/>
      <c r="HUZ9" s="892"/>
      <c r="HVA9" s="892"/>
      <c r="HVB9" s="892"/>
      <c r="HVC9" s="892"/>
      <c r="HVD9" s="892"/>
      <c r="HVE9" s="892"/>
      <c r="HVF9" s="892"/>
      <c r="HVG9" s="892"/>
      <c r="HVH9" s="892"/>
      <c r="HVI9" s="892"/>
      <c r="HVJ9" s="892"/>
      <c r="HVK9" s="892"/>
      <c r="HVL9" s="892"/>
      <c r="HVM9" s="892"/>
      <c r="HVN9" s="892"/>
      <c r="HVO9" s="892"/>
      <c r="HVP9" s="892"/>
      <c r="HVQ9" s="892"/>
      <c r="HVR9" s="892"/>
      <c r="HVS9" s="892"/>
      <c r="HVT9" s="892"/>
      <c r="HVU9" s="892"/>
      <c r="HVV9" s="892"/>
      <c r="HVW9" s="892"/>
      <c r="HVX9" s="892"/>
      <c r="HVY9" s="892"/>
      <c r="HVZ9" s="892"/>
      <c r="HWA9" s="892"/>
      <c r="HWB9" s="892"/>
      <c r="HWC9" s="892"/>
      <c r="HWD9" s="892"/>
      <c r="HWE9" s="892"/>
      <c r="HWF9" s="892"/>
      <c r="HWG9" s="892"/>
      <c r="HWH9" s="892"/>
      <c r="HWI9" s="892"/>
      <c r="HWJ9" s="892"/>
      <c r="HWK9" s="892"/>
      <c r="HWL9" s="892"/>
      <c r="HWM9" s="892"/>
      <c r="HWN9" s="892"/>
      <c r="HWO9" s="892"/>
      <c r="HWP9" s="892"/>
      <c r="HWQ9" s="892"/>
      <c r="HWR9" s="892"/>
      <c r="HWS9" s="892"/>
      <c r="HWT9" s="892"/>
      <c r="HWU9" s="892"/>
      <c r="HWV9" s="892"/>
      <c r="HWW9" s="892"/>
      <c r="HWX9" s="892"/>
      <c r="HWY9" s="892"/>
      <c r="HWZ9" s="892"/>
      <c r="HXA9" s="892"/>
      <c r="HXB9" s="892"/>
      <c r="HXC9" s="892"/>
      <c r="HXD9" s="892"/>
      <c r="HXE9" s="892"/>
      <c r="HXF9" s="892"/>
      <c r="HXG9" s="892"/>
      <c r="HXH9" s="892"/>
      <c r="HXI9" s="892"/>
      <c r="HXJ9" s="892"/>
      <c r="HXK9" s="892"/>
      <c r="HXL9" s="892"/>
      <c r="HXM9" s="892"/>
      <c r="HXN9" s="892"/>
      <c r="HXO9" s="892"/>
      <c r="HXP9" s="892"/>
      <c r="HXQ9" s="892"/>
      <c r="HXR9" s="892"/>
      <c r="HXS9" s="892"/>
      <c r="HXT9" s="892"/>
      <c r="HXU9" s="892"/>
      <c r="HXV9" s="892"/>
      <c r="HXW9" s="892"/>
      <c r="HXX9" s="892"/>
      <c r="HXY9" s="892"/>
      <c r="HXZ9" s="892"/>
      <c r="HYA9" s="892"/>
      <c r="HYB9" s="892"/>
      <c r="HYC9" s="892"/>
      <c r="HYD9" s="892"/>
      <c r="HYE9" s="892"/>
      <c r="HYF9" s="892"/>
      <c r="HYG9" s="892"/>
      <c r="HYH9" s="892"/>
      <c r="HYI9" s="892"/>
      <c r="HYJ9" s="892"/>
      <c r="HYK9" s="892"/>
      <c r="HYL9" s="892"/>
      <c r="HYM9" s="892"/>
      <c r="HYN9" s="892"/>
      <c r="HYO9" s="892"/>
      <c r="HYP9" s="892"/>
      <c r="HYQ9" s="892"/>
      <c r="HYR9" s="892"/>
      <c r="HYS9" s="892"/>
      <c r="HYT9" s="892"/>
      <c r="HYU9" s="892"/>
      <c r="HYV9" s="892"/>
      <c r="HYW9" s="892"/>
      <c r="HYX9" s="892"/>
      <c r="HYY9" s="892"/>
      <c r="HYZ9" s="892"/>
      <c r="HZA9" s="892"/>
      <c r="HZB9" s="892"/>
      <c r="HZC9" s="892"/>
      <c r="HZD9" s="892"/>
      <c r="HZE9" s="892"/>
      <c r="HZF9" s="892"/>
      <c r="HZG9" s="892"/>
      <c r="HZH9" s="892"/>
      <c r="HZI9" s="892"/>
      <c r="HZJ9" s="892"/>
      <c r="HZK9" s="892"/>
      <c r="HZL9" s="892"/>
      <c r="HZM9" s="892"/>
      <c r="HZN9" s="892"/>
      <c r="HZO9" s="892"/>
      <c r="HZP9" s="892"/>
      <c r="HZQ9" s="892"/>
      <c r="HZR9" s="892"/>
      <c r="HZS9" s="892"/>
      <c r="HZT9" s="892"/>
      <c r="HZU9" s="892"/>
      <c r="HZV9" s="892"/>
      <c r="HZW9" s="892"/>
      <c r="HZX9" s="892"/>
      <c r="HZY9" s="892"/>
      <c r="HZZ9" s="892"/>
      <c r="IAA9" s="892"/>
      <c r="IAB9" s="892"/>
      <c r="IAC9" s="892"/>
      <c r="IAD9" s="892"/>
      <c r="IAE9" s="892"/>
      <c r="IAF9" s="892"/>
      <c r="IAG9" s="892"/>
      <c r="IAH9" s="892"/>
      <c r="IAI9" s="892"/>
      <c r="IAJ9" s="892"/>
      <c r="IAK9" s="892"/>
      <c r="IAL9" s="892"/>
      <c r="IAM9" s="892"/>
      <c r="IAN9" s="892"/>
      <c r="IAO9" s="892"/>
      <c r="IAP9" s="892"/>
      <c r="IAQ9" s="892"/>
      <c r="IAR9" s="892"/>
      <c r="IAS9" s="892"/>
      <c r="IAT9" s="892"/>
      <c r="IAU9" s="892"/>
      <c r="IAV9" s="892"/>
      <c r="IAW9" s="892"/>
      <c r="IAX9" s="892"/>
      <c r="IAY9" s="892"/>
      <c r="IAZ9" s="892"/>
      <c r="IBA9" s="892"/>
      <c r="IBB9" s="892"/>
      <c r="IBC9" s="892"/>
      <c r="IBD9" s="892"/>
      <c r="IBE9" s="892"/>
      <c r="IBF9" s="892"/>
      <c r="IBG9" s="892"/>
      <c r="IBH9" s="892"/>
      <c r="IBI9" s="892"/>
      <c r="IBJ9" s="892"/>
      <c r="IBK9" s="892"/>
      <c r="IBL9" s="892"/>
      <c r="IBM9" s="892"/>
      <c r="IBN9" s="892"/>
      <c r="IBO9" s="892"/>
      <c r="IBP9" s="892"/>
      <c r="IBQ9" s="892"/>
      <c r="IBR9" s="892"/>
      <c r="IBS9" s="892"/>
      <c r="IBT9" s="892"/>
      <c r="IBU9" s="892"/>
      <c r="IBV9" s="892"/>
      <c r="IBW9" s="892"/>
      <c r="IBX9" s="892"/>
      <c r="IBY9" s="892"/>
      <c r="IBZ9" s="892"/>
      <c r="ICA9" s="892"/>
      <c r="ICB9" s="892"/>
      <c r="ICC9" s="892"/>
      <c r="ICD9" s="892"/>
      <c r="ICE9" s="892"/>
      <c r="ICF9" s="892"/>
      <c r="ICG9" s="892"/>
      <c r="ICH9" s="892"/>
      <c r="ICI9" s="892"/>
      <c r="ICJ9" s="892"/>
      <c r="ICK9" s="892"/>
      <c r="ICL9" s="892"/>
      <c r="ICM9" s="892"/>
      <c r="ICN9" s="892"/>
      <c r="ICO9" s="892"/>
      <c r="ICP9" s="892"/>
      <c r="ICQ9" s="892"/>
      <c r="ICR9" s="892"/>
      <c r="ICS9" s="892"/>
      <c r="ICT9" s="892"/>
      <c r="ICU9" s="892"/>
      <c r="ICV9" s="892"/>
      <c r="ICW9" s="892"/>
      <c r="ICX9" s="892"/>
      <c r="ICY9" s="892"/>
      <c r="ICZ9" s="892"/>
      <c r="IDA9" s="892"/>
      <c r="IDB9" s="892"/>
      <c r="IDC9" s="892"/>
      <c r="IDD9" s="892"/>
      <c r="IDE9" s="892"/>
      <c r="IDF9" s="892"/>
      <c r="IDG9" s="892"/>
      <c r="IDH9" s="892"/>
      <c r="IDI9" s="892"/>
      <c r="IDJ9" s="892"/>
      <c r="IDK9" s="892"/>
      <c r="IDL9" s="892"/>
      <c r="IDM9" s="892"/>
      <c r="IDN9" s="892"/>
      <c r="IDO9" s="892"/>
      <c r="IDP9" s="892"/>
      <c r="IDQ9" s="892"/>
      <c r="IDR9" s="892"/>
      <c r="IDS9" s="892"/>
      <c r="IDT9" s="892"/>
      <c r="IDU9" s="892"/>
      <c r="IDV9" s="892"/>
      <c r="IDW9" s="892"/>
      <c r="IDX9" s="892"/>
      <c r="IDY9" s="892"/>
      <c r="IDZ9" s="892"/>
      <c r="IEA9" s="892"/>
      <c r="IEB9" s="892"/>
      <c r="IEC9" s="892"/>
      <c r="IED9" s="892"/>
      <c r="IEE9" s="892"/>
      <c r="IEF9" s="892"/>
      <c r="IEG9" s="892"/>
      <c r="IEH9" s="892"/>
      <c r="IEI9" s="892"/>
      <c r="IEJ9" s="892"/>
      <c r="IEK9" s="892"/>
      <c r="IEL9" s="892"/>
      <c r="IEM9" s="892"/>
      <c r="IEN9" s="892"/>
      <c r="IEO9" s="892"/>
      <c r="IEP9" s="892"/>
      <c r="IEQ9" s="892"/>
      <c r="IER9" s="892"/>
      <c r="IES9" s="892"/>
      <c r="IET9" s="892"/>
      <c r="IEU9" s="892"/>
      <c r="IEV9" s="892"/>
      <c r="IEW9" s="892"/>
      <c r="IEX9" s="892"/>
      <c r="IEY9" s="892"/>
      <c r="IEZ9" s="892"/>
      <c r="IFA9" s="892"/>
      <c r="IFB9" s="892"/>
      <c r="IFC9" s="892"/>
      <c r="IFD9" s="892"/>
      <c r="IFE9" s="892"/>
      <c r="IFF9" s="892"/>
      <c r="IFG9" s="892"/>
      <c r="IFH9" s="892"/>
      <c r="IFI9" s="892"/>
      <c r="IFJ9" s="892"/>
      <c r="IFK9" s="892"/>
      <c r="IFL9" s="892"/>
      <c r="IFM9" s="892"/>
      <c r="IFN9" s="892"/>
      <c r="IFO9" s="892"/>
      <c r="IFP9" s="892"/>
      <c r="IFQ9" s="892"/>
      <c r="IFR9" s="892"/>
      <c r="IFS9" s="892"/>
      <c r="IFT9" s="892"/>
      <c r="IFU9" s="892"/>
      <c r="IFV9" s="892"/>
      <c r="IFW9" s="892"/>
      <c r="IFX9" s="892"/>
      <c r="IFY9" s="892"/>
      <c r="IFZ9" s="892"/>
      <c r="IGA9" s="892"/>
      <c r="IGB9" s="892"/>
      <c r="IGC9" s="892"/>
      <c r="IGD9" s="892"/>
      <c r="IGE9" s="892"/>
      <c r="IGF9" s="892"/>
      <c r="IGG9" s="892"/>
      <c r="IGH9" s="892"/>
      <c r="IGI9" s="892"/>
      <c r="IGJ9" s="892"/>
      <c r="IGK9" s="892"/>
      <c r="IGL9" s="892"/>
      <c r="IGM9" s="892"/>
      <c r="IGN9" s="892"/>
      <c r="IGO9" s="892"/>
      <c r="IGP9" s="892"/>
      <c r="IGQ9" s="892"/>
      <c r="IGR9" s="892"/>
      <c r="IGS9" s="892"/>
      <c r="IGT9" s="892"/>
      <c r="IGU9" s="892"/>
      <c r="IGV9" s="892"/>
      <c r="IGW9" s="892"/>
      <c r="IGX9" s="892"/>
      <c r="IGY9" s="892"/>
      <c r="IGZ9" s="892"/>
      <c r="IHA9" s="892"/>
      <c r="IHB9" s="892"/>
      <c r="IHC9" s="892"/>
      <c r="IHD9" s="892"/>
      <c r="IHE9" s="892"/>
      <c r="IHF9" s="892"/>
      <c r="IHG9" s="892"/>
      <c r="IHH9" s="892"/>
      <c r="IHI9" s="892"/>
      <c r="IHJ9" s="892"/>
      <c r="IHK9" s="892"/>
      <c r="IHL9" s="892"/>
      <c r="IHM9" s="892"/>
      <c r="IHN9" s="892"/>
      <c r="IHO9" s="892"/>
      <c r="IHP9" s="892"/>
      <c r="IHQ9" s="892"/>
      <c r="IHR9" s="892"/>
      <c r="IHS9" s="892"/>
      <c r="IHT9" s="892"/>
      <c r="IHU9" s="892"/>
      <c r="IHV9" s="892"/>
      <c r="IHW9" s="892"/>
      <c r="IHX9" s="892"/>
      <c r="IHY9" s="892"/>
      <c r="IHZ9" s="892"/>
      <c r="IIA9" s="892"/>
      <c r="IIB9" s="892"/>
      <c r="IIC9" s="892"/>
      <c r="IID9" s="892"/>
      <c r="IIE9" s="892"/>
      <c r="IIF9" s="892"/>
      <c r="IIG9" s="892"/>
      <c r="IIH9" s="892"/>
      <c r="III9" s="892"/>
      <c r="IIJ9" s="892"/>
      <c r="IIK9" s="892"/>
      <c r="IIL9" s="892"/>
      <c r="IIM9" s="892"/>
      <c r="IIN9" s="892"/>
      <c r="IIO9" s="892"/>
      <c r="IIP9" s="892"/>
      <c r="IIQ9" s="892"/>
      <c r="IIR9" s="892"/>
      <c r="IIS9" s="892"/>
      <c r="IIT9" s="892"/>
      <c r="IIU9" s="892"/>
      <c r="IIV9" s="892"/>
      <c r="IIW9" s="892"/>
      <c r="IIX9" s="892"/>
      <c r="IIY9" s="892"/>
      <c r="IIZ9" s="892"/>
      <c r="IJA9" s="892"/>
      <c r="IJB9" s="892"/>
      <c r="IJC9" s="892"/>
      <c r="IJD9" s="892"/>
      <c r="IJE9" s="892"/>
      <c r="IJF9" s="892"/>
      <c r="IJG9" s="892"/>
      <c r="IJH9" s="892"/>
      <c r="IJI9" s="892"/>
      <c r="IJJ9" s="892"/>
      <c r="IJK9" s="892"/>
      <c r="IJL9" s="892"/>
      <c r="IJM9" s="892"/>
      <c r="IJN9" s="892"/>
      <c r="IJO9" s="892"/>
      <c r="IJP9" s="892"/>
      <c r="IJQ9" s="892"/>
      <c r="IJR9" s="892"/>
      <c r="IJS9" s="892"/>
      <c r="IJT9" s="892"/>
      <c r="IJU9" s="892"/>
      <c r="IJV9" s="892"/>
      <c r="IJW9" s="892"/>
      <c r="IJX9" s="892"/>
      <c r="IJY9" s="892"/>
      <c r="IJZ9" s="892"/>
      <c r="IKA9" s="892"/>
      <c r="IKB9" s="892"/>
      <c r="IKC9" s="892"/>
      <c r="IKD9" s="892"/>
      <c r="IKE9" s="892"/>
      <c r="IKF9" s="892"/>
      <c r="IKG9" s="892"/>
      <c r="IKH9" s="892"/>
      <c r="IKI9" s="892"/>
      <c r="IKJ9" s="892"/>
      <c r="IKK9" s="892"/>
      <c r="IKL9" s="892"/>
      <c r="IKM9" s="892"/>
      <c r="IKN9" s="892"/>
      <c r="IKO9" s="892"/>
      <c r="IKP9" s="892"/>
      <c r="IKQ9" s="892"/>
      <c r="IKR9" s="892"/>
      <c r="IKS9" s="892"/>
      <c r="IKT9" s="892"/>
      <c r="IKU9" s="892"/>
      <c r="IKV9" s="892"/>
      <c r="IKW9" s="892"/>
      <c r="IKX9" s="892"/>
      <c r="IKY9" s="892"/>
      <c r="IKZ9" s="892"/>
      <c r="ILA9" s="892"/>
      <c r="ILB9" s="892"/>
      <c r="ILC9" s="892"/>
      <c r="ILD9" s="892"/>
      <c r="ILE9" s="892"/>
      <c r="ILF9" s="892"/>
      <c r="ILG9" s="892"/>
      <c r="ILH9" s="892"/>
      <c r="ILI9" s="892"/>
      <c r="ILJ9" s="892"/>
      <c r="ILK9" s="892"/>
      <c r="ILL9" s="892"/>
      <c r="ILM9" s="892"/>
      <c r="ILN9" s="892"/>
      <c r="ILO9" s="892"/>
      <c r="ILP9" s="892"/>
      <c r="ILQ9" s="892"/>
      <c r="ILR9" s="892"/>
      <c r="ILS9" s="892"/>
      <c r="ILT9" s="892"/>
      <c r="ILU9" s="892"/>
      <c r="ILV9" s="892"/>
      <c r="ILW9" s="892"/>
      <c r="ILX9" s="892"/>
      <c r="ILY9" s="892"/>
      <c r="ILZ9" s="892"/>
      <c r="IMA9" s="892"/>
      <c r="IMB9" s="892"/>
      <c r="IMC9" s="892"/>
      <c r="IMD9" s="892"/>
      <c r="IME9" s="892"/>
      <c r="IMF9" s="892"/>
      <c r="IMG9" s="892"/>
      <c r="IMH9" s="892"/>
      <c r="IMI9" s="892"/>
      <c r="IMJ9" s="892"/>
      <c r="IMK9" s="892"/>
      <c r="IML9" s="892"/>
      <c r="IMM9" s="892"/>
      <c r="IMN9" s="892"/>
      <c r="IMO9" s="892"/>
      <c r="IMP9" s="892"/>
      <c r="IMQ9" s="892"/>
      <c r="IMR9" s="892"/>
      <c r="IMS9" s="892"/>
      <c r="IMT9" s="892"/>
      <c r="IMU9" s="892"/>
      <c r="IMV9" s="892"/>
      <c r="IMW9" s="892"/>
      <c r="IMX9" s="892"/>
      <c r="IMY9" s="892"/>
      <c r="IMZ9" s="892"/>
      <c r="INA9" s="892"/>
      <c r="INB9" s="892"/>
      <c r="INC9" s="892"/>
      <c r="IND9" s="892"/>
      <c r="INE9" s="892"/>
      <c r="INF9" s="892"/>
      <c r="ING9" s="892"/>
      <c r="INH9" s="892"/>
      <c r="INI9" s="892"/>
      <c r="INJ9" s="892"/>
      <c r="INK9" s="892"/>
      <c r="INL9" s="892"/>
      <c r="INM9" s="892"/>
      <c r="INN9" s="892"/>
      <c r="INO9" s="892"/>
      <c r="INP9" s="892"/>
      <c r="INQ9" s="892"/>
      <c r="INR9" s="892"/>
      <c r="INS9" s="892"/>
      <c r="INT9" s="892"/>
      <c r="INU9" s="892"/>
      <c r="INV9" s="892"/>
      <c r="INW9" s="892"/>
      <c r="INX9" s="892"/>
      <c r="INY9" s="892"/>
      <c r="INZ9" s="892"/>
      <c r="IOA9" s="892"/>
      <c r="IOB9" s="892"/>
      <c r="IOC9" s="892"/>
      <c r="IOD9" s="892"/>
      <c r="IOE9" s="892"/>
      <c r="IOF9" s="892"/>
      <c r="IOG9" s="892"/>
      <c r="IOH9" s="892"/>
      <c r="IOI9" s="892"/>
      <c r="IOJ9" s="892"/>
      <c r="IOK9" s="892"/>
      <c r="IOL9" s="892"/>
      <c r="IOM9" s="892"/>
      <c r="ION9" s="892"/>
      <c r="IOO9" s="892"/>
      <c r="IOP9" s="892"/>
      <c r="IOQ9" s="892"/>
      <c r="IOR9" s="892"/>
      <c r="IOS9" s="892"/>
      <c r="IOT9" s="892"/>
      <c r="IOU9" s="892"/>
      <c r="IOV9" s="892"/>
      <c r="IOW9" s="892"/>
      <c r="IOX9" s="892"/>
      <c r="IOY9" s="892"/>
      <c r="IOZ9" s="892"/>
      <c r="IPA9" s="892"/>
      <c r="IPB9" s="892"/>
      <c r="IPC9" s="892"/>
      <c r="IPD9" s="892"/>
      <c r="IPE9" s="892"/>
      <c r="IPF9" s="892"/>
      <c r="IPG9" s="892"/>
      <c r="IPH9" s="892"/>
      <c r="IPI9" s="892"/>
      <c r="IPJ9" s="892"/>
      <c r="IPK9" s="892"/>
      <c r="IPL9" s="892"/>
      <c r="IPM9" s="892"/>
      <c r="IPN9" s="892"/>
      <c r="IPO9" s="892"/>
      <c r="IPP9" s="892"/>
      <c r="IPQ9" s="892"/>
      <c r="IPR9" s="892"/>
      <c r="IPS9" s="892"/>
      <c r="IPT9" s="892"/>
      <c r="IPU9" s="892"/>
      <c r="IPV9" s="892"/>
      <c r="IPW9" s="892"/>
      <c r="IPX9" s="892"/>
      <c r="IPY9" s="892"/>
      <c r="IPZ9" s="892"/>
      <c r="IQA9" s="892"/>
      <c r="IQB9" s="892"/>
      <c r="IQC9" s="892"/>
      <c r="IQD9" s="892"/>
      <c r="IQE9" s="892"/>
      <c r="IQF9" s="892"/>
      <c r="IQG9" s="892"/>
      <c r="IQH9" s="892"/>
      <c r="IQI9" s="892"/>
      <c r="IQJ9" s="892"/>
      <c r="IQK9" s="892"/>
      <c r="IQL9" s="892"/>
      <c r="IQM9" s="892"/>
      <c r="IQN9" s="892"/>
      <c r="IQO9" s="892"/>
      <c r="IQP9" s="892"/>
      <c r="IQQ9" s="892"/>
      <c r="IQR9" s="892"/>
      <c r="IQS9" s="892"/>
      <c r="IQT9" s="892"/>
      <c r="IQU9" s="892"/>
      <c r="IQV9" s="892"/>
      <c r="IQW9" s="892"/>
      <c r="IQX9" s="892"/>
      <c r="IQY9" s="892"/>
      <c r="IQZ9" s="892"/>
      <c r="IRA9" s="892"/>
      <c r="IRB9" s="892"/>
      <c r="IRC9" s="892"/>
      <c r="IRD9" s="892"/>
      <c r="IRE9" s="892"/>
      <c r="IRF9" s="892"/>
      <c r="IRG9" s="892"/>
      <c r="IRH9" s="892"/>
      <c r="IRI9" s="892"/>
      <c r="IRJ9" s="892"/>
      <c r="IRK9" s="892"/>
      <c r="IRL9" s="892"/>
      <c r="IRM9" s="892"/>
      <c r="IRN9" s="892"/>
      <c r="IRO9" s="892"/>
      <c r="IRP9" s="892"/>
      <c r="IRQ9" s="892"/>
      <c r="IRR9" s="892"/>
      <c r="IRS9" s="892"/>
      <c r="IRT9" s="892"/>
      <c r="IRU9" s="892"/>
      <c r="IRV9" s="892"/>
      <c r="IRW9" s="892"/>
      <c r="IRX9" s="892"/>
      <c r="IRY9" s="892"/>
      <c r="IRZ9" s="892"/>
      <c r="ISA9" s="892"/>
      <c r="ISB9" s="892"/>
      <c r="ISC9" s="892"/>
      <c r="ISD9" s="892"/>
      <c r="ISE9" s="892"/>
      <c r="ISF9" s="892"/>
      <c r="ISG9" s="892"/>
      <c r="ISH9" s="892"/>
      <c r="ISI9" s="892"/>
      <c r="ISJ9" s="892"/>
      <c r="ISK9" s="892"/>
      <c r="ISL9" s="892"/>
      <c r="ISM9" s="892"/>
      <c r="ISN9" s="892"/>
      <c r="ISO9" s="892"/>
      <c r="ISP9" s="892"/>
      <c r="ISQ9" s="892"/>
      <c r="ISR9" s="892"/>
      <c r="ISS9" s="892"/>
      <c r="IST9" s="892"/>
      <c r="ISU9" s="892"/>
      <c r="ISV9" s="892"/>
      <c r="ISW9" s="892"/>
      <c r="ISX9" s="892"/>
      <c r="ISY9" s="892"/>
      <c r="ISZ9" s="892"/>
      <c r="ITA9" s="892"/>
      <c r="ITB9" s="892"/>
      <c r="ITC9" s="892"/>
      <c r="ITD9" s="892"/>
      <c r="ITE9" s="892"/>
      <c r="ITF9" s="892"/>
      <c r="ITG9" s="892"/>
      <c r="ITH9" s="892"/>
      <c r="ITI9" s="892"/>
      <c r="ITJ9" s="892"/>
      <c r="ITK9" s="892"/>
      <c r="ITL9" s="892"/>
      <c r="ITM9" s="892"/>
      <c r="ITN9" s="892"/>
      <c r="ITO9" s="892"/>
      <c r="ITP9" s="892"/>
      <c r="ITQ9" s="892"/>
      <c r="ITR9" s="892"/>
      <c r="ITS9" s="892"/>
      <c r="ITT9" s="892"/>
      <c r="ITU9" s="892"/>
      <c r="ITV9" s="892"/>
      <c r="ITW9" s="892"/>
      <c r="ITX9" s="892"/>
      <c r="ITY9" s="892"/>
      <c r="ITZ9" s="892"/>
      <c r="IUA9" s="892"/>
      <c r="IUB9" s="892"/>
      <c r="IUC9" s="892"/>
      <c r="IUD9" s="892"/>
      <c r="IUE9" s="892"/>
      <c r="IUF9" s="892"/>
      <c r="IUG9" s="892"/>
      <c r="IUH9" s="892"/>
      <c r="IUI9" s="892"/>
      <c r="IUJ9" s="892"/>
      <c r="IUK9" s="892"/>
      <c r="IUL9" s="892"/>
      <c r="IUM9" s="892"/>
      <c r="IUN9" s="892"/>
      <c r="IUO9" s="892"/>
      <c r="IUP9" s="892"/>
      <c r="IUQ9" s="892"/>
      <c r="IUR9" s="892"/>
      <c r="IUS9" s="892"/>
      <c r="IUT9" s="892"/>
      <c r="IUU9" s="892"/>
      <c r="IUV9" s="892"/>
      <c r="IUW9" s="892"/>
      <c r="IUX9" s="892"/>
      <c r="IUY9" s="892"/>
      <c r="IUZ9" s="892"/>
      <c r="IVA9" s="892"/>
      <c r="IVB9" s="892"/>
      <c r="IVC9" s="892"/>
      <c r="IVD9" s="892"/>
      <c r="IVE9" s="892"/>
      <c r="IVF9" s="892"/>
      <c r="IVG9" s="892"/>
      <c r="IVH9" s="892"/>
      <c r="IVI9" s="892"/>
      <c r="IVJ9" s="892"/>
      <c r="IVK9" s="892"/>
      <c r="IVL9" s="892"/>
      <c r="IVM9" s="892"/>
      <c r="IVN9" s="892"/>
      <c r="IVO9" s="892"/>
      <c r="IVP9" s="892"/>
      <c r="IVQ9" s="892"/>
      <c r="IVR9" s="892"/>
      <c r="IVS9" s="892"/>
      <c r="IVT9" s="892"/>
      <c r="IVU9" s="892"/>
      <c r="IVV9" s="892"/>
      <c r="IVW9" s="892"/>
      <c r="IVX9" s="892"/>
      <c r="IVY9" s="892"/>
      <c r="IVZ9" s="892"/>
      <c r="IWA9" s="892"/>
      <c r="IWB9" s="892"/>
      <c r="IWC9" s="892"/>
      <c r="IWD9" s="892"/>
      <c r="IWE9" s="892"/>
      <c r="IWF9" s="892"/>
      <c r="IWG9" s="892"/>
      <c r="IWH9" s="892"/>
      <c r="IWI9" s="892"/>
      <c r="IWJ9" s="892"/>
      <c r="IWK9" s="892"/>
      <c r="IWL9" s="892"/>
      <c r="IWM9" s="892"/>
      <c r="IWN9" s="892"/>
      <c r="IWO9" s="892"/>
      <c r="IWP9" s="892"/>
      <c r="IWQ9" s="892"/>
      <c r="IWR9" s="892"/>
      <c r="IWS9" s="892"/>
      <c r="IWT9" s="892"/>
      <c r="IWU9" s="892"/>
      <c r="IWV9" s="892"/>
      <c r="IWW9" s="892"/>
      <c r="IWX9" s="892"/>
      <c r="IWY9" s="892"/>
      <c r="IWZ9" s="892"/>
      <c r="IXA9" s="892"/>
      <c r="IXB9" s="892"/>
      <c r="IXC9" s="892"/>
      <c r="IXD9" s="892"/>
      <c r="IXE9" s="892"/>
      <c r="IXF9" s="892"/>
      <c r="IXG9" s="892"/>
      <c r="IXH9" s="892"/>
      <c r="IXI9" s="892"/>
      <c r="IXJ9" s="892"/>
      <c r="IXK9" s="892"/>
      <c r="IXL9" s="892"/>
      <c r="IXM9" s="892"/>
      <c r="IXN9" s="892"/>
      <c r="IXO9" s="892"/>
      <c r="IXP9" s="892"/>
      <c r="IXQ9" s="892"/>
      <c r="IXR9" s="892"/>
      <c r="IXS9" s="892"/>
      <c r="IXT9" s="892"/>
      <c r="IXU9" s="892"/>
      <c r="IXV9" s="892"/>
      <c r="IXW9" s="892"/>
      <c r="IXX9" s="892"/>
      <c r="IXY9" s="892"/>
      <c r="IXZ9" s="892"/>
      <c r="IYA9" s="892"/>
      <c r="IYB9" s="892"/>
      <c r="IYC9" s="892"/>
      <c r="IYD9" s="892"/>
      <c r="IYE9" s="892"/>
      <c r="IYF9" s="892"/>
      <c r="IYG9" s="892"/>
      <c r="IYH9" s="892"/>
      <c r="IYI9" s="892"/>
      <c r="IYJ9" s="892"/>
      <c r="IYK9" s="892"/>
      <c r="IYL9" s="892"/>
      <c r="IYM9" s="892"/>
      <c r="IYN9" s="892"/>
      <c r="IYO9" s="892"/>
      <c r="IYP9" s="892"/>
      <c r="IYQ9" s="892"/>
      <c r="IYR9" s="892"/>
      <c r="IYS9" s="892"/>
      <c r="IYT9" s="892"/>
      <c r="IYU9" s="892"/>
      <c r="IYV9" s="892"/>
      <c r="IYW9" s="892"/>
      <c r="IYX9" s="892"/>
      <c r="IYY9" s="892"/>
      <c r="IYZ9" s="892"/>
      <c r="IZA9" s="892"/>
      <c r="IZB9" s="892"/>
      <c r="IZC9" s="892"/>
      <c r="IZD9" s="892"/>
      <c r="IZE9" s="892"/>
      <c r="IZF9" s="892"/>
      <c r="IZG9" s="892"/>
      <c r="IZH9" s="892"/>
      <c r="IZI9" s="892"/>
      <c r="IZJ9" s="892"/>
      <c r="IZK9" s="892"/>
      <c r="IZL9" s="892"/>
      <c r="IZM9" s="892"/>
      <c r="IZN9" s="892"/>
      <c r="IZO9" s="892"/>
      <c r="IZP9" s="892"/>
      <c r="IZQ9" s="892"/>
      <c r="IZR9" s="892"/>
      <c r="IZS9" s="892"/>
      <c r="IZT9" s="892"/>
      <c r="IZU9" s="892"/>
      <c r="IZV9" s="892"/>
      <c r="IZW9" s="892"/>
      <c r="IZX9" s="892"/>
      <c r="IZY9" s="892"/>
      <c r="IZZ9" s="892"/>
      <c r="JAA9" s="892"/>
      <c r="JAB9" s="892"/>
      <c r="JAC9" s="892"/>
      <c r="JAD9" s="892"/>
      <c r="JAE9" s="892"/>
      <c r="JAF9" s="892"/>
      <c r="JAG9" s="892"/>
      <c r="JAH9" s="892"/>
      <c r="JAI9" s="892"/>
      <c r="JAJ9" s="892"/>
      <c r="JAK9" s="892"/>
      <c r="JAL9" s="892"/>
      <c r="JAM9" s="892"/>
      <c r="JAN9" s="892"/>
      <c r="JAO9" s="892"/>
      <c r="JAP9" s="892"/>
      <c r="JAQ9" s="892"/>
      <c r="JAR9" s="892"/>
      <c r="JAS9" s="892"/>
      <c r="JAT9" s="892"/>
      <c r="JAU9" s="892"/>
      <c r="JAV9" s="892"/>
      <c r="JAW9" s="892"/>
      <c r="JAX9" s="892"/>
      <c r="JAY9" s="892"/>
      <c r="JAZ9" s="892"/>
      <c r="JBA9" s="892"/>
      <c r="JBB9" s="892"/>
      <c r="JBC9" s="892"/>
      <c r="JBD9" s="892"/>
      <c r="JBE9" s="892"/>
      <c r="JBF9" s="892"/>
      <c r="JBG9" s="892"/>
      <c r="JBH9" s="892"/>
      <c r="JBI9" s="892"/>
      <c r="JBJ9" s="892"/>
      <c r="JBK9" s="892"/>
      <c r="JBL9" s="892"/>
      <c r="JBM9" s="892"/>
      <c r="JBN9" s="892"/>
      <c r="JBO9" s="892"/>
      <c r="JBP9" s="892"/>
      <c r="JBQ9" s="892"/>
      <c r="JBR9" s="892"/>
      <c r="JBS9" s="892"/>
      <c r="JBT9" s="892"/>
      <c r="JBU9" s="892"/>
      <c r="JBV9" s="892"/>
      <c r="JBW9" s="892"/>
      <c r="JBX9" s="892"/>
      <c r="JBY9" s="892"/>
      <c r="JBZ9" s="892"/>
      <c r="JCA9" s="892"/>
      <c r="JCB9" s="892"/>
      <c r="JCC9" s="892"/>
      <c r="JCD9" s="892"/>
      <c r="JCE9" s="892"/>
      <c r="JCF9" s="892"/>
      <c r="JCG9" s="892"/>
      <c r="JCH9" s="892"/>
      <c r="JCI9" s="892"/>
      <c r="JCJ9" s="892"/>
      <c r="JCK9" s="892"/>
      <c r="JCL9" s="892"/>
      <c r="JCM9" s="892"/>
      <c r="JCN9" s="892"/>
      <c r="JCO9" s="892"/>
      <c r="JCP9" s="892"/>
      <c r="JCQ9" s="892"/>
      <c r="JCR9" s="892"/>
      <c r="JCS9" s="892"/>
      <c r="JCT9" s="892"/>
      <c r="JCU9" s="892"/>
      <c r="JCV9" s="892"/>
      <c r="JCW9" s="892"/>
      <c r="JCX9" s="892"/>
      <c r="JCY9" s="892"/>
      <c r="JCZ9" s="892"/>
      <c r="JDA9" s="892"/>
      <c r="JDB9" s="892"/>
      <c r="JDC9" s="892"/>
      <c r="JDD9" s="892"/>
      <c r="JDE9" s="892"/>
      <c r="JDF9" s="892"/>
      <c r="JDG9" s="892"/>
      <c r="JDH9" s="892"/>
      <c r="JDI9" s="892"/>
      <c r="JDJ9" s="892"/>
      <c r="JDK9" s="892"/>
      <c r="JDL9" s="892"/>
      <c r="JDM9" s="892"/>
      <c r="JDN9" s="892"/>
      <c r="JDO9" s="892"/>
      <c r="JDP9" s="892"/>
      <c r="JDQ9" s="892"/>
      <c r="JDR9" s="892"/>
      <c r="JDS9" s="892"/>
      <c r="JDT9" s="892"/>
      <c r="JDU9" s="892"/>
      <c r="JDV9" s="892"/>
      <c r="JDW9" s="892"/>
      <c r="JDX9" s="892"/>
      <c r="JDY9" s="892"/>
      <c r="JDZ9" s="892"/>
      <c r="JEA9" s="892"/>
      <c r="JEB9" s="892"/>
      <c r="JEC9" s="892"/>
      <c r="JED9" s="892"/>
      <c r="JEE9" s="892"/>
      <c r="JEF9" s="892"/>
      <c r="JEG9" s="892"/>
      <c r="JEH9" s="892"/>
      <c r="JEI9" s="892"/>
      <c r="JEJ9" s="892"/>
      <c r="JEK9" s="892"/>
      <c r="JEL9" s="892"/>
      <c r="JEM9" s="892"/>
      <c r="JEN9" s="892"/>
      <c r="JEO9" s="892"/>
      <c r="JEP9" s="892"/>
      <c r="JEQ9" s="892"/>
      <c r="JER9" s="892"/>
      <c r="JES9" s="892"/>
      <c r="JET9" s="892"/>
      <c r="JEU9" s="892"/>
      <c r="JEV9" s="892"/>
      <c r="JEW9" s="892"/>
      <c r="JEX9" s="892"/>
      <c r="JEY9" s="892"/>
      <c r="JEZ9" s="892"/>
      <c r="JFA9" s="892"/>
      <c r="JFB9" s="892"/>
      <c r="JFC9" s="892"/>
      <c r="JFD9" s="892"/>
      <c r="JFE9" s="892"/>
      <c r="JFF9" s="892"/>
      <c r="JFG9" s="892"/>
      <c r="JFH9" s="892"/>
      <c r="JFI9" s="892"/>
      <c r="JFJ9" s="892"/>
      <c r="JFK9" s="892"/>
      <c r="JFL9" s="892"/>
      <c r="JFM9" s="892"/>
      <c r="JFN9" s="892"/>
      <c r="JFO9" s="892"/>
      <c r="JFP9" s="892"/>
      <c r="JFQ9" s="892"/>
      <c r="JFR9" s="892"/>
      <c r="JFS9" s="892"/>
      <c r="JFT9" s="892"/>
      <c r="JFU9" s="892"/>
      <c r="JFV9" s="892"/>
      <c r="JFW9" s="892"/>
      <c r="JFX9" s="892"/>
      <c r="JFY9" s="892"/>
      <c r="JFZ9" s="892"/>
      <c r="JGA9" s="892"/>
      <c r="JGB9" s="892"/>
      <c r="JGC9" s="892"/>
      <c r="JGD9" s="892"/>
      <c r="JGE9" s="892"/>
      <c r="JGF9" s="892"/>
      <c r="JGG9" s="892"/>
      <c r="JGH9" s="892"/>
      <c r="JGI9" s="892"/>
      <c r="JGJ9" s="892"/>
      <c r="JGK9" s="892"/>
      <c r="JGL9" s="892"/>
      <c r="JGM9" s="892"/>
      <c r="JGN9" s="892"/>
      <c r="JGO9" s="892"/>
      <c r="JGP9" s="892"/>
      <c r="JGQ9" s="892"/>
      <c r="JGR9" s="892"/>
      <c r="JGS9" s="892"/>
      <c r="JGT9" s="892"/>
      <c r="JGU9" s="892"/>
      <c r="JGV9" s="892"/>
      <c r="JGW9" s="892"/>
      <c r="JGX9" s="892"/>
      <c r="JGY9" s="892"/>
      <c r="JGZ9" s="892"/>
      <c r="JHA9" s="892"/>
      <c r="JHB9" s="892"/>
      <c r="JHC9" s="892"/>
      <c r="JHD9" s="892"/>
      <c r="JHE9" s="892"/>
      <c r="JHF9" s="892"/>
      <c r="JHG9" s="892"/>
      <c r="JHH9" s="892"/>
      <c r="JHI9" s="892"/>
      <c r="JHJ9" s="892"/>
      <c r="JHK9" s="892"/>
      <c r="JHL9" s="892"/>
      <c r="JHM9" s="892"/>
      <c r="JHN9" s="892"/>
      <c r="JHO9" s="892"/>
      <c r="JHP9" s="892"/>
      <c r="JHQ9" s="892"/>
      <c r="JHR9" s="892"/>
      <c r="JHS9" s="892"/>
      <c r="JHT9" s="892"/>
      <c r="JHU9" s="892"/>
      <c r="JHV9" s="892"/>
      <c r="JHW9" s="892"/>
      <c r="JHX9" s="892"/>
      <c r="JHY9" s="892"/>
      <c r="JHZ9" s="892"/>
      <c r="JIA9" s="892"/>
      <c r="JIB9" s="892"/>
      <c r="JIC9" s="892"/>
      <c r="JID9" s="892"/>
      <c r="JIE9" s="892"/>
      <c r="JIF9" s="892"/>
      <c r="JIG9" s="892"/>
      <c r="JIH9" s="892"/>
      <c r="JII9" s="892"/>
      <c r="JIJ9" s="892"/>
      <c r="JIK9" s="892"/>
      <c r="JIL9" s="892"/>
      <c r="JIM9" s="892"/>
      <c r="JIN9" s="892"/>
      <c r="JIO9" s="892"/>
      <c r="JIP9" s="892"/>
      <c r="JIQ9" s="892"/>
      <c r="JIR9" s="892"/>
      <c r="JIS9" s="892"/>
      <c r="JIT9" s="892"/>
      <c r="JIU9" s="892"/>
      <c r="JIV9" s="892"/>
      <c r="JIW9" s="892"/>
      <c r="JIX9" s="892"/>
      <c r="JIY9" s="892"/>
      <c r="JIZ9" s="892"/>
      <c r="JJA9" s="892"/>
      <c r="JJB9" s="892"/>
      <c r="JJC9" s="892"/>
      <c r="JJD9" s="892"/>
      <c r="JJE9" s="892"/>
      <c r="JJF9" s="892"/>
      <c r="JJG9" s="892"/>
      <c r="JJH9" s="892"/>
      <c r="JJI9" s="892"/>
      <c r="JJJ9" s="892"/>
      <c r="JJK9" s="892"/>
      <c r="JJL9" s="892"/>
      <c r="JJM9" s="892"/>
      <c r="JJN9" s="892"/>
      <c r="JJO9" s="892"/>
      <c r="JJP9" s="892"/>
      <c r="JJQ9" s="892"/>
      <c r="JJR9" s="892"/>
      <c r="JJS9" s="892"/>
      <c r="JJT9" s="892"/>
      <c r="JJU9" s="892"/>
      <c r="JJV9" s="892"/>
      <c r="JJW9" s="892"/>
      <c r="JJX9" s="892"/>
      <c r="JJY9" s="892"/>
      <c r="JJZ9" s="892"/>
      <c r="JKA9" s="892"/>
      <c r="JKB9" s="892"/>
      <c r="JKC9" s="892"/>
      <c r="JKD9" s="892"/>
      <c r="JKE9" s="892"/>
      <c r="JKF9" s="892"/>
      <c r="JKG9" s="892"/>
      <c r="JKH9" s="892"/>
      <c r="JKI9" s="892"/>
      <c r="JKJ9" s="892"/>
      <c r="JKK9" s="892"/>
      <c r="JKL9" s="892"/>
      <c r="JKM9" s="892"/>
      <c r="JKN9" s="892"/>
      <c r="JKO9" s="892"/>
      <c r="JKP9" s="892"/>
      <c r="JKQ9" s="892"/>
      <c r="JKR9" s="892"/>
      <c r="JKS9" s="892"/>
      <c r="JKT9" s="892"/>
      <c r="JKU9" s="892"/>
      <c r="JKV9" s="892"/>
      <c r="JKW9" s="892"/>
      <c r="JKX9" s="892"/>
      <c r="JKY9" s="892"/>
      <c r="JKZ9" s="892"/>
      <c r="JLA9" s="892"/>
      <c r="JLB9" s="892"/>
      <c r="JLC9" s="892"/>
      <c r="JLD9" s="892"/>
      <c r="JLE9" s="892"/>
      <c r="JLF9" s="892"/>
      <c r="JLG9" s="892"/>
      <c r="JLH9" s="892"/>
      <c r="JLI9" s="892"/>
      <c r="JLJ9" s="892"/>
      <c r="JLK9" s="892"/>
      <c r="JLL9" s="892"/>
      <c r="JLM9" s="892"/>
      <c r="JLN9" s="892"/>
      <c r="JLO9" s="892"/>
      <c r="JLP9" s="892"/>
      <c r="JLQ9" s="892"/>
      <c r="JLR9" s="892"/>
      <c r="JLS9" s="892"/>
      <c r="JLT9" s="892"/>
      <c r="JLU9" s="892"/>
      <c r="JLV9" s="892"/>
      <c r="JLW9" s="892"/>
      <c r="JLX9" s="892"/>
      <c r="JLY9" s="892"/>
      <c r="JLZ9" s="892"/>
      <c r="JMA9" s="892"/>
      <c r="JMB9" s="892"/>
      <c r="JMC9" s="892"/>
      <c r="JMD9" s="892"/>
      <c r="JME9" s="892"/>
      <c r="JMF9" s="892"/>
      <c r="JMG9" s="892"/>
      <c r="JMH9" s="892"/>
      <c r="JMI9" s="892"/>
      <c r="JMJ9" s="892"/>
      <c r="JMK9" s="892"/>
      <c r="JML9" s="892"/>
      <c r="JMM9" s="892"/>
      <c r="JMN9" s="892"/>
      <c r="JMO9" s="892"/>
      <c r="JMP9" s="892"/>
      <c r="JMQ9" s="892"/>
      <c r="JMR9" s="892"/>
      <c r="JMS9" s="892"/>
      <c r="JMT9" s="892"/>
      <c r="JMU9" s="892"/>
      <c r="JMV9" s="892"/>
      <c r="JMW9" s="892"/>
      <c r="JMX9" s="892"/>
      <c r="JMY9" s="892"/>
      <c r="JMZ9" s="892"/>
      <c r="JNA9" s="892"/>
      <c r="JNB9" s="892"/>
      <c r="JNC9" s="892"/>
      <c r="JND9" s="892"/>
      <c r="JNE9" s="892"/>
      <c r="JNF9" s="892"/>
      <c r="JNG9" s="892"/>
      <c r="JNH9" s="892"/>
      <c r="JNI9" s="892"/>
      <c r="JNJ9" s="892"/>
      <c r="JNK9" s="892"/>
      <c r="JNL9" s="892"/>
      <c r="JNM9" s="892"/>
      <c r="JNN9" s="892"/>
      <c r="JNO9" s="892"/>
      <c r="JNP9" s="892"/>
      <c r="JNQ9" s="892"/>
      <c r="JNR9" s="892"/>
      <c r="JNS9" s="892"/>
      <c r="JNT9" s="892"/>
      <c r="JNU9" s="892"/>
      <c r="JNV9" s="892"/>
      <c r="JNW9" s="892"/>
      <c r="JNX9" s="892"/>
      <c r="JNY9" s="892"/>
      <c r="JNZ9" s="892"/>
      <c r="JOA9" s="892"/>
      <c r="JOB9" s="892"/>
      <c r="JOC9" s="892"/>
      <c r="JOD9" s="892"/>
      <c r="JOE9" s="892"/>
      <c r="JOF9" s="892"/>
      <c r="JOG9" s="892"/>
      <c r="JOH9" s="892"/>
      <c r="JOI9" s="892"/>
      <c r="JOJ9" s="892"/>
      <c r="JOK9" s="892"/>
      <c r="JOL9" s="892"/>
      <c r="JOM9" s="892"/>
      <c r="JON9" s="892"/>
      <c r="JOO9" s="892"/>
      <c r="JOP9" s="892"/>
      <c r="JOQ9" s="892"/>
      <c r="JOR9" s="892"/>
      <c r="JOS9" s="892"/>
      <c r="JOT9" s="892"/>
      <c r="JOU9" s="892"/>
      <c r="JOV9" s="892"/>
      <c r="JOW9" s="892"/>
      <c r="JOX9" s="892"/>
      <c r="JOY9" s="892"/>
      <c r="JOZ9" s="892"/>
      <c r="JPA9" s="892"/>
      <c r="JPB9" s="892"/>
      <c r="JPC9" s="892"/>
      <c r="JPD9" s="892"/>
      <c r="JPE9" s="892"/>
      <c r="JPF9" s="892"/>
      <c r="JPG9" s="892"/>
      <c r="JPH9" s="892"/>
      <c r="JPI9" s="892"/>
      <c r="JPJ9" s="892"/>
      <c r="JPK9" s="892"/>
      <c r="JPL9" s="892"/>
      <c r="JPM9" s="892"/>
      <c r="JPN9" s="892"/>
      <c r="JPO9" s="892"/>
      <c r="JPP9" s="892"/>
      <c r="JPQ9" s="892"/>
      <c r="JPR9" s="892"/>
      <c r="JPS9" s="892"/>
      <c r="JPT9" s="892"/>
      <c r="JPU9" s="892"/>
      <c r="JPV9" s="892"/>
      <c r="JPW9" s="892"/>
      <c r="JPX9" s="892"/>
      <c r="JPY9" s="892"/>
      <c r="JPZ9" s="892"/>
      <c r="JQA9" s="892"/>
      <c r="JQB9" s="892"/>
      <c r="JQC9" s="892"/>
      <c r="JQD9" s="892"/>
      <c r="JQE9" s="892"/>
      <c r="JQF9" s="892"/>
      <c r="JQG9" s="892"/>
      <c r="JQH9" s="892"/>
      <c r="JQI9" s="892"/>
      <c r="JQJ9" s="892"/>
      <c r="JQK9" s="892"/>
      <c r="JQL9" s="892"/>
      <c r="JQM9" s="892"/>
      <c r="JQN9" s="892"/>
      <c r="JQO9" s="892"/>
      <c r="JQP9" s="892"/>
      <c r="JQQ9" s="892"/>
      <c r="JQR9" s="892"/>
      <c r="JQS9" s="892"/>
      <c r="JQT9" s="892"/>
      <c r="JQU9" s="892"/>
      <c r="JQV9" s="892"/>
      <c r="JQW9" s="892"/>
      <c r="JQX9" s="892"/>
      <c r="JQY9" s="892"/>
      <c r="JQZ9" s="892"/>
      <c r="JRA9" s="892"/>
      <c r="JRB9" s="892"/>
      <c r="JRC9" s="892"/>
      <c r="JRD9" s="892"/>
      <c r="JRE9" s="892"/>
      <c r="JRF9" s="892"/>
      <c r="JRG9" s="892"/>
      <c r="JRH9" s="892"/>
      <c r="JRI9" s="892"/>
      <c r="JRJ9" s="892"/>
      <c r="JRK9" s="892"/>
      <c r="JRL9" s="892"/>
      <c r="JRM9" s="892"/>
      <c r="JRN9" s="892"/>
      <c r="JRO9" s="892"/>
      <c r="JRP9" s="892"/>
      <c r="JRQ9" s="892"/>
      <c r="JRR9" s="892"/>
      <c r="JRS9" s="892"/>
      <c r="JRT9" s="892"/>
      <c r="JRU9" s="892"/>
      <c r="JRV9" s="892"/>
      <c r="JRW9" s="892"/>
      <c r="JRX9" s="892"/>
      <c r="JRY9" s="892"/>
      <c r="JRZ9" s="892"/>
      <c r="JSA9" s="892"/>
      <c r="JSB9" s="892"/>
      <c r="JSC9" s="892"/>
      <c r="JSD9" s="892"/>
      <c r="JSE9" s="892"/>
      <c r="JSF9" s="892"/>
      <c r="JSG9" s="892"/>
      <c r="JSH9" s="892"/>
      <c r="JSI9" s="892"/>
      <c r="JSJ9" s="892"/>
      <c r="JSK9" s="892"/>
      <c r="JSL9" s="892"/>
      <c r="JSM9" s="892"/>
      <c r="JSN9" s="892"/>
      <c r="JSO9" s="892"/>
      <c r="JSP9" s="892"/>
      <c r="JSQ9" s="892"/>
      <c r="JSR9" s="892"/>
      <c r="JSS9" s="892"/>
      <c r="JST9" s="892"/>
      <c r="JSU9" s="892"/>
      <c r="JSV9" s="892"/>
      <c r="JSW9" s="892"/>
      <c r="JSX9" s="892"/>
      <c r="JSY9" s="892"/>
      <c r="JSZ9" s="892"/>
      <c r="JTA9" s="892"/>
      <c r="JTB9" s="892"/>
      <c r="JTC9" s="892"/>
      <c r="JTD9" s="892"/>
      <c r="JTE9" s="892"/>
      <c r="JTF9" s="892"/>
      <c r="JTG9" s="892"/>
      <c r="JTH9" s="892"/>
      <c r="JTI9" s="892"/>
      <c r="JTJ9" s="892"/>
      <c r="JTK9" s="892"/>
      <c r="JTL9" s="892"/>
      <c r="JTM9" s="892"/>
      <c r="JTN9" s="892"/>
      <c r="JTO9" s="892"/>
      <c r="JTP9" s="892"/>
      <c r="JTQ9" s="892"/>
      <c r="JTR9" s="892"/>
      <c r="JTS9" s="892"/>
      <c r="JTT9" s="892"/>
      <c r="JTU9" s="892"/>
      <c r="JTV9" s="892"/>
      <c r="JTW9" s="892"/>
      <c r="JTX9" s="892"/>
      <c r="JTY9" s="892"/>
      <c r="JTZ9" s="892"/>
      <c r="JUA9" s="892"/>
      <c r="JUB9" s="892"/>
      <c r="JUC9" s="892"/>
      <c r="JUD9" s="892"/>
      <c r="JUE9" s="892"/>
      <c r="JUF9" s="892"/>
      <c r="JUG9" s="892"/>
      <c r="JUH9" s="892"/>
      <c r="JUI9" s="892"/>
      <c r="JUJ9" s="892"/>
      <c r="JUK9" s="892"/>
      <c r="JUL9" s="892"/>
      <c r="JUM9" s="892"/>
      <c r="JUN9" s="892"/>
      <c r="JUO9" s="892"/>
      <c r="JUP9" s="892"/>
      <c r="JUQ9" s="892"/>
      <c r="JUR9" s="892"/>
      <c r="JUS9" s="892"/>
      <c r="JUT9" s="892"/>
      <c r="JUU9" s="892"/>
      <c r="JUV9" s="892"/>
      <c r="JUW9" s="892"/>
      <c r="JUX9" s="892"/>
      <c r="JUY9" s="892"/>
      <c r="JUZ9" s="892"/>
      <c r="JVA9" s="892"/>
      <c r="JVB9" s="892"/>
      <c r="JVC9" s="892"/>
      <c r="JVD9" s="892"/>
      <c r="JVE9" s="892"/>
      <c r="JVF9" s="892"/>
      <c r="JVG9" s="892"/>
      <c r="JVH9" s="892"/>
      <c r="JVI9" s="892"/>
      <c r="JVJ9" s="892"/>
      <c r="JVK9" s="892"/>
      <c r="JVL9" s="892"/>
      <c r="JVM9" s="892"/>
      <c r="JVN9" s="892"/>
      <c r="JVO9" s="892"/>
      <c r="JVP9" s="892"/>
      <c r="JVQ9" s="892"/>
      <c r="JVR9" s="892"/>
      <c r="JVS9" s="892"/>
      <c r="JVT9" s="892"/>
      <c r="JVU9" s="892"/>
      <c r="JVV9" s="892"/>
      <c r="JVW9" s="892"/>
      <c r="JVX9" s="892"/>
      <c r="JVY9" s="892"/>
      <c r="JVZ9" s="892"/>
      <c r="JWA9" s="892"/>
      <c r="JWB9" s="892"/>
      <c r="JWC9" s="892"/>
      <c r="JWD9" s="892"/>
      <c r="JWE9" s="892"/>
      <c r="JWF9" s="892"/>
      <c r="JWG9" s="892"/>
      <c r="JWH9" s="892"/>
      <c r="JWI9" s="892"/>
      <c r="JWJ9" s="892"/>
      <c r="JWK9" s="892"/>
      <c r="JWL9" s="892"/>
      <c r="JWM9" s="892"/>
      <c r="JWN9" s="892"/>
      <c r="JWO9" s="892"/>
      <c r="JWP9" s="892"/>
      <c r="JWQ9" s="892"/>
      <c r="JWR9" s="892"/>
      <c r="JWS9" s="892"/>
      <c r="JWT9" s="892"/>
      <c r="JWU9" s="892"/>
      <c r="JWV9" s="892"/>
      <c r="JWW9" s="892"/>
      <c r="JWX9" s="892"/>
      <c r="JWY9" s="892"/>
      <c r="JWZ9" s="892"/>
      <c r="JXA9" s="892"/>
      <c r="JXB9" s="892"/>
      <c r="JXC9" s="892"/>
      <c r="JXD9" s="892"/>
      <c r="JXE9" s="892"/>
      <c r="JXF9" s="892"/>
      <c r="JXG9" s="892"/>
      <c r="JXH9" s="892"/>
      <c r="JXI9" s="892"/>
      <c r="JXJ9" s="892"/>
      <c r="JXK9" s="892"/>
      <c r="JXL9" s="892"/>
      <c r="JXM9" s="892"/>
      <c r="JXN9" s="892"/>
      <c r="JXO9" s="892"/>
      <c r="JXP9" s="892"/>
      <c r="JXQ9" s="892"/>
      <c r="JXR9" s="892"/>
      <c r="JXS9" s="892"/>
      <c r="JXT9" s="892"/>
      <c r="JXU9" s="892"/>
      <c r="JXV9" s="892"/>
      <c r="JXW9" s="892"/>
      <c r="JXX9" s="892"/>
      <c r="JXY9" s="892"/>
      <c r="JXZ9" s="892"/>
      <c r="JYA9" s="892"/>
      <c r="JYB9" s="892"/>
      <c r="JYC9" s="892"/>
      <c r="JYD9" s="892"/>
      <c r="JYE9" s="892"/>
      <c r="JYF9" s="892"/>
      <c r="JYG9" s="892"/>
      <c r="JYH9" s="892"/>
      <c r="JYI9" s="892"/>
      <c r="JYJ9" s="892"/>
      <c r="JYK9" s="892"/>
      <c r="JYL9" s="892"/>
      <c r="JYM9" s="892"/>
      <c r="JYN9" s="892"/>
      <c r="JYO9" s="892"/>
      <c r="JYP9" s="892"/>
      <c r="JYQ9" s="892"/>
      <c r="JYR9" s="892"/>
      <c r="JYS9" s="892"/>
      <c r="JYT9" s="892"/>
      <c r="JYU9" s="892"/>
      <c r="JYV9" s="892"/>
      <c r="JYW9" s="892"/>
      <c r="JYX9" s="892"/>
      <c r="JYY9" s="892"/>
      <c r="JYZ9" s="892"/>
      <c r="JZA9" s="892"/>
      <c r="JZB9" s="892"/>
      <c r="JZC9" s="892"/>
      <c r="JZD9" s="892"/>
      <c r="JZE9" s="892"/>
      <c r="JZF9" s="892"/>
      <c r="JZG9" s="892"/>
      <c r="JZH9" s="892"/>
      <c r="JZI9" s="892"/>
      <c r="JZJ9" s="892"/>
      <c r="JZK9" s="892"/>
      <c r="JZL9" s="892"/>
      <c r="JZM9" s="892"/>
      <c r="JZN9" s="892"/>
      <c r="JZO9" s="892"/>
      <c r="JZP9" s="892"/>
      <c r="JZQ9" s="892"/>
      <c r="JZR9" s="892"/>
      <c r="JZS9" s="892"/>
      <c r="JZT9" s="892"/>
      <c r="JZU9" s="892"/>
      <c r="JZV9" s="892"/>
      <c r="JZW9" s="892"/>
      <c r="JZX9" s="892"/>
      <c r="JZY9" s="892"/>
      <c r="JZZ9" s="892"/>
      <c r="KAA9" s="892"/>
      <c r="KAB9" s="892"/>
      <c r="KAC9" s="892"/>
      <c r="KAD9" s="892"/>
      <c r="KAE9" s="892"/>
      <c r="KAF9" s="892"/>
      <c r="KAG9" s="892"/>
      <c r="KAH9" s="892"/>
      <c r="KAI9" s="892"/>
      <c r="KAJ9" s="892"/>
      <c r="KAK9" s="892"/>
      <c r="KAL9" s="892"/>
      <c r="KAM9" s="892"/>
      <c r="KAN9" s="892"/>
      <c r="KAO9" s="892"/>
      <c r="KAP9" s="892"/>
      <c r="KAQ9" s="892"/>
      <c r="KAR9" s="892"/>
      <c r="KAS9" s="892"/>
      <c r="KAT9" s="892"/>
      <c r="KAU9" s="892"/>
      <c r="KAV9" s="892"/>
      <c r="KAW9" s="892"/>
      <c r="KAX9" s="892"/>
      <c r="KAY9" s="892"/>
      <c r="KAZ9" s="892"/>
      <c r="KBA9" s="892"/>
      <c r="KBB9" s="892"/>
      <c r="KBC9" s="892"/>
      <c r="KBD9" s="892"/>
      <c r="KBE9" s="892"/>
      <c r="KBF9" s="892"/>
      <c r="KBG9" s="892"/>
      <c r="KBH9" s="892"/>
      <c r="KBI9" s="892"/>
      <c r="KBJ9" s="892"/>
      <c r="KBK9" s="892"/>
      <c r="KBL9" s="892"/>
      <c r="KBM9" s="892"/>
      <c r="KBN9" s="892"/>
      <c r="KBO9" s="892"/>
      <c r="KBP9" s="892"/>
      <c r="KBQ9" s="892"/>
      <c r="KBR9" s="892"/>
      <c r="KBS9" s="892"/>
      <c r="KBT9" s="892"/>
      <c r="KBU9" s="892"/>
      <c r="KBV9" s="892"/>
      <c r="KBW9" s="892"/>
      <c r="KBX9" s="892"/>
      <c r="KBY9" s="892"/>
      <c r="KBZ9" s="892"/>
      <c r="KCA9" s="892"/>
      <c r="KCB9" s="892"/>
      <c r="KCC9" s="892"/>
      <c r="KCD9" s="892"/>
      <c r="KCE9" s="892"/>
      <c r="KCF9" s="892"/>
      <c r="KCG9" s="892"/>
      <c r="KCH9" s="892"/>
      <c r="KCI9" s="892"/>
      <c r="KCJ9" s="892"/>
      <c r="KCK9" s="892"/>
      <c r="KCL9" s="892"/>
      <c r="KCM9" s="892"/>
      <c r="KCN9" s="892"/>
      <c r="KCO9" s="892"/>
      <c r="KCP9" s="892"/>
      <c r="KCQ9" s="892"/>
      <c r="KCR9" s="892"/>
      <c r="KCS9" s="892"/>
      <c r="KCT9" s="892"/>
      <c r="KCU9" s="892"/>
      <c r="KCV9" s="892"/>
      <c r="KCW9" s="892"/>
      <c r="KCX9" s="892"/>
      <c r="KCY9" s="892"/>
      <c r="KCZ9" s="892"/>
      <c r="KDA9" s="892"/>
      <c r="KDB9" s="892"/>
      <c r="KDC9" s="892"/>
      <c r="KDD9" s="892"/>
      <c r="KDE9" s="892"/>
      <c r="KDF9" s="892"/>
      <c r="KDG9" s="892"/>
      <c r="KDH9" s="892"/>
      <c r="KDI9" s="892"/>
      <c r="KDJ9" s="892"/>
      <c r="KDK9" s="892"/>
      <c r="KDL9" s="892"/>
      <c r="KDM9" s="892"/>
      <c r="KDN9" s="892"/>
      <c r="KDO9" s="892"/>
      <c r="KDP9" s="892"/>
      <c r="KDQ9" s="892"/>
      <c r="KDR9" s="892"/>
      <c r="KDS9" s="892"/>
      <c r="KDT9" s="892"/>
      <c r="KDU9" s="892"/>
      <c r="KDV9" s="892"/>
      <c r="KDW9" s="892"/>
      <c r="KDX9" s="892"/>
      <c r="KDY9" s="892"/>
      <c r="KDZ9" s="892"/>
      <c r="KEA9" s="892"/>
      <c r="KEB9" s="892"/>
      <c r="KEC9" s="892"/>
      <c r="KED9" s="892"/>
      <c r="KEE9" s="892"/>
      <c r="KEF9" s="892"/>
      <c r="KEG9" s="892"/>
      <c r="KEH9" s="892"/>
      <c r="KEI9" s="892"/>
      <c r="KEJ9" s="892"/>
      <c r="KEK9" s="892"/>
      <c r="KEL9" s="892"/>
      <c r="KEM9" s="892"/>
      <c r="KEN9" s="892"/>
      <c r="KEO9" s="892"/>
      <c r="KEP9" s="892"/>
      <c r="KEQ9" s="892"/>
      <c r="KER9" s="892"/>
      <c r="KES9" s="892"/>
      <c r="KET9" s="892"/>
      <c r="KEU9" s="892"/>
      <c r="KEV9" s="892"/>
      <c r="KEW9" s="892"/>
      <c r="KEX9" s="892"/>
      <c r="KEY9" s="892"/>
      <c r="KEZ9" s="892"/>
      <c r="KFA9" s="892"/>
      <c r="KFB9" s="892"/>
      <c r="KFC9" s="892"/>
      <c r="KFD9" s="892"/>
      <c r="KFE9" s="892"/>
      <c r="KFF9" s="892"/>
      <c r="KFG9" s="892"/>
      <c r="KFH9" s="892"/>
      <c r="KFI9" s="892"/>
      <c r="KFJ9" s="892"/>
      <c r="KFK9" s="892"/>
      <c r="KFL9" s="892"/>
      <c r="KFM9" s="892"/>
      <c r="KFN9" s="892"/>
      <c r="KFO9" s="892"/>
      <c r="KFP9" s="892"/>
      <c r="KFQ9" s="892"/>
      <c r="KFR9" s="892"/>
      <c r="KFS9" s="892"/>
      <c r="KFT9" s="892"/>
      <c r="KFU9" s="892"/>
      <c r="KFV9" s="892"/>
      <c r="KFW9" s="892"/>
      <c r="KFX9" s="892"/>
      <c r="KFY9" s="892"/>
      <c r="KFZ9" s="892"/>
      <c r="KGA9" s="892"/>
      <c r="KGB9" s="892"/>
      <c r="KGC9" s="892"/>
      <c r="KGD9" s="892"/>
      <c r="KGE9" s="892"/>
      <c r="KGF9" s="892"/>
      <c r="KGG9" s="892"/>
      <c r="KGH9" s="892"/>
      <c r="KGI9" s="892"/>
      <c r="KGJ9" s="892"/>
      <c r="KGK9" s="892"/>
      <c r="KGL9" s="892"/>
      <c r="KGM9" s="892"/>
      <c r="KGN9" s="892"/>
      <c r="KGO9" s="892"/>
      <c r="KGP9" s="892"/>
      <c r="KGQ9" s="892"/>
      <c r="KGR9" s="892"/>
      <c r="KGS9" s="892"/>
      <c r="KGT9" s="892"/>
      <c r="KGU9" s="892"/>
      <c r="KGV9" s="892"/>
      <c r="KGW9" s="892"/>
      <c r="KGX9" s="892"/>
      <c r="KGY9" s="892"/>
      <c r="KGZ9" s="892"/>
      <c r="KHA9" s="892"/>
      <c r="KHB9" s="892"/>
      <c r="KHC9" s="892"/>
      <c r="KHD9" s="892"/>
      <c r="KHE9" s="892"/>
      <c r="KHF9" s="892"/>
      <c r="KHG9" s="892"/>
      <c r="KHH9" s="892"/>
      <c r="KHI9" s="892"/>
      <c r="KHJ9" s="892"/>
      <c r="KHK9" s="892"/>
      <c r="KHL9" s="892"/>
      <c r="KHM9" s="892"/>
      <c r="KHN9" s="892"/>
      <c r="KHO9" s="892"/>
      <c r="KHP9" s="892"/>
      <c r="KHQ9" s="892"/>
      <c r="KHR9" s="892"/>
      <c r="KHS9" s="892"/>
      <c r="KHT9" s="892"/>
      <c r="KHU9" s="892"/>
      <c r="KHV9" s="892"/>
      <c r="KHW9" s="892"/>
      <c r="KHX9" s="892"/>
      <c r="KHY9" s="892"/>
      <c r="KHZ9" s="892"/>
      <c r="KIA9" s="892"/>
      <c r="KIB9" s="892"/>
      <c r="KIC9" s="892"/>
      <c r="KID9" s="892"/>
      <c r="KIE9" s="892"/>
      <c r="KIF9" s="892"/>
      <c r="KIG9" s="892"/>
      <c r="KIH9" s="892"/>
      <c r="KII9" s="892"/>
      <c r="KIJ9" s="892"/>
      <c r="KIK9" s="892"/>
      <c r="KIL9" s="892"/>
      <c r="KIM9" s="892"/>
      <c r="KIN9" s="892"/>
      <c r="KIO9" s="892"/>
      <c r="KIP9" s="892"/>
      <c r="KIQ9" s="892"/>
      <c r="KIR9" s="892"/>
      <c r="KIS9" s="892"/>
      <c r="KIT9" s="892"/>
      <c r="KIU9" s="892"/>
      <c r="KIV9" s="892"/>
      <c r="KIW9" s="892"/>
      <c r="KIX9" s="892"/>
      <c r="KIY9" s="892"/>
      <c r="KIZ9" s="892"/>
      <c r="KJA9" s="892"/>
      <c r="KJB9" s="892"/>
      <c r="KJC9" s="892"/>
      <c r="KJD9" s="892"/>
      <c r="KJE9" s="892"/>
      <c r="KJF9" s="892"/>
      <c r="KJG9" s="892"/>
      <c r="KJH9" s="892"/>
      <c r="KJI9" s="892"/>
      <c r="KJJ9" s="892"/>
      <c r="KJK9" s="892"/>
      <c r="KJL9" s="892"/>
      <c r="KJM9" s="892"/>
      <c r="KJN9" s="892"/>
      <c r="KJO9" s="892"/>
      <c r="KJP9" s="892"/>
      <c r="KJQ9" s="892"/>
      <c r="KJR9" s="892"/>
      <c r="KJS9" s="892"/>
      <c r="KJT9" s="892"/>
      <c r="KJU9" s="892"/>
      <c r="KJV9" s="892"/>
      <c r="KJW9" s="892"/>
      <c r="KJX9" s="892"/>
      <c r="KJY9" s="892"/>
      <c r="KJZ9" s="892"/>
      <c r="KKA9" s="892"/>
      <c r="KKB9" s="892"/>
      <c r="KKC9" s="892"/>
      <c r="KKD9" s="892"/>
      <c r="KKE9" s="892"/>
      <c r="KKF9" s="892"/>
      <c r="KKG9" s="892"/>
      <c r="KKH9" s="892"/>
      <c r="KKI9" s="892"/>
      <c r="KKJ9" s="892"/>
      <c r="KKK9" s="892"/>
      <c r="KKL9" s="892"/>
      <c r="KKM9" s="892"/>
      <c r="KKN9" s="892"/>
      <c r="KKO9" s="892"/>
      <c r="KKP9" s="892"/>
      <c r="KKQ9" s="892"/>
      <c r="KKR9" s="892"/>
      <c r="KKS9" s="892"/>
      <c r="KKT9" s="892"/>
      <c r="KKU9" s="892"/>
      <c r="KKV9" s="892"/>
      <c r="KKW9" s="892"/>
      <c r="KKX9" s="892"/>
      <c r="KKY9" s="892"/>
      <c r="KKZ9" s="892"/>
      <c r="KLA9" s="892"/>
      <c r="KLB9" s="892"/>
      <c r="KLC9" s="892"/>
      <c r="KLD9" s="892"/>
      <c r="KLE9" s="892"/>
      <c r="KLF9" s="892"/>
      <c r="KLG9" s="892"/>
      <c r="KLH9" s="892"/>
      <c r="KLI9" s="892"/>
      <c r="KLJ9" s="892"/>
      <c r="KLK9" s="892"/>
      <c r="KLL9" s="892"/>
      <c r="KLM9" s="892"/>
      <c r="KLN9" s="892"/>
      <c r="KLO9" s="892"/>
      <c r="KLP9" s="892"/>
      <c r="KLQ9" s="892"/>
      <c r="KLR9" s="892"/>
      <c r="KLS9" s="892"/>
      <c r="KLT9" s="892"/>
      <c r="KLU9" s="892"/>
      <c r="KLV9" s="892"/>
      <c r="KLW9" s="892"/>
      <c r="KLX9" s="892"/>
      <c r="KLY9" s="892"/>
      <c r="KLZ9" s="892"/>
      <c r="KMA9" s="892"/>
      <c r="KMB9" s="892"/>
      <c r="KMC9" s="892"/>
      <c r="KMD9" s="892"/>
      <c r="KME9" s="892"/>
      <c r="KMF9" s="892"/>
      <c r="KMG9" s="892"/>
      <c r="KMH9" s="892"/>
      <c r="KMI9" s="892"/>
      <c r="KMJ9" s="892"/>
      <c r="KMK9" s="892"/>
      <c r="KML9" s="892"/>
      <c r="KMM9" s="892"/>
      <c r="KMN9" s="892"/>
      <c r="KMO9" s="892"/>
      <c r="KMP9" s="892"/>
      <c r="KMQ9" s="892"/>
      <c r="KMR9" s="892"/>
      <c r="KMS9" s="892"/>
      <c r="KMT9" s="892"/>
      <c r="KMU9" s="892"/>
      <c r="KMV9" s="892"/>
      <c r="KMW9" s="892"/>
      <c r="KMX9" s="892"/>
      <c r="KMY9" s="892"/>
      <c r="KMZ9" s="892"/>
      <c r="KNA9" s="892"/>
      <c r="KNB9" s="892"/>
      <c r="KNC9" s="892"/>
      <c r="KND9" s="892"/>
      <c r="KNE9" s="892"/>
      <c r="KNF9" s="892"/>
      <c r="KNG9" s="892"/>
      <c r="KNH9" s="892"/>
      <c r="KNI9" s="892"/>
      <c r="KNJ9" s="892"/>
      <c r="KNK9" s="892"/>
      <c r="KNL9" s="892"/>
      <c r="KNM9" s="892"/>
      <c r="KNN9" s="892"/>
      <c r="KNO9" s="892"/>
      <c r="KNP9" s="892"/>
      <c r="KNQ9" s="892"/>
      <c r="KNR9" s="892"/>
      <c r="KNS9" s="892"/>
      <c r="KNT9" s="892"/>
      <c r="KNU9" s="892"/>
      <c r="KNV9" s="892"/>
      <c r="KNW9" s="892"/>
      <c r="KNX9" s="892"/>
      <c r="KNY9" s="892"/>
      <c r="KNZ9" s="892"/>
      <c r="KOA9" s="892"/>
      <c r="KOB9" s="892"/>
      <c r="KOC9" s="892"/>
      <c r="KOD9" s="892"/>
      <c r="KOE9" s="892"/>
      <c r="KOF9" s="892"/>
      <c r="KOG9" s="892"/>
      <c r="KOH9" s="892"/>
      <c r="KOI9" s="892"/>
      <c r="KOJ9" s="892"/>
      <c r="KOK9" s="892"/>
      <c r="KOL9" s="892"/>
      <c r="KOM9" s="892"/>
      <c r="KON9" s="892"/>
      <c r="KOO9" s="892"/>
      <c r="KOP9" s="892"/>
      <c r="KOQ9" s="892"/>
      <c r="KOR9" s="892"/>
      <c r="KOS9" s="892"/>
      <c r="KOT9" s="892"/>
      <c r="KOU9" s="892"/>
      <c r="KOV9" s="892"/>
      <c r="KOW9" s="892"/>
      <c r="KOX9" s="892"/>
      <c r="KOY9" s="892"/>
      <c r="KOZ9" s="892"/>
      <c r="KPA9" s="892"/>
      <c r="KPB9" s="892"/>
      <c r="KPC9" s="892"/>
      <c r="KPD9" s="892"/>
      <c r="KPE9" s="892"/>
      <c r="KPF9" s="892"/>
      <c r="KPG9" s="892"/>
      <c r="KPH9" s="892"/>
      <c r="KPI9" s="892"/>
      <c r="KPJ9" s="892"/>
      <c r="KPK9" s="892"/>
      <c r="KPL9" s="892"/>
      <c r="KPM9" s="892"/>
      <c r="KPN9" s="892"/>
      <c r="KPO9" s="892"/>
      <c r="KPP9" s="892"/>
      <c r="KPQ9" s="892"/>
      <c r="KPR9" s="892"/>
      <c r="KPS9" s="892"/>
      <c r="KPT9" s="892"/>
      <c r="KPU9" s="892"/>
      <c r="KPV9" s="892"/>
      <c r="KPW9" s="892"/>
      <c r="KPX9" s="892"/>
      <c r="KPY9" s="892"/>
      <c r="KPZ9" s="892"/>
      <c r="KQA9" s="892"/>
      <c r="KQB9" s="892"/>
      <c r="KQC9" s="892"/>
      <c r="KQD9" s="892"/>
      <c r="KQE9" s="892"/>
      <c r="KQF9" s="892"/>
      <c r="KQG9" s="892"/>
      <c r="KQH9" s="892"/>
      <c r="KQI9" s="892"/>
      <c r="KQJ9" s="892"/>
      <c r="KQK9" s="892"/>
      <c r="KQL9" s="892"/>
      <c r="KQM9" s="892"/>
      <c r="KQN9" s="892"/>
      <c r="KQO9" s="892"/>
      <c r="KQP9" s="892"/>
      <c r="KQQ9" s="892"/>
      <c r="KQR9" s="892"/>
      <c r="KQS9" s="892"/>
      <c r="KQT9" s="892"/>
      <c r="KQU9" s="892"/>
      <c r="KQV9" s="892"/>
      <c r="KQW9" s="892"/>
      <c r="KQX9" s="892"/>
      <c r="KQY9" s="892"/>
      <c r="KQZ9" s="892"/>
      <c r="KRA9" s="892"/>
      <c r="KRB9" s="892"/>
      <c r="KRC9" s="892"/>
      <c r="KRD9" s="892"/>
      <c r="KRE9" s="892"/>
      <c r="KRF9" s="892"/>
      <c r="KRG9" s="892"/>
      <c r="KRH9" s="892"/>
      <c r="KRI9" s="892"/>
      <c r="KRJ9" s="892"/>
      <c r="KRK9" s="892"/>
      <c r="KRL9" s="892"/>
      <c r="KRM9" s="892"/>
      <c r="KRN9" s="892"/>
      <c r="KRO9" s="892"/>
      <c r="KRP9" s="892"/>
      <c r="KRQ9" s="892"/>
      <c r="KRR9" s="892"/>
      <c r="KRS9" s="892"/>
      <c r="KRT9" s="892"/>
      <c r="KRU9" s="892"/>
      <c r="KRV9" s="892"/>
      <c r="KRW9" s="892"/>
      <c r="KRX9" s="892"/>
      <c r="KRY9" s="892"/>
      <c r="KRZ9" s="892"/>
      <c r="KSA9" s="892"/>
      <c r="KSB9" s="892"/>
      <c r="KSC9" s="892"/>
      <c r="KSD9" s="892"/>
      <c r="KSE9" s="892"/>
      <c r="KSF9" s="892"/>
      <c r="KSG9" s="892"/>
      <c r="KSH9" s="892"/>
      <c r="KSI9" s="892"/>
      <c r="KSJ9" s="892"/>
      <c r="KSK9" s="892"/>
      <c r="KSL9" s="892"/>
      <c r="KSM9" s="892"/>
      <c r="KSN9" s="892"/>
      <c r="KSO9" s="892"/>
      <c r="KSP9" s="892"/>
      <c r="KSQ9" s="892"/>
      <c r="KSR9" s="892"/>
      <c r="KSS9" s="892"/>
      <c r="KST9" s="892"/>
      <c r="KSU9" s="892"/>
      <c r="KSV9" s="892"/>
      <c r="KSW9" s="892"/>
      <c r="KSX9" s="892"/>
      <c r="KSY9" s="892"/>
      <c r="KSZ9" s="892"/>
      <c r="KTA9" s="892"/>
      <c r="KTB9" s="892"/>
      <c r="KTC9" s="892"/>
      <c r="KTD9" s="892"/>
      <c r="KTE9" s="892"/>
      <c r="KTF9" s="892"/>
      <c r="KTG9" s="892"/>
      <c r="KTH9" s="892"/>
      <c r="KTI9" s="892"/>
      <c r="KTJ9" s="892"/>
      <c r="KTK9" s="892"/>
      <c r="KTL9" s="892"/>
      <c r="KTM9" s="892"/>
      <c r="KTN9" s="892"/>
      <c r="KTO9" s="892"/>
      <c r="KTP9" s="892"/>
      <c r="KTQ9" s="892"/>
      <c r="KTR9" s="892"/>
      <c r="KTS9" s="892"/>
      <c r="KTT9" s="892"/>
      <c r="KTU9" s="892"/>
      <c r="KTV9" s="892"/>
      <c r="KTW9" s="892"/>
      <c r="KTX9" s="892"/>
      <c r="KTY9" s="892"/>
      <c r="KTZ9" s="892"/>
      <c r="KUA9" s="892"/>
      <c r="KUB9" s="892"/>
      <c r="KUC9" s="892"/>
      <c r="KUD9" s="892"/>
      <c r="KUE9" s="892"/>
      <c r="KUF9" s="892"/>
      <c r="KUG9" s="892"/>
      <c r="KUH9" s="892"/>
      <c r="KUI9" s="892"/>
      <c r="KUJ9" s="892"/>
      <c r="KUK9" s="892"/>
      <c r="KUL9" s="892"/>
      <c r="KUM9" s="892"/>
      <c r="KUN9" s="892"/>
      <c r="KUO9" s="892"/>
      <c r="KUP9" s="892"/>
      <c r="KUQ9" s="892"/>
      <c r="KUR9" s="892"/>
      <c r="KUS9" s="892"/>
      <c r="KUT9" s="892"/>
      <c r="KUU9" s="892"/>
      <c r="KUV9" s="892"/>
      <c r="KUW9" s="892"/>
      <c r="KUX9" s="892"/>
      <c r="KUY9" s="892"/>
      <c r="KUZ9" s="892"/>
      <c r="KVA9" s="892"/>
      <c r="KVB9" s="892"/>
      <c r="KVC9" s="892"/>
      <c r="KVD9" s="892"/>
      <c r="KVE9" s="892"/>
      <c r="KVF9" s="892"/>
      <c r="KVG9" s="892"/>
      <c r="KVH9" s="892"/>
      <c r="KVI9" s="892"/>
      <c r="KVJ9" s="892"/>
      <c r="KVK9" s="892"/>
      <c r="KVL9" s="892"/>
      <c r="KVM9" s="892"/>
      <c r="KVN9" s="892"/>
      <c r="KVO9" s="892"/>
      <c r="KVP9" s="892"/>
      <c r="KVQ9" s="892"/>
      <c r="KVR9" s="892"/>
      <c r="KVS9" s="892"/>
      <c r="KVT9" s="892"/>
      <c r="KVU9" s="892"/>
      <c r="KVV9" s="892"/>
      <c r="KVW9" s="892"/>
      <c r="KVX9" s="892"/>
      <c r="KVY9" s="892"/>
      <c r="KVZ9" s="892"/>
      <c r="KWA9" s="892"/>
      <c r="KWB9" s="892"/>
      <c r="KWC9" s="892"/>
      <c r="KWD9" s="892"/>
      <c r="KWE9" s="892"/>
      <c r="KWF9" s="892"/>
      <c r="KWG9" s="892"/>
      <c r="KWH9" s="892"/>
      <c r="KWI9" s="892"/>
      <c r="KWJ9" s="892"/>
      <c r="KWK9" s="892"/>
      <c r="KWL9" s="892"/>
      <c r="KWM9" s="892"/>
      <c r="KWN9" s="892"/>
      <c r="KWO9" s="892"/>
      <c r="KWP9" s="892"/>
      <c r="KWQ9" s="892"/>
      <c r="KWR9" s="892"/>
      <c r="KWS9" s="892"/>
      <c r="KWT9" s="892"/>
      <c r="KWU9" s="892"/>
      <c r="KWV9" s="892"/>
      <c r="KWW9" s="892"/>
      <c r="KWX9" s="892"/>
      <c r="KWY9" s="892"/>
      <c r="KWZ9" s="892"/>
      <c r="KXA9" s="892"/>
      <c r="KXB9" s="892"/>
      <c r="KXC9" s="892"/>
      <c r="KXD9" s="892"/>
      <c r="KXE9" s="892"/>
      <c r="KXF9" s="892"/>
      <c r="KXG9" s="892"/>
      <c r="KXH9" s="892"/>
      <c r="KXI9" s="892"/>
      <c r="KXJ9" s="892"/>
      <c r="KXK9" s="892"/>
      <c r="KXL9" s="892"/>
      <c r="KXM9" s="892"/>
      <c r="KXN9" s="892"/>
      <c r="KXO9" s="892"/>
      <c r="KXP9" s="892"/>
      <c r="KXQ9" s="892"/>
      <c r="KXR9" s="892"/>
      <c r="KXS9" s="892"/>
      <c r="KXT9" s="892"/>
      <c r="KXU9" s="892"/>
      <c r="KXV9" s="892"/>
      <c r="KXW9" s="892"/>
      <c r="KXX9" s="892"/>
      <c r="KXY9" s="892"/>
      <c r="KXZ9" s="892"/>
      <c r="KYA9" s="892"/>
      <c r="KYB9" s="892"/>
      <c r="KYC9" s="892"/>
      <c r="KYD9" s="892"/>
      <c r="KYE9" s="892"/>
      <c r="KYF9" s="892"/>
      <c r="KYG9" s="892"/>
      <c r="KYH9" s="892"/>
      <c r="KYI9" s="892"/>
      <c r="KYJ9" s="892"/>
      <c r="KYK9" s="892"/>
      <c r="KYL9" s="892"/>
      <c r="KYM9" s="892"/>
      <c r="KYN9" s="892"/>
      <c r="KYO9" s="892"/>
      <c r="KYP9" s="892"/>
      <c r="KYQ9" s="892"/>
      <c r="KYR9" s="892"/>
      <c r="KYS9" s="892"/>
      <c r="KYT9" s="892"/>
      <c r="KYU9" s="892"/>
      <c r="KYV9" s="892"/>
      <c r="KYW9" s="892"/>
      <c r="KYX9" s="892"/>
      <c r="KYY9" s="892"/>
      <c r="KYZ9" s="892"/>
      <c r="KZA9" s="892"/>
      <c r="KZB9" s="892"/>
      <c r="KZC9" s="892"/>
      <c r="KZD9" s="892"/>
      <c r="KZE9" s="892"/>
      <c r="KZF9" s="892"/>
      <c r="KZG9" s="892"/>
      <c r="KZH9" s="892"/>
      <c r="KZI9" s="892"/>
      <c r="KZJ9" s="892"/>
      <c r="KZK9" s="892"/>
      <c r="KZL9" s="892"/>
      <c r="KZM9" s="892"/>
      <c r="KZN9" s="892"/>
      <c r="KZO9" s="892"/>
      <c r="KZP9" s="892"/>
      <c r="KZQ9" s="892"/>
      <c r="KZR9" s="892"/>
      <c r="KZS9" s="892"/>
      <c r="KZT9" s="892"/>
      <c r="KZU9" s="892"/>
      <c r="KZV9" s="892"/>
      <c r="KZW9" s="892"/>
      <c r="KZX9" s="892"/>
      <c r="KZY9" s="892"/>
      <c r="KZZ9" s="892"/>
      <c r="LAA9" s="892"/>
      <c r="LAB9" s="892"/>
      <c r="LAC9" s="892"/>
      <c r="LAD9" s="892"/>
      <c r="LAE9" s="892"/>
      <c r="LAF9" s="892"/>
      <c r="LAG9" s="892"/>
      <c r="LAH9" s="892"/>
      <c r="LAI9" s="892"/>
      <c r="LAJ9" s="892"/>
      <c r="LAK9" s="892"/>
      <c r="LAL9" s="892"/>
      <c r="LAM9" s="892"/>
      <c r="LAN9" s="892"/>
      <c r="LAO9" s="892"/>
      <c r="LAP9" s="892"/>
      <c r="LAQ9" s="892"/>
      <c r="LAR9" s="892"/>
      <c r="LAS9" s="892"/>
      <c r="LAT9" s="892"/>
      <c r="LAU9" s="892"/>
      <c r="LAV9" s="892"/>
      <c r="LAW9" s="892"/>
      <c r="LAX9" s="892"/>
      <c r="LAY9" s="892"/>
      <c r="LAZ9" s="892"/>
      <c r="LBA9" s="892"/>
      <c r="LBB9" s="892"/>
      <c r="LBC9" s="892"/>
      <c r="LBD9" s="892"/>
      <c r="LBE9" s="892"/>
      <c r="LBF9" s="892"/>
      <c r="LBG9" s="892"/>
      <c r="LBH9" s="892"/>
      <c r="LBI9" s="892"/>
      <c r="LBJ9" s="892"/>
      <c r="LBK9" s="892"/>
      <c r="LBL9" s="892"/>
      <c r="LBM9" s="892"/>
      <c r="LBN9" s="892"/>
      <c r="LBO9" s="892"/>
      <c r="LBP9" s="892"/>
      <c r="LBQ9" s="892"/>
      <c r="LBR9" s="892"/>
      <c r="LBS9" s="892"/>
      <c r="LBT9" s="892"/>
      <c r="LBU9" s="892"/>
      <c r="LBV9" s="892"/>
      <c r="LBW9" s="892"/>
      <c r="LBX9" s="892"/>
      <c r="LBY9" s="892"/>
      <c r="LBZ9" s="892"/>
      <c r="LCA9" s="892"/>
      <c r="LCB9" s="892"/>
      <c r="LCC9" s="892"/>
      <c r="LCD9" s="892"/>
      <c r="LCE9" s="892"/>
      <c r="LCF9" s="892"/>
      <c r="LCG9" s="892"/>
      <c r="LCH9" s="892"/>
      <c r="LCI9" s="892"/>
      <c r="LCJ9" s="892"/>
      <c r="LCK9" s="892"/>
      <c r="LCL9" s="892"/>
      <c r="LCM9" s="892"/>
      <c r="LCN9" s="892"/>
      <c r="LCO9" s="892"/>
      <c r="LCP9" s="892"/>
      <c r="LCQ9" s="892"/>
      <c r="LCR9" s="892"/>
      <c r="LCS9" s="892"/>
      <c r="LCT9" s="892"/>
      <c r="LCU9" s="892"/>
      <c r="LCV9" s="892"/>
      <c r="LCW9" s="892"/>
      <c r="LCX9" s="892"/>
      <c r="LCY9" s="892"/>
      <c r="LCZ9" s="892"/>
      <c r="LDA9" s="892"/>
      <c r="LDB9" s="892"/>
      <c r="LDC9" s="892"/>
      <c r="LDD9" s="892"/>
      <c r="LDE9" s="892"/>
      <c r="LDF9" s="892"/>
      <c r="LDG9" s="892"/>
      <c r="LDH9" s="892"/>
      <c r="LDI9" s="892"/>
      <c r="LDJ9" s="892"/>
      <c r="LDK9" s="892"/>
      <c r="LDL9" s="892"/>
      <c r="LDM9" s="892"/>
      <c r="LDN9" s="892"/>
      <c r="LDO9" s="892"/>
      <c r="LDP9" s="892"/>
      <c r="LDQ9" s="892"/>
      <c r="LDR9" s="892"/>
      <c r="LDS9" s="892"/>
      <c r="LDT9" s="892"/>
      <c r="LDU9" s="892"/>
      <c r="LDV9" s="892"/>
      <c r="LDW9" s="892"/>
      <c r="LDX9" s="892"/>
      <c r="LDY9" s="892"/>
      <c r="LDZ9" s="892"/>
      <c r="LEA9" s="892"/>
      <c r="LEB9" s="892"/>
      <c r="LEC9" s="892"/>
      <c r="LED9" s="892"/>
      <c r="LEE9" s="892"/>
      <c r="LEF9" s="892"/>
      <c r="LEG9" s="892"/>
      <c r="LEH9" s="892"/>
      <c r="LEI9" s="892"/>
      <c r="LEJ9" s="892"/>
      <c r="LEK9" s="892"/>
      <c r="LEL9" s="892"/>
      <c r="LEM9" s="892"/>
      <c r="LEN9" s="892"/>
      <c r="LEO9" s="892"/>
      <c r="LEP9" s="892"/>
      <c r="LEQ9" s="892"/>
      <c r="LER9" s="892"/>
      <c r="LES9" s="892"/>
      <c r="LET9" s="892"/>
      <c r="LEU9" s="892"/>
      <c r="LEV9" s="892"/>
      <c r="LEW9" s="892"/>
      <c r="LEX9" s="892"/>
      <c r="LEY9" s="892"/>
      <c r="LEZ9" s="892"/>
      <c r="LFA9" s="892"/>
      <c r="LFB9" s="892"/>
      <c r="LFC9" s="892"/>
      <c r="LFD9" s="892"/>
      <c r="LFE9" s="892"/>
      <c r="LFF9" s="892"/>
      <c r="LFG9" s="892"/>
      <c r="LFH9" s="892"/>
      <c r="LFI9" s="892"/>
      <c r="LFJ9" s="892"/>
      <c r="LFK9" s="892"/>
      <c r="LFL9" s="892"/>
      <c r="LFM9" s="892"/>
      <c r="LFN9" s="892"/>
      <c r="LFO9" s="892"/>
      <c r="LFP9" s="892"/>
      <c r="LFQ9" s="892"/>
      <c r="LFR9" s="892"/>
      <c r="LFS9" s="892"/>
      <c r="LFT9" s="892"/>
      <c r="LFU9" s="892"/>
      <c r="LFV9" s="892"/>
      <c r="LFW9" s="892"/>
      <c r="LFX9" s="892"/>
      <c r="LFY9" s="892"/>
      <c r="LFZ9" s="892"/>
      <c r="LGA9" s="892"/>
      <c r="LGB9" s="892"/>
      <c r="LGC9" s="892"/>
      <c r="LGD9" s="892"/>
      <c r="LGE9" s="892"/>
      <c r="LGF9" s="892"/>
      <c r="LGG9" s="892"/>
      <c r="LGH9" s="892"/>
      <c r="LGI9" s="892"/>
      <c r="LGJ9" s="892"/>
      <c r="LGK9" s="892"/>
      <c r="LGL9" s="892"/>
      <c r="LGM9" s="892"/>
      <c r="LGN9" s="892"/>
      <c r="LGO9" s="892"/>
      <c r="LGP9" s="892"/>
      <c r="LGQ9" s="892"/>
      <c r="LGR9" s="892"/>
      <c r="LGS9" s="892"/>
      <c r="LGT9" s="892"/>
      <c r="LGU9" s="892"/>
      <c r="LGV9" s="892"/>
      <c r="LGW9" s="892"/>
      <c r="LGX9" s="892"/>
      <c r="LGY9" s="892"/>
      <c r="LGZ9" s="892"/>
      <c r="LHA9" s="892"/>
      <c r="LHB9" s="892"/>
      <c r="LHC9" s="892"/>
      <c r="LHD9" s="892"/>
      <c r="LHE9" s="892"/>
      <c r="LHF9" s="892"/>
      <c r="LHG9" s="892"/>
      <c r="LHH9" s="892"/>
      <c r="LHI9" s="892"/>
      <c r="LHJ9" s="892"/>
      <c r="LHK9" s="892"/>
      <c r="LHL9" s="892"/>
      <c r="LHM9" s="892"/>
      <c r="LHN9" s="892"/>
      <c r="LHO9" s="892"/>
      <c r="LHP9" s="892"/>
      <c r="LHQ9" s="892"/>
      <c r="LHR9" s="892"/>
      <c r="LHS9" s="892"/>
      <c r="LHT9" s="892"/>
      <c r="LHU9" s="892"/>
      <c r="LHV9" s="892"/>
      <c r="LHW9" s="892"/>
      <c r="LHX9" s="892"/>
      <c r="LHY9" s="892"/>
      <c r="LHZ9" s="892"/>
      <c r="LIA9" s="892"/>
      <c r="LIB9" s="892"/>
      <c r="LIC9" s="892"/>
      <c r="LID9" s="892"/>
      <c r="LIE9" s="892"/>
      <c r="LIF9" s="892"/>
      <c r="LIG9" s="892"/>
      <c r="LIH9" s="892"/>
      <c r="LII9" s="892"/>
      <c r="LIJ9" s="892"/>
      <c r="LIK9" s="892"/>
      <c r="LIL9" s="892"/>
      <c r="LIM9" s="892"/>
      <c r="LIN9" s="892"/>
      <c r="LIO9" s="892"/>
      <c r="LIP9" s="892"/>
      <c r="LIQ9" s="892"/>
      <c r="LIR9" s="892"/>
      <c r="LIS9" s="892"/>
      <c r="LIT9" s="892"/>
      <c r="LIU9" s="892"/>
      <c r="LIV9" s="892"/>
      <c r="LIW9" s="892"/>
      <c r="LIX9" s="892"/>
      <c r="LIY9" s="892"/>
      <c r="LIZ9" s="892"/>
      <c r="LJA9" s="892"/>
      <c r="LJB9" s="892"/>
      <c r="LJC9" s="892"/>
      <c r="LJD9" s="892"/>
      <c r="LJE9" s="892"/>
      <c r="LJF9" s="892"/>
      <c r="LJG9" s="892"/>
      <c r="LJH9" s="892"/>
      <c r="LJI9" s="892"/>
      <c r="LJJ9" s="892"/>
      <c r="LJK9" s="892"/>
      <c r="LJL9" s="892"/>
      <c r="LJM9" s="892"/>
      <c r="LJN9" s="892"/>
      <c r="LJO9" s="892"/>
      <c r="LJP9" s="892"/>
      <c r="LJQ9" s="892"/>
      <c r="LJR9" s="892"/>
      <c r="LJS9" s="892"/>
      <c r="LJT9" s="892"/>
      <c r="LJU9" s="892"/>
      <c r="LJV9" s="892"/>
      <c r="LJW9" s="892"/>
      <c r="LJX9" s="892"/>
      <c r="LJY9" s="892"/>
      <c r="LJZ9" s="892"/>
      <c r="LKA9" s="892"/>
      <c r="LKB9" s="892"/>
      <c r="LKC9" s="892"/>
      <c r="LKD9" s="892"/>
      <c r="LKE9" s="892"/>
      <c r="LKF9" s="892"/>
      <c r="LKG9" s="892"/>
      <c r="LKH9" s="892"/>
      <c r="LKI9" s="892"/>
      <c r="LKJ9" s="892"/>
      <c r="LKK9" s="892"/>
      <c r="LKL9" s="892"/>
      <c r="LKM9" s="892"/>
      <c r="LKN9" s="892"/>
      <c r="LKO9" s="892"/>
      <c r="LKP9" s="892"/>
      <c r="LKQ9" s="892"/>
      <c r="LKR9" s="892"/>
      <c r="LKS9" s="892"/>
      <c r="LKT9" s="892"/>
      <c r="LKU9" s="892"/>
      <c r="LKV9" s="892"/>
      <c r="LKW9" s="892"/>
      <c r="LKX9" s="892"/>
      <c r="LKY9" s="892"/>
      <c r="LKZ9" s="892"/>
      <c r="LLA9" s="892"/>
      <c r="LLB9" s="892"/>
      <c r="LLC9" s="892"/>
      <c r="LLD9" s="892"/>
      <c r="LLE9" s="892"/>
      <c r="LLF9" s="892"/>
      <c r="LLG9" s="892"/>
      <c r="LLH9" s="892"/>
      <c r="LLI9" s="892"/>
      <c r="LLJ9" s="892"/>
      <c r="LLK9" s="892"/>
      <c r="LLL9" s="892"/>
      <c r="LLM9" s="892"/>
      <c r="LLN9" s="892"/>
      <c r="LLO9" s="892"/>
      <c r="LLP9" s="892"/>
      <c r="LLQ9" s="892"/>
      <c r="LLR9" s="892"/>
      <c r="LLS9" s="892"/>
      <c r="LLT9" s="892"/>
      <c r="LLU9" s="892"/>
      <c r="LLV9" s="892"/>
      <c r="LLW9" s="892"/>
      <c r="LLX9" s="892"/>
      <c r="LLY9" s="892"/>
      <c r="LLZ9" s="892"/>
      <c r="LMA9" s="892"/>
      <c r="LMB9" s="892"/>
      <c r="LMC9" s="892"/>
      <c r="LMD9" s="892"/>
      <c r="LME9" s="892"/>
      <c r="LMF9" s="892"/>
      <c r="LMG9" s="892"/>
      <c r="LMH9" s="892"/>
      <c r="LMI9" s="892"/>
      <c r="LMJ9" s="892"/>
      <c r="LMK9" s="892"/>
      <c r="LML9" s="892"/>
      <c r="LMM9" s="892"/>
      <c r="LMN9" s="892"/>
      <c r="LMO9" s="892"/>
      <c r="LMP9" s="892"/>
      <c r="LMQ9" s="892"/>
      <c r="LMR9" s="892"/>
      <c r="LMS9" s="892"/>
      <c r="LMT9" s="892"/>
      <c r="LMU9" s="892"/>
      <c r="LMV9" s="892"/>
      <c r="LMW9" s="892"/>
      <c r="LMX9" s="892"/>
      <c r="LMY9" s="892"/>
      <c r="LMZ9" s="892"/>
      <c r="LNA9" s="892"/>
      <c r="LNB9" s="892"/>
      <c r="LNC9" s="892"/>
      <c r="LND9" s="892"/>
      <c r="LNE9" s="892"/>
      <c r="LNF9" s="892"/>
      <c r="LNG9" s="892"/>
      <c r="LNH9" s="892"/>
      <c r="LNI9" s="892"/>
      <c r="LNJ9" s="892"/>
      <c r="LNK9" s="892"/>
      <c r="LNL9" s="892"/>
      <c r="LNM9" s="892"/>
      <c r="LNN9" s="892"/>
      <c r="LNO9" s="892"/>
      <c r="LNP9" s="892"/>
      <c r="LNQ9" s="892"/>
      <c r="LNR9" s="892"/>
      <c r="LNS9" s="892"/>
      <c r="LNT9" s="892"/>
      <c r="LNU9" s="892"/>
      <c r="LNV9" s="892"/>
      <c r="LNW9" s="892"/>
      <c r="LNX9" s="892"/>
      <c r="LNY9" s="892"/>
      <c r="LNZ9" s="892"/>
      <c r="LOA9" s="892"/>
      <c r="LOB9" s="892"/>
      <c r="LOC9" s="892"/>
      <c r="LOD9" s="892"/>
      <c r="LOE9" s="892"/>
      <c r="LOF9" s="892"/>
      <c r="LOG9" s="892"/>
      <c r="LOH9" s="892"/>
      <c r="LOI9" s="892"/>
      <c r="LOJ9" s="892"/>
      <c r="LOK9" s="892"/>
      <c r="LOL9" s="892"/>
      <c r="LOM9" s="892"/>
      <c r="LON9" s="892"/>
      <c r="LOO9" s="892"/>
      <c r="LOP9" s="892"/>
      <c r="LOQ9" s="892"/>
      <c r="LOR9" s="892"/>
      <c r="LOS9" s="892"/>
      <c r="LOT9" s="892"/>
      <c r="LOU9" s="892"/>
      <c r="LOV9" s="892"/>
      <c r="LOW9" s="892"/>
      <c r="LOX9" s="892"/>
      <c r="LOY9" s="892"/>
      <c r="LOZ9" s="892"/>
      <c r="LPA9" s="892"/>
      <c r="LPB9" s="892"/>
      <c r="LPC9" s="892"/>
      <c r="LPD9" s="892"/>
      <c r="LPE9" s="892"/>
      <c r="LPF9" s="892"/>
      <c r="LPG9" s="892"/>
      <c r="LPH9" s="892"/>
      <c r="LPI9" s="892"/>
      <c r="LPJ9" s="892"/>
      <c r="LPK9" s="892"/>
      <c r="LPL9" s="892"/>
      <c r="LPM9" s="892"/>
      <c r="LPN9" s="892"/>
      <c r="LPO9" s="892"/>
      <c r="LPP9" s="892"/>
      <c r="LPQ9" s="892"/>
      <c r="LPR9" s="892"/>
      <c r="LPS9" s="892"/>
      <c r="LPT9" s="892"/>
      <c r="LPU9" s="892"/>
      <c r="LPV9" s="892"/>
      <c r="LPW9" s="892"/>
      <c r="LPX9" s="892"/>
      <c r="LPY9" s="892"/>
      <c r="LPZ9" s="892"/>
      <c r="LQA9" s="892"/>
      <c r="LQB9" s="892"/>
      <c r="LQC9" s="892"/>
      <c r="LQD9" s="892"/>
      <c r="LQE9" s="892"/>
      <c r="LQF9" s="892"/>
      <c r="LQG9" s="892"/>
      <c r="LQH9" s="892"/>
      <c r="LQI9" s="892"/>
      <c r="LQJ9" s="892"/>
      <c r="LQK9" s="892"/>
      <c r="LQL9" s="892"/>
      <c r="LQM9" s="892"/>
      <c r="LQN9" s="892"/>
      <c r="LQO9" s="892"/>
      <c r="LQP9" s="892"/>
      <c r="LQQ9" s="892"/>
      <c r="LQR9" s="892"/>
      <c r="LQS9" s="892"/>
      <c r="LQT9" s="892"/>
      <c r="LQU9" s="892"/>
      <c r="LQV9" s="892"/>
      <c r="LQW9" s="892"/>
      <c r="LQX9" s="892"/>
      <c r="LQY9" s="892"/>
      <c r="LQZ9" s="892"/>
      <c r="LRA9" s="892"/>
      <c r="LRB9" s="892"/>
      <c r="LRC9" s="892"/>
      <c r="LRD9" s="892"/>
      <c r="LRE9" s="892"/>
      <c r="LRF9" s="892"/>
      <c r="LRG9" s="892"/>
      <c r="LRH9" s="892"/>
      <c r="LRI9" s="892"/>
      <c r="LRJ9" s="892"/>
      <c r="LRK9" s="892"/>
      <c r="LRL9" s="892"/>
      <c r="LRM9" s="892"/>
      <c r="LRN9" s="892"/>
      <c r="LRO9" s="892"/>
      <c r="LRP9" s="892"/>
      <c r="LRQ9" s="892"/>
      <c r="LRR9" s="892"/>
      <c r="LRS9" s="892"/>
      <c r="LRT9" s="892"/>
      <c r="LRU9" s="892"/>
      <c r="LRV9" s="892"/>
      <c r="LRW9" s="892"/>
      <c r="LRX9" s="892"/>
      <c r="LRY9" s="892"/>
      <c r="LRZ9" s="892"/>
      <c r="LSA9" s="892"/>
      <c r="LSB9" s="892"/>
      <c r="LSC9" s="892"/>
      <c r="LSD9" s="892"/>
      <c r="LSE9" s="892"/>
      <c r="LSF9" s="892"/>
      <c r="LSG9" s="892"/>
      <c r="LSH9" s="892"/>
      <c r="LSI9" s="892"/>
      <c r="LSJ9" s="892"/>
      <c r="LSK9" s="892"/>
      <c r="LSL9" s="892"/>
      <c r="LSM9" s="892"/>
      <c r="LSN9" s="892"/>
      <c r="LSO9" s="892"/>
      <c r="LSP9" s="892"/>
      <c r="LSQ9" s="892"/>
      <c r="LSR9" s="892"/>
      <c r="LSS9" s="892"/>
      <c r="LST9" s="892"/>
      <c r="LSU9" s="892"/>
      <c r="LSV9" s="892"/>
      <c r="LSW9" s="892"/>
      <c r="LSX9" s="892"/>
      <c r="LSY9" s="892"/>
      <c r="LSZ9" s="892"/>
      <c r="LTA9" s="892"/>
      <c r="LTB9" s="892"/>
      <c r="LTC9" s="892"/>
      <c r="LTD9" s="892"/>
      <c r="LTE9" s="892"/>
      <c r="LTF9" s="892"/>
      <c r="LTG9" s="892"/>
      <c r="LTH9" s="892"/>
      <c r="LTI9" s="892"/>
      <c r="LTJ9" s="892"/>
      <c r="LTK9" s="892"/>
      <c r="LTL9" s="892"/>
      <c r="LTM9" s="892"/>
      <c r="LTN9" s="892"/>
      <c r="LTO9" s="892"/>
      <c r="LTP9" s="892"/>
      <c r="LTQ9" s="892"/>
      <c r="LTR9" s="892"/>
      <c r="LTS9" s="892"/>
      <c r="LTT9" s="892"/>
      <c r="LTU9" s="892"/>
      <c r="LTV9" s="892"/>
      <c r="LTW9" s="892"/>
      <c r="LTX9" s="892"/>
      <c r="LTY9" s="892"/>
      <c r="LTZ9" s="892"/>
      <c r="LUA9" s="892"/>
      <c r="LUB9" s="892"/>
      <c r="LUC9" s="892"/>
      <c r="LUD9" s="892"/>
      <c r="LUE9" s="892"/>
      <c r="LUF9" s="892"/>
      <c r="LUG9" s="892"/>
      <c r="LUH9" s="892"/>
      <c r="LUI9" s="892"/>
      <c r="LUJ9" s="892"/>
      <c r="LUK9" s="892"/>
      <c r="LUL9" s="892"/>
      <c r="LUM9" s="892"/>
      <c r="LUN9" s="892"/>
      <c r="LUO9" s="892"/>
      <c r="LUP9" s="892"/>
      <c r="LUQ9" s="892"/>
      <c r="LUR9" s="892"/>
      <c r="LUS9" s="892"/>
      <c r="LUT9" s="892"/>
      <c r="LUU9" s="892"/>
      <c r="LUV9" s="892"/>
      <c r="LUW9" s="892"/>
      <c r="LUX9" s="892"/>
      <c r="LUY9" s="892"/>
      <c r="LUZ9" s="892"/>
      <c r="LVA9" s="892"/>
      <c r="LVB9" s="892"/>
      <c r="LVC9" s="892"/>
      <c r="LVD9" s="892"/>
      <c r="LVE9" s="892"/>
      <c r="LVF9" s="892"/>
      <c r="LVG9" s="892"/>
      <c r="LVH9" s="892"/>
      <c r="LVI9" s="892"/>
      <c r="LVJ9" s="892"/>
      <c r="LVK9" s="892"/>
      <c r="LVL9" s="892"/>
      <c r="LVM9" s="892"/>
      <c r="LVN9" s="892"/>
      <c r="LVO9" s="892"/>
      <c r="LVP9" s="892"/>
      <c r="LVQ9" s="892"/>
      <c r="LVR9" s="892"/>
      <c r="LVS9" s="892"/>
      <c r="LVT9" s="892"/>
      <c r="LVU9" s="892"/>
      <c r="LVV9" s="892"/>
      <c r="LVW9" s="892"/>
      <c r="LVX9" s="892"/>
      <c r="LVY9" s="892"/>
      <c r="LVZ9" s="892"/>
      <c r="LWA9" s="892"/>
      <c r="LWB9" s="892"/>
      <c r="LWC9" s="892"/>
      <c r="LWD9" s="892"/>
      <c r="LWE9" s="892"/>
      <c r="LWF9" s="892"/>
      <c r="LWG9" s="892"/>
      <c r="LWH9" s="892"/>
      <c r="LWI9" s="892"/>
      <c r="LWJ9" s="892"/>
      <c r="LWK9" s="892"/>
      <c r="LWL9" s="892"/>
      <c r="LWM9" s="892"/>
      <c r="LWN9" s="892"/>
      <c r="LWO9" s="892"/>
      <c r="LWP9" s="892"/>
      <c r="LWQ9" s="892"/>
      <c r="LWR9" s="892"/>
      <c r="LWS9" s="892"/>
      <c r="LWT9" s="892"/>
      <c r="LWU9" s="892"/>
      <c r="LWV9" s="892"/>
      <c r="LWW9" s="892"/>
      <c r="LWX9" s="892"/>
      <c r="LWY9" s="892"/>
      <c r="LWZ9" s="892"/>
      <c r="LXA9" s="892"/>
      <c r="LXB9" s="892"/>
      <c r="LXC9" s="892"/>
      <c r="LXD9" s="892"/>
      <c r="LXE9" s="892"/>
      <c r="LXF9" s="892"/>
      <c r="LXG9" s="892"/>
      <c r="LXH9" s="892"/>
      <c r="LXI9" s="892"/>
      <c r="LXJ9" s="892"/>
      <c r="LXK9" s="892"/>
      <c r="LXL9" s="892"/>
      <c r="LXM9" s="892"/>
      <c r="LXN9" s="892"/>
      <c r="LXO9" s="892"/>
      <c r="LXP9" s="892"/>
      <c r="LXQ9" s="892"/>
      <c r="LXR9" s="892"/>
      <c r="LXS9" s="892"/>
      <c r="LXT9" s="892"/>
      <c r="LXU9" s="892"/>
      <c r="LXV9" s="892"/>
      <c r="LXW9" s="892"/>
      <c r="LXX9" s="892"/>
      <c r="LXY9" s="892"/>
      <c r="LXZ9" s="892"/>
      <c r="LYA9" s="892"/>
      <c r="LYB9" s="892"/>
      <c r="LYC9" s="892"/>
      <c r="LYD9" s="892"/>
      <c r="LYE9" s="892"/>
      <c r="LYF9" s="892"/>
      <c r="LYG9" s="892"/>
      <c r="LYH9" s="892"/>
      <c r="LYI9" s="892"/>
      <c r="LYJ9" s="892"/>
      <c r="LYK9" s="892"/>
      <c r="LYL9" s="892"/>
      <c r="LYM9" s="892"/>
      <c r="LYN9" s="892"/>
      <c r="LYO9" s="892"/>
      <c r="LYP9" s="892"/>
      <c r="LYQ9" s="892"/>
      <c r="LYR9" s="892"/>
      <c r="LYS9" s="892"/>
      <c r="LYT9" s="892"/>
      <c r="LYU9" s="892"/>
      <c r="LYV9" s="892"/>
      <c r="LYW9" s="892"/>
      <c r="LYX9" s="892"/>
      <c r="LYY9" s="892"/>
      <c r="LYZ9" s="892"/>
      <c r="LZA9" s="892"/>
      <c r="LZB9" s="892"/>
      <c r="LZC9" s="892"/>
      <c r="LZD9" s="892"/>
      <c r="LZE9" s="892"/>
      <c r="LZF9" s="892"/>
      <c r="LZG9" s="892"/>
      <c r="LZH9" s="892"/>
      <c r="LZI9" s="892"/>
      <c r="LZJ9" s="892"/>
      <c r="LZK9" s="892"/>
      <c r="LZL9" s="892"/>
      <c r="LZM9" s="892"/>
      <c r="LZN9" s="892"/>
      <c r="LZO9" s="892"/>
      <c r="LZP9" s="892"/>
      <c r="LZQ9" s="892"/>
      <c r="LZR9" s="892"/>
      <c r="LZS9" s="892"/>
      <c r="LZT9" s="892"/>
      <c r="LZU9" s="892"/>
      <c r="LZV9" s="892"/>
      <c r="LZW9" s="892"/>
      <c r="LZX9" s="892"/>
      <c r="LZY9" s="892"/>
      <c r="LZZ9" s="892"/>
      <c r="MAA9" s="892"/>
      <c r="MAB9" s="892"/>
      <c r="MAC9" s="892"/>
      <c r="MAD9" s="892"/>
      <c r="MAE9" s="892"/>
      <c r="MAF9" s="892"/>
      <c r="MAG9" s="892"/>
      <c r="MAH9" s="892"/>
      <c r="MAI9" s="892"/>
      <c r="MAJ9" s="892"/>
      <c r="MAK9" s="892"/>
      <c r="MAL9" s="892"/>
      <c r="MAM9" s="892"/>
      <c r="MAN9" s="892"/>
      <c r="MAO9" s="892"/>
      <c r="MAP9" s="892"/>
      <c r="MAQ9" s="892"/>
      <c r="MAR9" s="892"/>
      <c r="MAS9" s="892"/>
      <c r="MAT9" s="892"/>
      <c r="MAU9" s="892"/>
      <c r="MAV9" s="892"/>
      <c r="MAW9" s="892"/>
      <c r="MAX9" s="892"/>
      <c r="MAY9" s="892"/>
      <c r="MAZ9" s="892"/>
      <c r="MBA9" s="892"/>
      <c r="MBB9" s="892"/>
      <c r="MBC9" s="892"/>
      <c r="MBD9" s="892"/>
      <c r="MBE9" s="892"/>
      <c r="MBF9" s="892"/>
      <c r="MBG9" s="892"/>
      <c r="MBH9" s="892"/>
      <c r="MBI9" s="892"/>
      <c r="MBJ9" s="892"/>
      <c r="MBK9" s="892"/>
      <c r="MBL9" s="892"/>
      <c r="MBM9" s="892"/>
      <c r="MBN9" s="892"/>
      <c r="MBO9" s="892"/>
      <c r="MBP9" s="892"/>
      <c r="MBQ9" s="892"/>
      <c r="MBR9" s="892"/>
      <c r="MBS9" s="892"/>
      <c r="MBT9" s="892"/>
      <c r="MBU9" s="892"/>
      <c r="MBV9" s="892"/>
      <c r="MBW9" s="892"/>
      <c r="MBX9" s="892"/>
      <c r="MBY9" s="892"/>
      <c r="MBZ9" s="892"/>
      <c r="MCA9" s="892"/>
      <c r="MCB9" s="892"/>
      <c r="MCC9" s="892"/>
      <c r="MCD9" s="892"/>
      <c r="MCE9" s="892"/>
      <c r="MCF9" s="892"/>
      <c r="MCG9" s="892"/>
      <c r="MCH9" s="892"/>
      <c r="MCI9" s="892"/>
      <c r="MCJ9" s="892"/>
      <c r="MCK9" s="892"/>
      <c r="MCL9" s="892"/>
      <c r="MCM9" s="892"/>
      <c r="MCN9" s="892"/>
      <c r="MCO9" s="892"/>
      <c r="MCP9" s="892"/>
      <c r="MCQ9" s="892"/>
      <c r="MCR9" s="892"/>
      <c r="MCS9" s="892"/>
      <c r="MCT9" s="892"/>
      <c r="MCU9" s="892"/>
      <c r="MCV9" s="892"/>
      <c r="MCW9" s="892"/>
      <c r="MCX9" s="892"/>
      <c r="MCY9" s="892"/>
      <c r="MCZ9" s="892"/>
      <c r="MDA9" s="892"/>
      <c r="MDB9" s="892"/>
      <c r="MDC9" s="892"/>
      <c r="MDD9" s="892"/>
      <c r="MDE9" s="892"/>
      <c r="MDF9" s="892"/>
      <c r="MDG9" s="892"/>
      <c r="MDH9" s="892"/>
      <c r="MDI9" s="892"/>
      <c r="MDJ9" s="892"/>
      <c r="MDK9" s="892"/>
      <c r="MDL9" s="892"/>
      <c r="MDM9" s="892"/>
      <c r="MDN9" s="892"/>
      <c r="MDO9" s="892"/>
      <c r="MDP9" s="892"/>
      <c r="MDQ9" s="892"/>
      <c r="MDR9" s="892"/>
      <c r="MDS9" s="892"/>
      <c r="MDT9" s="892"/>
      <c r="MDU9" s="892"/>
      <c r="MDV9" s="892"/>
      <c r="MDW9" s="892"/>
      <c r="MDX9" s="892"/>
      <c r="MDY9" s="892"/>
      <c r="MDZ9" s="892"/>
      <c r="MEA9" s="892"/>
      <c r="MEB9" s="892"/>
      <c r="MEC9" s="892"/>
      <c r="MED9" s="892"/>
      <c r="MEE9" s="892"/>
      <c r="MEF9" s="892"/>
      <c r="MEG9" s="892"/>
      <c r="MEH9" s="892"/>
      <c r="MEI9" s="892"/>
      <c r="MEJ9" s="892"/>
      <c r="MEK9" s="892"/>
      <c r="MEL9" s="892"/>
      <c r="MEM9" s="892"/>
      <c r="MEN9" s="892"/>
      <c r="MEO9" s="892"/>
      <c r="MEP9" s="892"/>
      <c r="MEQ9" s="892"/>
      <c r="MER9" s="892"/>
      <c r="MES9" s="892"/>
      <c r="MET9" s="892"/>
      <c r="MEU9" s="892"/>
      <c r="MEV9" s="892"/>
      <c r="MEW9" s="892"/>
      <c r="MEX9" s="892"/>
      <c r="MEY9" s="892"/>
      <c r="MEZ9" s="892"/>
      <c r="MFA9" s="892"/>
      <c r="MFB9" s="892"/>
      <c r="MFC9" s="892"/>
      <c r="MFD9" s="892"/>
      <c r="MFE9" s="892"/>
      <c r="MFF9" s="892"/>
      <c r="MFG9" s="892"/>
      <c r="MFH9" s="892"/>
      <c r="MFI9" s="892"/>
      <c r="MFJ9" s="892"/>
      <c r="MFK9" s="892"/>
      <c r="MFL9" s="892"/>
      <c r="MFM9" s="892"/>
      <c r="MFN9" s="892"/>
      <c r="MFO9" s="892"/>
      <c r="MFP9" s="892"/>
      <c r="MFQ9" s="892"/>
      <c r="MFR9" s="892"/>
      <c r="MFS9" s="892"/>
      <c r="MFT9" s="892"/>
      <c r="MFU9" s="892"/>
      <c r="MFV9" s="892"/>
      <c r="MFW9" s="892"/>
      <c r="MFX9" s="892"/>
      <c r="MFY9" s="892"/>
      <c r="MFZ9" s="892"/>
      <c r="MGA9" s="892"/>
      <c r="MGB9" s="892"/>
      <c r="MGC9" s="892"/>
      <c r="MGD9" s="892"/>
      <c r="MGE9" s="892"/>
      <c r="MGF9" s="892"/>
      <c r="MGG9" s="892"/>
      <c r="MGH9" s="892"/>
      <c r="MGI9" s="892"/>
      <c r="MGJ9" s="892"/>
      <c r="MGK9" s="892"/>
      <c r="MGL9" s="892"/>
      <c r="MGM9" s="892"/>
      <c r="MGN9" s="892"/>
      <c r="MGO9" s="892"/>
      <c r="MGP9" s="892"/>
      <c r="MGQ9" s="892"/>
      <c r="MGR9" s="892"/>
      <c r="MGS9" s="892"/>
      <c r="MGT9" s="892"/>
      <c r="MGU9" s="892"/>
      <c r="MGV9" s="892"/>
      <c r="MGW9" s="892"/>
      <c r="MGX9" s="892"/>
      <c r="MGY9" s="892"/>
      <c r="MGZ9" s="892"/>
      <c r="MHA9" s="892"/>
      <c r="MHB9" s="892"/>
      <c r="MHC9" s="892"/>
      <c r="MHD9" s="892"/>
      <c r="MHE9" s="892"/>
      <c r="MHF9" s="892"/>
      <c r="MHG9" s="892"/>
      <c r="MHH9" s="892"/>
      <c r="MHI9" s="892"/>
      <c r="MHJ9" s="892"/>
      <c r="MHK9" s="892"/>
      <c r="MHL9" s="892"/>
      <c r="MHM9" s="892"/>
      <c r="MHN9" s="892"/>
      <c r="MHO9" s="892"/>
      <c r="MHP9" s="892"/>
      <c r="MHQ9" s="892"/>
      <c r="MHR9" s="892"/>
      <c r="MHS9" s="892"/>
      <c r="MHT9" s="892"/>
      <c r="MHU9" s="892"/>
      <c r="MHV9" s="892"/>
      <c r="MHW9" s="892"/>
      <c r="MHX9" s="892"/>
      <c r="MHY9" s="892"/>
      <c r="MHZ9" s="892"/>
      <c r="MIA9" s="892"/>
      <c r="MIB9" s="892"/>
      <c r="MIC9" s="892"/>
      <c r="MID9" s="892"/>
      <c r="MIE9" s="892"/>
      <c r="MIF9" s="892"/>
      <c r="MIG9" s="892"/>
      <c r="MIH9" s="892"/>
      <c r="MII9" s="892"/>
      <c r="MIJ9" s="892"/>
      <c r="MIK9" s="892"/>
      <c r="MIL9" s="892"/>
      <c r="MIM9" s="892"/>
      <c r="MIN9" s="892"/>
      <c r="MIO9" s="892"/>
      <c r="MIP9" s="892"/>
      <c r="MIQ9" s="892"/>
      <c r="MIR9" s="892"/>
      <c r="MIS9" s="892"/>
      <c r="MIT9" s="892"/>
      <c r="MIU9" s="892"/>
      <c r="MIV9" s="892"/>
      <c r="MIW9" s="892"/>
      <c r="MIX9" s="892"/>
      <c r="MIY9" s="892"/>
      <c r="MIZ9" s="892"/>
      <c r="MJA9" s="892"/>
      <c r="MJB9" s="892"/>
      <c r="MJC9" s="892"/>
      <c r="MJD9" s="892"/>
      <c r="MJE9" s="892"/>
      <c r="MJF9" s="892"/>
      <c r="MJG9" s="892"/>
      <c r="MJH9" s="892"/>
      <c r="MJI9" s="892"/>
      <c r="MJJ9" s="892"/>
      <c r="MJK9" s="892"/>
      <c r="MJL9" s="892"/>
      <c r="MJM9" s="892"/>
      <c r="MJN9" s="892"/>
      <c r="MJO9" s="892"/>
      <c r="MJP9" s="892"/>
      <c r="MJQ9" s="892"/>
      <c r="MJR9" s="892"/>
      <c r="MJS9" s="892"/>
      <c r="MJT9" s="892"/>
      <c r="MJU9" s="892"/>
      <c r="MJV9" s="892"/>
      <c r="MJW9" s="892"/>
      <c r="MJX9" s="892"/>
      <c r="MJY9" s="892"/>
      <c r="MJZ9" s="892"/>
      <c r="MKA9" s="892"/>
      <c r="MKB9" s="892"/>
      <c r="MKC9" s="892"/>
      <c r="MKD9" s="892"/>
      <c r="MKE9" s="892"/>
      <c r="MKF9" s="892"/>
      <c r="MKG9" s="892"/>
      <c r="MKH9" s="892"/>
      <c r="MKI9" s="892"/>
      <c r="MKJ9" s="892"/>
      <c r="MKK9" s="892"/>
      <c r="MKL9" s="892"/>
      <c r="MKM9" s="892"/>
      <c r="MKN9" s="892"/>
      <c r="MKO9" s="892"/>
      <c r="MKP9" s="892"/>
      <c r="MKQ9" s="892"/>
      <c r="MKR9" s="892"/>
      <c r="MKS9" s="892"/>
      <c r="MKT9" s="892"/>
      <c r="MKU9" s="892"/>
      <c r="MKV9" s="892"/>
      <c r="MKW9" s="892"/>
      <c r="MKX9" s="892"/>
      <c r="MKY9" s="892"/>
      <c r="MKZ9" s="892"/>
      <c r="MLA9" s="892"/>
      <c r="MLB9" s="892"/>
      <c r="MLC9" s="892"/>
      <c r="MLD9" s="892"/>
      <c r="MLE9" s="892"/>
      <c r="MLF9" s="892"/>
      <c r="MLG9" s="892"/>
      <c r="MLH9" s="892"/>
      <c r="MLI9" s="892"/>
      <c r="MLJ9" s="892"/>
      <c r="MLK9" s="892"/>
      <c r="MLL9" s="892"/>
      <c r="MLM9" s="892"/>
      <c r="MLN9" s="892"/>
      <c r="MLO9" s="892"/>
      <c r="MLP9" s="892"/>
      <c r="MLQ9" s="892"/>
      <c r="MLR9" s="892"/>
      <c r="MLS9" s="892"/>
      <c r="MLT9" s="892"/>
      <c r="MLU9" s="892"/>
      <c r="MLV9" s="892"/>
      <c r="MLW9" s="892"/>
      <c r="MLX9" s="892"/>
      <c r="MLY9" s="892"/>
      <c r="MLZ9" s="892"/>
      <c r="MMA9" s="892"/>
      <c r="MMB9" s="892"/>
      <c r="MMC9" s="892"/>
      <c r="MMD9" s="892"/>
      <c r="MME9" s="892"/>
      <c r="MMF9" s="892"/>
      <c r="MMG9" s="892"/>
      <c r="MMH9" s="892"/>
      <c r="MMI9" s="892"/>
      <c r="MMJ9" s="892"/>
      <c r="MMK9" s="892"/>
      <c r="MML9" s="892"/>
      <c r="MMM9" s="892"/>
      <c r="MMN9" s="892"/>
      <c r="MMO9" s="892"/>
      <c r="MMP9" s="892"/>
      <c r="MMQ9" s="892"/>
      <c r="MMR9" s="892"/>
      <c r="MMS9" s="892"/>
      <c r="MMT9" s="892"/>
      <c r="MMU9" s="892"/>
      <c r="MMV9" s="892"/>
      <c r="MMW9" s="892"/>
      <c r="MMX9" s="892"/>
      <c r="MMY9" s="892"/>
      <c r="MMZ9" s="892"/>
      <c r="MNA9" s="892"/>
      <c r="MNB9" s="892"/>
      <c r="MNC9" s="892"/>
      <c r="MND9" s="892"/>
      <c r="MNE9" s="892"/>
      <c r="MNF9" s="892"/>
      <c r="MNG9" s="892"/>
      <c r="MNH9" s="892"/>
      <c r="MNI9" s="892"/>
      <c r="MNJ9" s="892"/>
      <c r="MNK9" s="892"/>
      <c r="MNL9" s="892"/>
      <c r="MNM9" s="892"/>
      <c r="MNN9" s="892"/>
      <c r="MNO9" s="892"/>
      <c r="MNP9" s="892"/>
      <c r="MNQ9" s="892"/>
      <c r="MNR9" s="892"/>
      <c r="MNS9" s="892"/>
      <c r="MNT9" s="892"/>
      <c r="MNU9" s="892"/>
      <c r="MNV9" s="892"/>
      <c r="MNW9" s="892"/>
      <c r="MNX9" s="892"/>
      <c r="MNY9" s="892"/>
      <c r="MNZ9" s="892"/>
      <c r="MOA9" s="892"/>
      <c r="MOB9" s="892"/>
      <c r="MOC9" s="892"/>
      <c r="MOD9" s="892"/>
      <c r="MOE9" s="892"/>
      <c r="MOF9" s="892"/>
      <c r="MOG9" s="892"/>
      <c r="MOH9" s="892"/>
      <c r="MOI9" s="892"/>
      <c r="MOJ9" s="892"/>
      <c r="MOK9" s="892"/>
      <c r="MOL9" s="892"/>
      <c r="MOM9" s="892"/>
      <c r="MON9" s="892"/>
      <c r="MOO9" s="892"/>
      <c r="MOP9" s="892"/>
      <c r="MOQ9" s="892"/>
      <c r="MOR9" s="892"/>
      <c r="MOS9" s="892"/>
      <c r="MOT9" s="892"/>
      <c r="MOU9" s="892"/>
      <c r="MOV9" s="892"/>
      <c r="MOW9" s="892"/>
      <c r="MOX9" s="892"/>
      <c r="MOY9" s="892"/>
      <c r="MOZ9" s="892"/>
      <c r="MPA9" s="892"/>
      <c r="MPB9" s="892"/>
      <c r="MPC9" s="892"/>
      <c r="MPD9" s="892"/>
      <c r="MPE9" s="892"/>
      <c r="MPF9" s="892"/>
      <c r="MPG9" s="892"/>
      <c r="MPH9" s="892"/>
      <c r="MPI9" s="892"/>
      <c r="MPJ9" s="892"/>
      <c r="MPK9" s="892"/>
      <c r="MPL9" s="892"/>
      <c r="MPM9" s="892"/>
      <c r="MPN9" s="892"/>
      <c r="MPO9" s="892"/>
      <c r="MPP9" s="892"/>
      <c r="MPQ9" s="892"/>
      <c r="MPR9" s="892"/>
      <c r="MPS9" s="892"/>
      <c r="MPT9" s="892"/>
      <c r="MPU9" s="892"/>
      <c r="MPV9" s="892"/>
      <c r="MPW9" s="892"/>
      <c r="MPX9" s="892"/>
      <c r="MPY9" s="892"/>
      <c r="MPZ9" s="892"/>
      <c r="MQA9" s="892"/>
      <c r="MQB9" s="892"/>
      <c r="MQC9" s="892"/>
      <c r="MQD9" s="892"/>
      <c r="MQE9" s="892"/>
      <c r="MQF9" s="892"/>
      <c r="MQG9" s="892"/>
      <c r="MQH9" s="892"/>
      <c r="MQI9" s="892"/>
      <c r="MQJ9" s="892"/>
      <c r="MQK9" s="892"/>
      <c r="MQL9" s="892"/>
      <c r="MQM9" s="892"/>
      <c r="MQN9" s="892"/>
      <c r="MQO9" s="892"/>
      <c r="MQP9" s="892"/>
      <c r="MQQ9" s="892"/>
      <c r="MQR9" s="892"/>
      <c r="MQS9" s="892"/>
      <c r="MQT9" s="892"/>
      <c r="MQU9" s="892"/>
      <c r="MQV9" s="892"/>
      <c r="MQW9" s="892"/>
      <c r="MQX9" s="892"/>
      <c r="MQY9" s="892"/>
      <c r="MQZ9" s="892"/>
      <c r="MRA9" s="892"/>
      <c r="MRB9" s="892"/>
      <c r="MRC9" s="892"/>
      <c r="MRD9" s="892"/>
      <c r="MRE9" s="892"/>
      <c r="MRF9" s="892"/>
      <c r="MRG9" s="892"/>
      <c r="MRH9" s="892"/>
      <c r="MRI9" s="892"/>
      <c r="MRJ9" s="892"/>
      <c r="MRK9" s="892"/>
      <c r="MRL9" s="892"/>
      <c r="MRM9" s="892"/>
      <c r="MRN9" s="892"/>
      <c r="MRO9" s="892"/>
      <c r="MRP9" s="892"/>
      <c r="MRQ9" s="892"/>
      <c r="MRR9" s="892"/>
      <c r="MRS9" s="892"/>
      <c r="MRT9" s="892"/>
      <c r="MRU9" s="892"/>
      <c r="MRV9" s="892"/>
      <c r="MRW9" s="892"/>
      <c r="MRX9" s="892"/>
      <c r="MRY9" s="892"/>
      <c r="MRZ9" s="892"/>
      <c r="MSA9" s="892"/>
      <c r="MSB9" s="892"/>
      <c r="MSC9" s="892"/>
      <c r="MSD9" s="892"/>
      <c r="MSE9" s="892"/>
      <c r="MSF9" s="892"/>
      <c r="MSG9" s="892"/>
      <c r="MSH9" s="892"/>
      <c r="MSI9" s="892"/>
      <c r="MSJ9" s="892"/>
      <c r="MSK9" s="892"/>
      <c r="MSL9" s="892"/>
      <c r="MSM9" s="892"/>
      <c r="MSN9" s="892"/>
      <c r="MSO9" s="892"/>
      <c r="MSP9" s="892"/>
      <c r="MSQ9" s="892"/>
      <c r="MSR9" s="892"/>
      <c r="MSS9" s="892"/>
      <c r="MST9" s="892"/>
      <c r="MSU9" s="892"/>
      <c r="MSV9" s="892"/>
      <c r="MSW9" s="892"/>
      <c r="MSX9" s="892"/>
      <c r="MSY9" s="892"/>
      <c r="MSZ9" s="892"/>
      <c r="MTA9" s="892"/>
      <c r="MTB9" s="892"/>
      <c r="MTC9" s="892"/>
      <c r="MTD9" s="892"/>
      <c r="MTE9" s="892"/>
      <c r="MTF9" s="892"/>
      <c r="MTG9" s="892"/>
      <c r="MTH9" s="892"/>
      <c r="MTI9" s="892"/>
      <c r="MTJ9" s="892"/>
      <c r="MTK9" s="892"/>
      <c r="MTL9" s="892"/>
      <c r="MTM9" s="892"/>
      <c r="MTN9" s="892"/>
      <c r="MTO9" s="892"/>
      <c r="MTP9" s="892"/>
      <c r="MTQ9" s="892"/>
      <c r="MTR9" s="892"/>
      <c r="MTS9" s="892"/>
      <c r="MTT9" s="892"/>
      <c r="MTU9" s="892"/>
      <c r="MTV9" s="892"/>
      <c r="MTW9" s="892"/>
      <c r="MTX9" s="892"/>
      <c r="MTY9" s="892"/>
      <c r="MTZ9" s="892"/>
      <c r="MUA9" s="892"/>
      <c r="MUB9" s="892"/>
      <c r="MUC9" s="892"/>
      <c r="MUD9" s="892"/>
      <c r="MUE9" s="892"/>
      <c r="MUF9" s="892"/>
      <c r="MUG9" s="892"/>
      <c r="MUH9" s="892"/>
      <c r="MUI9" s="892"/>
      <c r="MUJ9" s="892"/>
      <c r="MUK9" s="892"/>
      <c r="MUL9" s="892"/>
      <c r="MUM9" s="892"/>
      <c r="MUN9" s="892"/>
      <c r="MUO9" s="892"/>
      <c r="MUP9" s="892"/>
      <c r="MUQ9" s="892"/>
      <c r="MUR9" s="892"/>
      <c r="MUS9" s="892"/>
      <c r="MUT9" s="892"/>
      <c r="MUU9" s="892"/>
      <c r="MUV9" s="892"/>
      <c r="MUW9" s="892"/>
      <c r="MUX9" s="892"/>
      <c r="MUY9" s="892"/>
      <c r="MUZ9" s="892"/>
      <c r="MVA9" s="892"/>
      <c r="MVB9" s="892"/>
      <c r="MVC9" s="892"/>
      <c r="MVD9" s="892"/>
      <c r="MVE9" s="892"/>
      <c r="MVF9" s="892"/>
      <c r="MVG9" s="892"/>
      <c r="MVH9" s="892"/>
      <c r="MVI9" s="892"/>
      <c r="MVJ9" s="892"/>
      <c r="MVK9" s="892"/>
      <c r="MVL9" s="892"/>
      <c r="MVM9" s="892"/>
      <c r="MVN9" s="892"/>
      <c r="MVO9" s="892"/>
      <c r="MVP9" s="892"/>
      <c r="MVQ9" s="892"/>
      <c r="MVR9" s="892"/>
      <c r="MVS9" s="892"/>
      <c r="MVT9" s="892"/>
      <c r="MVU9" s="892"/>
      <c r="MVV9" s="892"/>
      <c r="MVW9" s="892"/>
      <c r="MVX9" s="892"/>
      <c r="MVY9" s="892"/>
      <c r="MVZ9" s="892"/>
      <c r="MWA9" s="892"/>
      <c r="MWB9" s="892"/>
      <c r="MWC9" s="892"/>
      <c r="MWD9" s="892"/>
      <c r="MWE9" s="892"/>
      <c r="MWF9" s="892"/>
      <c r="MWG9" s="892"/>
      <c r="MWH9" s="892"/>
      <c r="MWI9" s="892"/>
      <c r="MWJ9" s="892"/>
      <c r="MWK9" s="892"/>
      <c r="MWL9" s="892"/>
      <c r="MWM9" s="892"/>
      <c r="MWN9" s="892"/>
      <c r="MWO9" s="892"/>
      <c r="MWP9" s="892"/>
      <c r="MWQ9" s="892"/>
      <c r="MWR9" s="892"/>
      <c r="MWS9" s="892"/>
      <c r="MWT9" s="892"/>
      <c r="MWU9" s="892"/>
      <c r="MWV9" s="892"/>
      <c r="MWW9" s="892"/>
      <c r="MWX9" s="892"/>
      <c r="MWY9" s="892"/>
      <c r="MWZ9" s="892"/>
      <c r="MXA9" s="892"/>
      <c r="MXB9" s="892"/>
      <c r="MXC9" s="892"/>
      <c r="MXD9" s="892"/>
      <c r="MXE9" s="892"/>
      <c r="MXF9" s="892"/>
      <c r="MXG9" s="892"/>
      <c r="MXH9" s="892"/>
      <c r="MXI9" s="892"/>
      <c r="MXJ9" s="892"/>
      <c r="MXK9" s="892"/>
      <c r="MXL9" s="892"/>
      <c r="MXM9" s="892"/>
      <c r="MXN9" s="892"/>
      <c r="MXO9" s="892"/>
      <c r="MXP9" s="892"/>
      <c r="MXQ9" s="892"/>
      <c r="MXR9" s="892"/>
      <c r="MXS9" s="892"/>
      <c r="MXT9" s="892"/>
      <c r="MXU9" s="892"/>
      <c r="MXV9" s="892"/>
      <c r="MXW9" s="892"/>
      <c r="MXX9" s="892"/>
      <c r="MXY9" s="892"/>
      <c r="MXZ9" s="892"/>
      <c r="MYA9" s="892"/>
      <c r="MYB9" s="892"/>
      <c r="MYC9" s="892"/>
      <c r="MYD9" s="892"/>
      <c r="MYE9" s="892"/>
      <c r="MYF9" s="892"/>
      <c r="MYG9" s="892"/>
      <c r="MYH9" s="892"/>
      <c r="MYI9" s="892"/>
      <c r="MYJ9" s="892"/>
      <c r="MYK9" s="892"/>
      <c r="MYL9" s="892"/>
      <c r="MYM9" s="892"/>
      <c r="MYN9" s="892"/>
      <c r="MYO9" s="892"/>
      <c r="MYP9" s="892"/>
      <c r="MYQ9" s="892"/>
      <c r="MYR9" s="892"/>
      <c r="MYS9" s="892"/>
      <c r="MYT9" s="892"/>
      <c r="MYU9" s="892"/>
      <c r="MYV9" s="892"/>
      <c r="MYW9" s="892"/>
      <c r="MYX9" s="892"/>
      <c r="MYY9" s="892"/>
      <c r="MYZ9" s="892"/>
      <c r="MZA9" s="892"/>
      <c r="MZB9" s="892"/>
      <c r="MZC9" s="892"/>
      <c r="MZD9" s="892"/>
      <c r="MZE9" s="892"/>
      <c r="MZF9" s="892"/>
      <c r="MZG9" s="892"/>
      <c r="MZH9" s="892"/>
      <c r="MZI9" s="892"/>
      <c r="MZJ9" s="892"/>
      <c r="MZK9" s="892"/>
      <c r="MZL9" s="892"/>
      <c r="MZM9" s="892"/>
      <c r="MZN9" s="892"/>
      <c r="MZO9" s="892"/>
      <c r="MZP9" s="892"/>
      <c r="MZQ9" s="892"/>
      <c r="MZR9" s="892"/>
      <c r="MZS9" s="892"/>
      <c r="MZT9" s="892"/>
      <c r="MZU9" s="892"/>
      <c r="MZV9" s="892"/>
      <c r="MZW9" s="892"/>
      <c r="MZX9" s="892"/>
      <c r="MZY9" s="892"/>
      <c r="MZZ9" s="892"/>
      <c r="NAA9" s="892"/>
      <c r="NAB9" s="892"/>
      <c r="NAC9" s="892"/>
      <c r="NAD9" s="892"/>
      <c r="NAE9" s="892"/>
      <c r="NAF9" s="892"/>
      <c r="NAG9" s="892"/>
      <c r="NAH9" s="892"/>
      <c r="NAI9" s="892"/>
      <c r="NAJ9" s="892"/>
      <c r="NAK9" s="892"/>
      <c r="NAL9" s="892"/>
      <c r="NAM9" s="892"/>
      <c r="NAN9" s="892"/>
      <c r="NAO9" s="892"/>
      <c r="NAP9" s="892"/>
      <c r="NAQ9" s="892"/>
      <c r="NAR9" s="892"/>
      <c r="NAS9" s="892"/>
      <c r="NAT9" s="892"/>
      <c r="NAU9" s="892"/>
      <c r="NAV9" s="892"/>
      <c r="NAW9" s="892"/>
      <c r="NAX9" s="892"/>
      <c r="NAY9" s="892"/>
      <c r="NAZ9" s="892"/>
      <c r="NBA9" s="892"/>
      <c r="NBB9" s="892"/>
      <c r="NBC9" s="892"/>
      <c r="NBD9" s="892"/>
      <c r="NBE9" s="892"/>
      <c r="NBF9" s="892"/>
      <c r="NBG9" s="892"/>
      <c r="NBH9" s="892"/>
      <c r="NBI9" s="892"/>
      <c r="NBJ9" s="892"/>
      <c r="NBK9" s="892"/>
      <c r="NBL9" s="892"/>
      <c r="NBM9" s="892"/>
      <c r="NBN9" s="892"/>
      <c r="NBO9" s="892"/>
      <c r="NBP9" s="892"/>
      <c r="NBQ9" s="892"/>
      <c r="NBR9" s="892"/>
      <c r="NBS9" s="892"/>
      <c r="NBT9" s="892"/>
      <c r="NBU9" s="892"/>
      <c r="NBV9" s="892"/>
      <c r="NBW9" s="892"/>
      <c r="NBX9" s="892"/>
      <c r="NBY9" s="892"/>
      <c r="NBZ9" s="892"/>
      <c r="NCA9" s="892"/>
      <c r="NCB9" s="892"/>
      <c r="NCC9" s="892"/>
      <c r="NCD9" s="892"/>
      <c r="NCE9" s="892"/>
      <c r="NCF9" s="892"/>
      <c r="NCG9" s="892"/>
      <c r="NCH9" s="892"/>
      <c r="NCI9" s="892"/>
      <c r="NCJ9" s="892"/>
      <c r="NCK9" s="892"/>
      <c r="NCL9" s="892"/>
      <c r="NCM9" s="892"/>
      <c r="NCN9" s="892"/>
      <c r="NCO9" s="892"/>
      <c r="NCP9" s="892"/>
      <c r="NCQ9" s="892"/>
      <c r="NCR9" s="892"/>
      <c r="NCS9" s="892"/>
      <c r="NCT9" s="892"/>
      <c r="NCU9" s="892"/>
      <c r="NCV9" s="892"/>
      <c r="NCW9" s="892"/>
      <c r="NCX9" s="892"/>
      <c r="NCY9" s="892"/>
      <c r="NCZ9" s="892"/>
      <c r="NDA9" s="892"/>
      <c r="NDB9" s="892"/>
      <c r="NDC9" s="892"/>
      <c r="NDD9" s="892"/>
      <c r="NDE9" s="892"/>
      <c r="NDF9" s="892"/>
      <c r="NDG9" s="892"/>
      <c r="NDH9" s="892"/>
      <c r="NDI9" s="892"/>
      <c r="NDJ9" s="892"/>
      <c r="NDK9" s="892"/>
      <c r="NDL9" s="892"/>
      <c r="NDM9" s="892"/>
      <c r="NDN9" s="892"/>
      <c r="NDO9" s="892"/>
      <c r="NDP9" s="892"/>
      <c r="NDQ9" s="892"/>
      <c r="NDR9" s="892"/>
      <c r="NDS9" s="892"/>
      <c r="NDT9" s="892"/>
      <c r="NDU9" s="892"/>
      <c r="NDV9" s="892"/>
      <c r="NDW9" s="892"/>
      <c r="NDX9" s="892"/>
      <c r="NDY9" s="892"/>
      <c r="NDZ9" s="892"/>
      <c r="NEA9" s="892"/>
      <c r="NEB9" s="892"/>
      <c r="NEC9" s="892"/>
      <c r="NED9" s="892"/>
      <c r="NEE9" s="892"/>
      <c r="NEF9" s="892"/>
      <c r="NEG9" s="892"/>
      <c r="NEH9" s="892"/>
      <c r="NEI9" s="892"/>
      <c r="NEJ9" s="892"/>
      <c r="NEK9" s="892"/>
      <c r="NEL9" s="892"/>
      <c r="NEM9" s="892"/>
      <c r="NEN9" s="892"/>
      <c r="NEO9" s="892"/>
      <c r="NEP9" s="892"/>
      <c r="NEQ9" s="892"/>
      <c r="NER9" s="892"/>
      <c r="NES9" s="892"/>
      <c r="NET9" s="892"/>
      <c r="NEU9" s="892"/>
      <c r="NEV9" s="892"/>
      <c r="NEW9" s="892"/>
      <c r="NEX9" s="892"/>
      <c r="NEY9" s="892"/>
      <c r="NEZ9" s="892"/>
      <c r="NFA9" s="892"/>
      <c r="NFB9" s="892"/>
      <c r="NFC9" s="892"/>
      <c r="NFD9" s="892"/>
      <c r="NFE9" s="892"/>
      <c r="NFF9" s="892"/>
      <c r="NFG9" s="892"/>
      <c r="NFH9" s="892"/>
      <c r="NFI9" s="892"/>
      <c r="NFJ9" s="892"/>
      <c r="NFK9" s="892"/>
      <c r="NFL9" s="892"/>
      <c r="NFM9" s="892"/>
      <c r="NFN9" s="892"/>
      <c r="NFO9" s="892"/>
      <c r="NFP9" s="892"/>
      <c r="NFQ9" s="892"/>
      <c r="NFR9" s="892"/>
      <c r="NFS9" s="892"/>
      <c r="NFT9" s="892"/>
      <c r="NFU9" s="892"/>
      <c r="NFV9" s="892"/>
      <c r="NFW9" s="892"/>
      <c r="NFX9" s="892"/>
      <c r="NFY9" s="892"/>
      <c r="NFZ9" s="892"/>
      <c r="NGA9" s="892"/>
      <c r="NGB9" s="892"/>
      <c r="NGC9" s="892"/>
      <c r="NGD9" s="892"/>
      <c r="NGE9" s="892"/>
      <c r="NGF9" s="892"/>
      <c r="NGG9" s="892"/>
      <c r="NGH9" s="892"/>
      <c r="NGI9" s="892"/>
      <c r="NGJ9" s="892"/>
      <c r="NGK9" s="892"/>
      <c r="NGL9" s="892"/>
      <c r="NGM9" s="892"/>
      <c r="NGN9" s="892"/>
      <c r="NGO9" s="892"/>
      <c r="NGP9" s="892"/>
      <c r="NGQ9" s="892"/>
      <c r="NGR9" s="892"/>
      <c r="NGS9" s="892"/>
      <c r="NGT9" s="892"/>
      <c r="NGU9" s="892"/>
      <c r="NGV9" s="892"/>
      <c r="NGW9" s="892"/>
      <c r="NGX9" s="892"/>
      <c r="NGY9" s="892"/>
      <c r="NGZ9" s="892"/>
      <c r="NHA9" s="892"/>
      <c r="NHB9" s="892"/>
      <c r="NHC9" s="892"/>
      <c r="NHD9" s="892"/>
      <c r="NHE9" s="892"/>
      <c r="NHF9" s="892"/>
      <c r="NHG9" s="892"/>
      <c r="NHH9" s="892"/>
      <c r="NHI9" s="892"/>
      <c r="NHJ9" s="892"/>
      <c r="NHK9" s="892"/>
      <c r="NHL9" s="892"/>
      <c r="NHM9" s="892"/>
      <c r="NHN9" s="892"/>
      <c r="NHO9" s="892"/>
      <c r="NHP9" s="892"/>
      <c r="NHQ9" s="892"/>
      <c r="NHR9" s="892"/>
      <c r="NHS9" s="892"/>
      <c r="NHT9" s="892"/>
      <c r="NHU9" s="892"/>
      <c r="NHV9" s="892"/>
      <c r="NHW9" s="892"/>
      <c r="NHX9" s="892"/>
      <c r="NHY9" s="892"/>
      <c r="NHZ9" s="892"/>
      <c r="NIA9" s="892"/>
      <c r="NIB9" s="892"/>
      <c r="NIC9" s="892"/>
      <c r="NID9" s="892"/>
      <c r="NIE9" s="892"/>
      <c r="NIF9" s="892"/>
      <c r="NIG9" s="892"/>
      <c r="NIH9" s="892"/>
      <c r="NII9" s="892"/>
      <c r="NIJ9" s="892"/>
      <c r="NIK9" s="892"/>
      <c r="NIL9" s="892"/>
      <c r="NIM9" s="892"/>
      <c r="NIN9" s="892"/>
      <c r="NIO9" s="892"/>
      <c r="NIP9" s="892"/>
      <c r="NIQ9" s="892"/>
      <c r="NIR9" s="892"/>
      <c r="NIS9" s="892"/>
      <c r="NIT9" s="892"/>
      <c r="NIU9" s="892"/>
      <c r="NIV9" s="892"/>
      <c r="NIW9" s="892"/>
      <c r="NIX9" s="892"/>
      <c r="NIY9" s="892"/>
      <c r="NIZ9" s="892"/>
      <c r="NJA9" s="892"/>
      <c r="NJB9" s="892"/>
      <c r="NJC9" s="892"/>
      <c r="NJD9" s="892"/>
      <c r="NJE9" s="892"/>
      <c r="NJF9" s="892"/>
      <c r="NJG9" s="892"/>
      <c r="NJH9" s="892"/>
      <c r="NJI9" s="892"/>
      <c r="NJJ9" s="892"/>
      <c r="NJK9" s="892"/>
      <c r="NJL9" s="892"/>
      <c r="NJM9" s="892"/>
      <c r="NJN9" s="892"/>
      <c r="NJO9" s="892"/>
      <c r="NJP9" s="892"/>
      <c r="NJQ9" s="892"/>
      <c r="NJR9" s="892"/>
      <c r="NJS9" s="892"/>
      <c r="NJT9" s="892"/>
      <c r="NJU9" s="892"/>
      <c r="NJV9" s="892"/>
      <c r="NJW9" s="892"/>
      <c r="NJX9" s="892"/>
      <c r="NJY9" s="892"/>
      <c r="NJZ9" s="892"/>
      <c r="NKA9" s="892"/>
      <c r="NKB9" s="892"/>
      <c r="NKC9" s="892"/>
      <c r="NKD9" s="892"/>
      <c r="NKE9" s="892"/>
      <c r="NKF9" s="892"/>
      <c r="NKG9" s="892"/>
      <c r="NKH9" s="892"/>
      <c r="NKI9" s="892"/>
      <c r="NKJ9" s="892"/>
      <c r="NKK9" s="892"/>
      <c r="NKL9" s="892"/>
      <c r="NKM9" s="892"/>
      <c r="NKN9" s="892"/>
      <c r="NKO9" s="892"/>
      <c r="NKP9" s="892"/>
      <c r="NKQ9" s="892"/>
      <c r="NKR9" s="892"/>
      <c r="NKS9" s="892"/>
      <c r="NKT9" s="892"/>
      <c r="NKU9" s="892"/>
      <c r="NKV9" s="892"/>
      <c r="NKW9" s="892"/>
      <c r="NKX9" s="892"/>
      <c r="NKY9" s="892"/>
      <c r="NKZ9" s="892"/>
      <c r="NLA9" s="892"/>
      <c r="NLB9" s="892"/>
      <c r="NLC9" s="892"/>
      <c r="NLD9" s="892"/>
      <c r="NLE9" s="892"/>
      <c r="NLF9" s="892"/>
      <c r="NLG9" s="892"/>
      <c r="NLH9" s="892"/>
      <c r="NLI9" s="892"/>
      <c r="NLJ9" s="892"/>
      <c r="NLK9" s="892"/>
      <c r="NLL9" s="892"/>
      <c r="NLM9" s="892"/>
      <c r="NLN9" s="892"/>
      <c r="NLO9" s="892"/>
      <c r="NLP9" s="892"/>
      <c r="NLQ9" s="892"/>
      <c r="NLR9" s="892"/>
      <c r="NLS9" s="892"/>
      <c r="NLT9" s="892"/>
      <c r="NLU9" s="892"/>
      <c r="NLV9" s="892"/>
      <c r="NLW9" s="892"/>
      <c r="NLX9" s="892"/>
      <c r="NLY9" s="892"/>
      <c r="NLZ9" s="892"/>
      <c r="NMA9" s="892"/>
      <c r="NMB9" s="892"/>
      <c r="NMC9" s="892"/>
      <c r="NMD9" s="892"/>
      <c r="NME9" s="892"/>
      <c r="NMF9" s="892"/>
      <c r="NMG9" s="892"/>
      <c r="NMH9" s="892"/>
      <c r="NMI9" s="892"/>
      <c r="NMJ9" s="892"/>
      <c r="NMK9" s="892"/>
      <c r="NML9" s="892"/>
      <c r="NMM9" s="892"/>
      <c r="NMN9" s="892"/>
      <c r="NMO9" s="892"/>
      <c r="NMP9" s="892"/>
      <c r="NMQ9" s="892"/>
      <c r="NMR9" s="892"/>
      <c r="NMS9" s="892"/>
      <c r="NMT9" s="892"/>
      <c r="NMU9" s="892"/>
      <c r="NMV9" s="892"/>
      <c r="NMW9" s="892"/>
      <c r="NMX9" s="892"/>
      <c r="NMY9" s="892"/>
      <c r="NMZ9" s="892"/>
      <c r="NNA9" s="892"/>
      <c r="NNB9" s="892"/>
      <c r="NNC9" s="892"/>
      <c r="NND9" s="892"/>
      <c r="NNE9" s="892"/>
      <c r="NNF9" s="892"/>
      <c r="NNG9" s="892"/>
      <c r="NNH9" s="892"/>
      <c r="NNI9" s="892"/>
      <c r="NNJ9" s="892"/>
      <c r="NNK9" s="892"/>
      <c r="NNL9" s="892"/>
      <c r="NNM9" s="892"/>
      <c r="NNN9" s="892"/>
      <c r="NNO9" s="892"/>
      <c r="NNP9" s="892"/>
      <c r="NNQ9" s="892"/>
      <c r="NNR9" s="892"/>
      <c r="NNS9" s="892"/>
      <c r="NNT9" s="892"/>
      <c r="NNU9" s="892"/>
      <c r="NNV9" s="892"/>
      <c r="NNW9" s="892"/>
      <c r="NNX9" s="892"/>
      <c r="NNY9" s="892"/>
      <c r="NNZ9" s="892"/>
      <c r="NOA9" s="892"/>
      <c r="NOB9" s="892"/>
      <c r="NOC9" s="892"/>
      <c r="NOD9" s="892"/>
      <c r="NOE9" s="892"/>
      <c r="NOF9" s="892"/>
      <c r="NOG9" s="892"/>
      <c r="NOH9" s="892"/>
      <c r="NOI9" s="892"/>
      <c r="NOJ9" s="892"/>
      <c r="NOK9" s="892"/>
      <c r="NOL9" s="892"/>
      <c r="NOM9" s="892"/>
      <c r="NON9" s="892"/>
      <c r="NOO9" s="892"/>
      <c r="NOP9" s="892"/>
      <c r="NOQ9" s="892"/>
      <c r="NOR9" s="892"/>
      <c r="NOS9" s="892"/>
      <c r="NOT9" s="892"/>
      <c r="NOU9" s="892"/>
      <c r="NOV9" s="892"/>
      <c r="NOW9" s="892"/>
      <c r="NOX9" s="892"/>
      <c r="NOY9" s="892"/>
      <c r="NOZ9" s="892"/>
      <c r="NPA9" s="892"/>
      <c r="NPB9" s="892"/>
      <c r="NPC9" s="892"/>
      <c r="NPD9" s="892"/>
      <c r="NPE9" s="892"/>
      <c r="NPF9" s="892"/>
      <c r="NPG9" s="892"/>
      <c r="NPH9" s="892"/>
      <c r="NPI9" s="892"/>
      <c r="NPJ9" s="892"/>
      <c r="NPK9" s="892"/>
      <c r="NPL9" s="892"/>
      <c r="NPM9" s="892"/>
      <c r="NPN9" s="892"/>
      <c r="NPO9" s="892"/>
      <c r="NPP9" s="892"/>
      <c r="NPQ9" s="892"/>
      <c r="NPR9" s="892"/>
      <c r="NPS9" s="892"/>
      <c r="NPT9" s="892"/>
      <c r="NPU9" s="892"/>
      <c r="NPV9" s="892"/>
      <c r="NPW9" s="892"/>
      <c r="NPX9" s="892"/>
      <c r="NPY9" s="892"/>
      <c r="NPZ9" s="892"/>
      <c r="NQA9" s="892"/>
      <c r="NQB9" s="892"/>
      <c r="NQC9" s="892"/>
      <c r="NQD9" s="892"/>
      <c r="NQE9" s="892"/>
      <c r="NQF9" s="892"/>
      <c r="NQG9" s="892"/>
      <c r="NQH9" s="892"/>
      <c r="NQI9" s="892"/>
      <c r="NQJ9" s="892"/>
      <c r="NQK9" s="892"/>
      <c r="NQL9" s="892"/>
      <c r="NQM9" s="892"/>
      <c r="NQN9" s="892"/>
      <c r="NQO9" s="892"/>
      <c r="NQP9" s="892"/>
      <c r="NQQ9" s="892"/>
      <c r="NQR9" s="892"/>
      <c r="NQS9" s="892"/>
      <c r="NQT9" s="892"/>
      <c r="NQU9" s="892"/>
      <c r="NQV9" s="892"/>
      <c r="NQW9" s="892"/>
      <c r="NQX9" s="892"/>
      <c r="NQY9" s="892"/>
      <c r="NQZ9" s="892"/>
      <c r="NRA9" s="892"/>
      <c r="NRB9" s="892"/>
      <c r="NRC9" s="892"/>
      <c r="NRD9" s="892"/>
      <c r="NRE9" s="892"/>
      <c r="NRF9" s="892"/>
      <c r="NRG9" s="892"/>
      <c r="NRH9" s="892"/>
      <c r="NRI9" s="892"/>
      <c r="NRJ9" s="892"/>
      <c r="NRK9" s="892"/>
      <c r="NRL9" s="892"/>
      <c r="NRM9" s="892"/>
      <c r="NRN9" s="892"/>
      <c r="NRO9" s="892"/>
      <c r="NRP9" s="892"/>
      <c r="NRQ9" s="892"/>
      <c r="NRR9" s="892"/>
      <c r="NRS9" s="892"/>
      <c r="NRT9" s="892"/>
      <c r="NRU9" s="892"/>
      <c r="NRV9" s="892"/>
      <c r="NRW9" s="892"/>
      <c r="NRX9" s="892"/>
      <c r="NRY9" s="892"/>
      <c r="NRZ9" s="892"/>
      <c r="NSA9" s="892"/>
      <c r="NSB9" s="892"/>
      <c r="NSC9" s="892"/>
      <c r="NSD9" s="892"/>
      <c r="NSE9" s="892"/>
      <c r="NSF9" s="892"/>
      <c r="NSG9" s="892"/>
      <c r="NSH9" s="892"/>
      <c r="NSI9" s="892"/>
      <c r="NSJ9" s="892"/>
      <c r="NSK9" s="892"/>
      <c r="NSL9" s="892"/>
      <c r="NSM9" s="892"/>
      <c r="NSN9" s="892"/>
      <c r="NSO9" s="892"/>
      <c r="NSP9" s="892"/>
      <c r="NSQ9" s="892"/>
      <c r="NSR9" s="892"/>
      <c r="NSS9" s="892"/>
      <c r="NST9" s="892"/>
      <c r="NSU9" s="892"/>
      <c r="NSV9" s="892"/>
      <c r="NSW9" s="892"/>
      <c r="NSX9" s="892"/>
      <c r="NSY9" s="892"/>
      <c r="NSZ9" s="892"/>
      <c r="NTA9" s="892"/>
      <c r="NTB9" s="892"/>
      <c r="NTC9" s="892"/>
      <c r="NTD9" s="892"/>
      <c r="NTE9" s="892"/>
      <c r="NTF9" s="892"/>
      <c r="NTG9" s="892"/>
      <c r="NTH9" s="892"/>
      <c r="NTI9" s="892"/>
      <c r="NTJ9" s="892"/>
      <c r="NTK9" s="892"/>
      <c r="NTL9" s="892"/>
      <c r="NTM9" s="892"/>
      <c r="NTN9" s="892"/>
      <c r="NTO9" s="892"/>
      <c r="NTP9" s="892"/>
      <c r="NTQ9" s="892"/>
      <c r="NTR9" s="892"/>
      <c r="NTS9" s="892"/>
      <c r="NTT9" s="892"/>
      <c r="NTU9" s="892"/>
      <c r="NTV9" s="892"/>
      <c r="NTW9" s="892"/>
      <c r="NTX9" s="892"/>
      <c r="NTY9" s="892"/>
      <c r="NTZ9" s="892"/>
      <c r="NUA9" s="892"/>
      <c r="NUB9" s="892"/>
      <c r="NUC9" s="892"/>
      <c r="NUD9" s="892"/>
      <c r="NUE9" s="892"/>
      <c r="NUF9" s="892"/>
      <c r="NUG9" s="892"/>
      <c r="NUH9" s="892"/>
      <c r="NUI9" s="892"/>
      <c r="NUJ9" s="892"/>
      <c r="NUK9" s="892"/>
      <c r="NUL9" s="892"/>
      <c r="NUM9" s="892"/>
      <c r="NUN9" s="892"/>
      <c r="NUO9" s="892"/>
      <c r="NUP9" s="892"/>
      <c r="NUQ9" s="892"/>
      <c r="NUR9" s="892"/>
      <c r="NUS9" s="892"/>
      <c r="NUT9" s="892"/>
      <c r="NUU9" s="892"/>
      <c r="NUV9" s="892"/>
      <c r="NUW9" s="892"/>
      <c r="NUX9" s="892"/>
      <c r="NUY9" s="892"/>
      <c r="NUZ9" s="892"/>
      <c r="NVA9" s="892"/>
      <c r="NVB9" s="892"/>
      <c r="NVC9" s="892"/>
      <c r="NVD9" s="892"/>
      <c r="NVE9" s="892"/>
      <c r="NVF9" s="892"/>
      <c r="NVG9" s="892"/>
      <c r="NVH9" s="892"/>
      <c r="NVI9" s="892"/>
      <c r="NVJ9" s="892"/>
      <c r="NVK9" s="892"/>
      <c r="NVL9" s="892"/>
      <c r="NVM9" s="892"/>
      <c r="NVN9" s="892"/>
      <c r="NVO9" s="892"/>
      <c r="NVP9" s="892"/>
      <c r="NVQ9" s="892"/>
      <c r="NVR9" s="892"/>
      <c r="NVS9" s="892"/>
      <c r="NVT9" s="892"/>
      <c r="NVU9" s="892"/>
      <c r="NVV9" s="892"/>
      <c r="NVW9" s="892"/>
      <c r="NVX9" s="892"/>
      <c r="NVY9" s="892"/>
      <c r="NVZ9" s="892"/>
      <c r="NWA9" s="892"/>
      <c r="NWB9" s="892"/>
      <c r="NWC9" s="892"/>
      <c r="NWD9" s="892"/>
      <c r="NWE9" s="892"/>
      <c r="NWF9" s="892"/>
      <c r="NWG9" s="892"/>
      <c r="NWH9" s="892"/>
      <c r="NWI9" s="892"/>
      <c r="NWJ9" s="892"/>
      <c r="NWK9" s="892"/>
      <c r="NWL9" s="892"/>
      <c r="NWM9" s="892"/>
      <c r="NWN9" s="892"/>
      <c r="NWO9" s="892"/>
      <c r="NWP9" s="892"/>
      <c r="NWQ9" s="892"/>
      <c r="NWR9" s="892"/>
      <c r="NWS9" s="892"/>
      <c r="NWT9" s="892"/>
      <c r="NWU9" s="892"/>
      <c r="NWV9" s="892"/>
      <c r="NWW9" s="892"/>
      <c r="NWX9" s="892"/>
      <c r="NWY9" s="892"/>
      <c r="NWZ9" s="892"/>
      <c r="NXA9" s="892"/>
      <c r="NXB9" s="892"/>
      <c r="NXC9" s="892"/>
      <c r="NXD9" s="892"/>
      <c r="NXE9" s="892"/>
      <c r="NXF9" s="892"/>
      <c r="NXG9" s="892"/>
      <c r="NXH9" s="892"/>
      <c r="NXI9" s="892"/>
      <c r="NXJ9" s="892"/>
      <c r="NXK9" s="892"/>
      <c r="NXL9" s="892"/>
      <c r="NXM9" s="892"/>
      <c r="NXN9" s="892"/>
      <c r="NXO9" s="892"/>
      <c r="NXP9" s="892"/>
      <c r="NXQ9" s="892"/>
      <c r="NXR9" s="892"/>
      <c r="NXS9" s="892"/>
      <c r="NXT9" s="892"/>
      <c r="NXU9" s="892"/>
      <c r="NXV9" s="892"/>
      <c r="NXW9" s="892"/>
      <c r="NXX9" s="892"/>
      <c r="NXY9" s="892"/>
      <c r="NXZ9" s="892"/>
      <c r="NYA9" s="892"/>
      <c r="NYB9" s="892"/>
      <c r="NYC9" s="892"/>
      <c r="NYD9" s="892"/>
      <c r="NYE9" s="892"/>
      <c r="NYF9" s="892"/>
      <c r="NYG9" s="892"/>
      <c r="NYH9" s="892"/>
      <c r="NYI9" s="892"/>
      <c r="NYJ9" s="892"/>
      <c r="NYK9" s="892"/>
      <c r="NYL9" s="892"/>
      <c r="NYM9" s="892"/>
      <c r="NYN9" s="892"/>
      <c r="NYO9" s="892"/>
      <c r="NYP9" s="892"/>
      <c r="NYQ9" s="892"/>
      <c r="NYR9" s="892"/>
      <c r="NYS9" s="892"/>
      <c r="NYT9" s="892"/>
      <c r="NYU9" s="892"/>
      <c r="NYV9" s="892"/>
      <c r="NYW9" s="892"/>
      <c r="NYX9" s="892"/>
      <c r="NYY9" s="892"/>
      <c r="NYZ9" s="892"/>
      <c r="NZA9" s="892"/>
      <c r="NZB9" s="892"/>
      <c r="NZC9" s="892"/>
      <c r="NZD9" s="892"/>
      <c r="NZE9" s="892"/>
      <c r="NZF9" s="892"/>
      <c r="NZG9" s="892"/>
      <c r="NZH9" s="892"/>
      <c r="NZI9" s="892"/>
      <c r="NZJ9" s="892"/>
      <c r="NZK9" s="892"/>
      <c r="NZL9" s="892"/>
      <c r="NZM9" s="892"/>
      <c r="NZN9" s="892"/>
      <c r="NZO9" s="892"/>
      <c r="NZP9" s="892"/>
      <c r="NZQ9" s="892"/>
      <c r="NZR9" s="892"/>
      <c r="NZS9" s="892"/>
      <c r="NZT9" s="892"/>
      <c r="NZU9" s="892"/>
      <c r="NZV9" s="892"/>
      <c r="NZW9" s="892"/>
      <c r="NZX9" s="892"/>
      <c r="NZY9" s="892"/>
      <c r="NZZ9" s="892"/>
      <c r="OAA9" s="892"/>
      <c r="OAB9" s="892"/>
      <c r="OAC9" s="892"/>
      <c r="OAD9" s="892"/>
      <c r="OAE9" s="892"/>
      <c r="OAF9" s="892"/>
      <c r="OAG9" s="892"/>
      <c r="OAH9" s="892"/>
      <c r="OAI9" s="892"/>
      <c r="OAJ9" s="892"/>
      <c r="OAK9" s="892"/>
      <c r="OAL9" s="892"/>
      <c r="OAM9" s="892"/>
      <c r="OAN9" s="892"/>
      <c r="OAO9" s="892"/>
      <c r="OAP9" s="892"/>
      <c r="OAQ9" s="892"/>
      <c r="OAR9" s="892"/>
      <c r="OAS9" s="892"/>
      <c r="OAT9" s="892"/>
      <c r="OAU9" s="892"/>
      <c r="OAV9" s="892"/>
      <c r="OAW9" s="892"/>
      <c r="OAX9" s="892"/>
      <c r="OAY9" s="892"/>
      <c r="OAZ9" s="892"/>
      <c r="OBA9" s="892"/>
      <c r="OBB9" s="892"/>
      <c r="OBC9" s="892"/>
      <c r="OBD9" s="892"/>
      <c r="OBE9" s="892"/>
      <c r="OBF9" s="892"/>
      <c r="OBG9" s="892"/>
      <c r="OBH9" s="892"/>
      <c r="OBI9" s="892"/>
      <c r="OBJ9" s="892"/>
      <c r="OBK9" s="892"/>
      <c r="OBL9" s="892"/>
      <c r="OBM9" s="892"/>
      <c r="OBN9" s="892"/>
      <c r="OBO9" s="892"/>
      <c r="OBP9" s="892"/>
      <c r="OBQ9" s="892"/>
      <c r="OBR9" s="892"/>
      <c r="OBS9" s="892"/>
      <c r="OBT9" s="892"/>
      <c r="OBU9" s="892"/>
      <c r="OBV9" s="892"/>
      <c r="OBW9" s="892"/>
      <c r="OBX9" s="892"/>
      <c r="OBY9" s="892"/>
      <c r="OBZ9" s="892"/>
      <c r="OCA9" s="892"/>
      <c r="OCB9" s="892"/>
      <c r="OCC9" s="892"/>
      <c r="OCD9" s="892"/>
      <c r="OCE9" s="892"/>
      <c r="OCF9" s="892"/>
      <c r="OCG9" s="892"/>
      <c r="OCH9" s="892"/>
      <c r="OCI9" s="892"/>
      <c r="OCJ9" s="892"/>
      <c r="OCK9" s="892"/>
      <c r="OCL9" s="892"/>
      <c r="OCM9" s="892"/>
      <c r="OCN9" s="892"/>
      <c r="OCO9" s="892"/>
      <c r="OCP9" s="892"/>
      <c r="OCQ9" s="892"/>
      <c r="OCR9" s="892"/>
      <c r="OCS9" s="892"/>
      <c r="OCT9" s="892"/>
      <c r="OCU9" s="892"/>
      <c r="OCV9" s="892"/>
      <c r="OCW9" s="892"/>
      <c r="OCX9" s="892"/>
      <c r="OCY9" s="892"/>
      <c r="OCZ9" s="892"/>
      <c r="ODA9" s="892"/>
      <c r="ODB9" s="892"/>
      <c r="ODC9" s="892"/>
      <c r="ODD9" s="892"/>
      <c r="ODE9" s="892"/>
      <c r="ODF9" s="892"/>
      <c r="ODG9" s="892"/>
      <c r="ODH9" s="892"/>
      <c r="ODI9" s="892"/>
      <c r="ODJ9" s="892"/>
      <c r="ODK9" s="892"/>
      <c r="ODL9" s="892"/>
      <c r="ODM9" s="892"/>
      <c r="ODN9" s="892"/>
      <c r="ODO9" s="892"/>
      <c r="ODP9" s="892"/>
      <c r="ODQ9" s="892"/>
      <c r="ODR9" s="892"/>
      <c r="ODS9" s="892"/>
      <c r="ODT9" s="892"/>
      <c r="ODU9" s="892"/>
      <c r="ODV9" s="892"/>
      <c r="ODW9" s="892"/>
      <c r="ODX9" s="892"/>
      <c r="ODY9" s="892"/>
      <c r="ODZ9" s="892"/>
      <c r="OEA9" s="892"/>
      <c r="OEB9" s="892"/>
      <c r="OEC9" s="892"/>
      <c r="OED9" s="892"/>
      <c r="OEE9" s="892"/>
      <c r="OEF9" s="892"/>
      <c r="OEG9" s="892"/>
      <c r="OEH9" s="892"/>
      <c r="OEI9" s="892"/>
      <c r="OEJ9" s="892"/>
      <c r="OEK9" s="892"/>
      <c r="OEL9" s="892"/>
      <c r="OEM9" s="892"/>
      <c r="OEN9" s="892"/>
      <c r="OEO9" s="892"/>
      <c r="OEP9" s="892"/>
      <c r="OEQ9" s="892"/>
      <c r="OER9" s="892"/>
      <c r="OES9" s="892"/>
      <c r="OET9" s="892"/>
      <c r="OEU9" s="892"/>
      <c r="OEV9" s="892"/>
      <c r="OEW9" s="892"/>
      <c r="OEX9" s="892"/>
      <c r="OEY9" s="892"/>
      <c r="OEZ9" s="892"/>
      <c r="OFA9" s="892"/>
      <c r="OFB9" s="892"/>
      <c r="OFC9" s="892"/>
      <c r="OFD9" s="892"/>
      <c r="OFE9" s="892"/>
      <c r="OFF9" s="892"/>
      <c r="OFG9" s="892"/>
      <c r="OFH9" s="892"/>
      <c r="OFI9" s="892"/>
      <c r="OFJ9" s="892"/>
      <c r="OFK9" s="892"/>
      <c r="OFL9" s="892"/>
      <c r="OFM9" s="892"/>
      <c r="OFN9" s="892"/>
      <c r="OFO9" s="892"/>
      <c r="OFP9" s="892"/>
      <c r="OFQ9" s="892"/>
      <c r="OFR9" s="892"/>
      <c r="OFS9" s="892"/>
      <c r="OFT9" s="892"/>
      <c r="OFU9" s="892"/>
      <c r="OFV9" s="892"/>
      <c r="OFW9" s="892"/>
      <c r="OFX9" s="892"/>
      <c r="OFY9" s="892"/>
      <c r="OFZ9" s="892"/>
      <c r="OGA9" s="892"/>
      <c r="OGB9" s="892"/>
      <c r="OGC9" s="892"/>
      <c r="OGD9" s="892"/>
      <c r="OGE9" s="892"/>
      <c r="OGF9" s="892"/>
      <c r="OGG9" s="892"/>
      <c r="OGH9" s="892"/>
      <c r="OGI9" s="892"/>
      <c r="OGJ9" s="892"/>
      <c r="OGK9" s="892"/>
      <c r="OGL9" s="892"/>
      <c r="OGM9" s="892"/>
      <c r="OGN9" s="892"/>
      <c r="OGO9" s="892"/>
      <c r="OGP9" s="892"/>
      <c r="OGQ9" s="892"/>
      <c r="OGR9" s="892"/>
      <c r="OGS9" s="892"/>
      <c r="OGT9" s="892"/>
      <c r="OGU9" s="892"/>
      <c r="OGV9" s="892"/>
      <c r="OGW9" s="892"/>
      <c r="OGX9" s="892"/>
      <c r="OGY9" s="892"/>
      <c r="OGZ9" s="892"/>
      <c r="OHA9" s="892"/>
      <c r="OHB9" s="892"/>
      <c r="OHC9" s="892"/>
      <c r="OHD9" s="892"/>
      <c r="OHE9" s="892"/>
      <c r="OHF9" s="892"/>
      <c r="OHG9" s="892"/>
      <c r="OHH9" s="892"/>
      <c r="OHI9" s="892"/>
      <c r="OHJ9" s="892"/>
      <c r="OHK9" s="892"/>
      <c r="OHL9" s="892"/>
      <c r="OHM9" s="892"/>
      <c r="OHN9" s="892"/>
      <c r="OHO9" s="892"/>
      <c r="OHP9" s="892"/>
      <c r="OHQ9" s="892"/>
      <c r="OHR9" s="892"/>
      <c r="OHS9" s="892"/>
      <c r="OHT9" s="892"/>
      <c r="OHU9" s="892"/>
      <c r="OHV9" s="892"/>
      <c r="OHW9" s="892"/>
      <c r="OHX9" s="892"/>
      <c r="OHY9" s="892"/>
      <c r="OHZ9" s="892"/>
      <c r="OIA9" s="892"/>
      <c r="OIB9" s="892"/>
      <c r="OIC9" s="892"/>
      <c r="OID9" s="892"/>
      <c r="OIE9" s="892"/>
      <c r="OIF9" s="892"/>
      <c r="OIG9" s="892"/>
      <c r="OIH9" s="892"/>
      <c r="OII9" s="892"/>
      <c r="OIJ9" s="892"/>
      <c r="OIK9" s="892"/>
      <c r="OIL9" s="892"/>
      <c r="OIM9" s="892"/>
      <c r="OIN9" s="892"/>
      <c r="OIO9" s="892"/>
      <c r="OIP9" s="892"/>
      <c r="OIQ9" s="892"/>
      <c r="OIR9" s="892"/>
      <c r="OIS9" s="892"/>
      <c r="OIT9" s="892"/>
      <c r="OIU9" s="892"/>
      <c r="OIV9" s="892"/>
      <c r="OIW9" s="892"/>
      <c r="OIX9" s="892"/>
      <c r="OIY9" s="892"/>
      <c r="OIZ9" s="892"/>
      <c r="OJA9" s="892"/>
      <c r="OJB9" s="892"/>
      <c r="OJC9" s="892"/>
      <c r="OJD9" s="892"/>
      <c r="OJE9" s="892"/>
      <c r="OJF9" s="892"/>
      <c r="OJG9" s="892"/>
      <c r="OJH9" s="892"/>
      <c r="OJI9" s="892"/>
      <c r="OJJ9" s="892"/>
      <c r="OJK9" s="892"/>
      <c r="OJL9" s="892"/>
      <c r="OJM9" s="892"/>
      <c r="OJN9" s="892"/>
      <c r="OJO9" s="892"/>
      <c r="OJP9" s="892"/>
      <c r="OJQ9" s="892"/>
      <c r="OJR9" s="892"/>
      <c r="OJS9" s="892"/>
      <c r="OJT9" s="892"/>
      <c r="OJU9" s="892"/>
      <c r="OJV9" s="892"/>
      <c r="OJW9" s="892"/>
      <c r="OJX9" s="892"/>
      <c r="OJY9" s="892"/>
      <c r="OJZ9" s="892"/>
      <c r="OKA9" s="892"/>
      <c r="OKB9" s="892"/>
      <c r="OKC9" s="892"/>
      <c r="OKD9" s="892"/>
      <c r="OKE9" s="892"/>
      <c r="OKF9" s="892"/>
      <c r="OKG9" s="892"/>
      <c r="OKH9" s="892"/>
      <c r="OKI9" s="892"/>
      <c r="OKJ9" s="892"/>
      <c r="OKK9" s="892"/>
      <c r="OKL9" s="892"/>
      <c r="OKM9" s="892"/>
      <c r="OKN9" s="892"/>
      <c r="OKO9" s="892"/>
      <c r="OKP9" s="892"/>
      <c r="OKQ9" s="892"/>
      <c r="OKR9" s="892"/>
      <c r="OKS9" s="892"/>
      <c r="OKT9" s="892"/>
      <c r="OKU9" s="892"/>
      <c r="OKV9" s="892"/>
      <c r="OKW9" s="892"/>
      <c r="OKX9" s="892"/>
      <c r="OKY9" s="892"/>
      <c r="OKZ9" s="892"/>
      <c r="OLA9" s="892"/>
      <c r="OLB9" s="892"/>
      <c r="OLC9" s="892"/>
      <c r="OLD9" s="892"/>
      <c r="OLE9" s="892"/>
      <c r="OLF9" s="892"/>
      <c r="OLG9" s="892"/>
      <c r="OLH9" s="892"/>
      <c r="OLI9" s="892"/>
      <c r="OLJ9" s="892"/>
      <c r="OLK9" s="892"/>
      <c r="OLL9" s="892"/>
      <c r="OLM9" s="892"/>
      <c r="OLN9" s="892"/>
      <c r="OLO9" s="892"/>
      <c r="OLP9" s="892"/>
      <c r="OLQ9" s="892"/>
      <c r="OLR9" s="892"/>
      <c r="OLS9" s="892"/>
      <c r="OLT9" s="892"/>
      <c r="OLU9" s="892"/>
      <c r="OLV9" s="892"/>
      <c r="OLW9" s="892"/>
      <c r="OLX9" s="892"/>
      <c r="OLY9" s="892"/>
      <c r="OLZ9" s="892"/>
      <c r="OMA9" s="892"/>
      <c r="OMB9" s="892"/>
      <c r="OMC9" s="892"/>
      <c r="OMD9" s="892"/>
      <c r="OME9" s="892"/>
      <c r="OMF9" s="892"/>
      <c r="OMG9" s="892"/>
      <c r="OMH9" s="892"/>
      <c r="OMI9" s="892"/>
      <c r="OMJ9" s="892"/>
      <c r="OMK9" s="892"/>
      <c r="OML9" s="892"/>
      <c r="OMM9" s="892"/>
      <c r="OMN9" s="892"/>
      <c r="OMO9" s="892"/>
      <c r="OMP9" s="892"/>
      <c r="OMQ9" s="892"/>
      <c r="OMR9" s="892"/>
      <c r="OMS9" s="892"/>
      <c r="OMT9" s="892"/>
      <c r="OMU9" s="892"/>
      <c r="OMV9" s="892"/>
      <c r="OMW9" s="892"/>
      <c r="OMX9" s="892"/>
      <c r="OMY9" s="892"/>
      <c r="OMZ9" s="892"/>
      <c r="ONA9" s="892"/>
      <c r="ONB9" s="892"/>
      <c r="ONC9" s="892"/>
      <c r="OND9" s="892"/>
      <c r="ONE9" s="892"/>
      <c r="ONF9" s="892"/>
      <c r="ONG9" s="892"/>
      <c r="ONH9" s="892"/>
      <c r="ONI9" s="892"/>
      <c r="ONJ9" s="892"/>
      <c r="ONK9" s="892"/>
      <c r="ONL9" s="892"/>
      <c r="ONM9" s="892"/>
      <c r="ONN9" s="892"/>
      <c r="ONO9" s="892"/>
      <c r="ONP9" s="892"/>
      <c r="ONQ9" s="892"/>
      <c r="ONR9" s="892"/>
      <c r="ONS9" s="892"/>
      <c r="ONT9" s="892"/>
      <c r="ONU9" s="892"/>
      <c r="ONV9" s="892"/>
      <c r="ONW9" s="892"/>
      <c r="ONX9" s="892"/>
      <c r="ONY9" s="892"/>
      <c r="ONZ9" s="892"/>
      <c r="OOA9" s="892"/>
      <c r="OOB9" s="892"/>
      <c r="OOC9" s="892"/>
      <c r="OOD9" s="892"/>
      <c r="OOE9" s="892"/>
      <c r="OOF9" s="892"/>
      <c r="OOG9" s="892"/>
      <c r="OOH9" s="892"/>
      <c r="OOI9" s="892"/>
      <c r="OOJ9" s="892"/>
      <c r="OOK9" s="892"/>
      <c r="OOL9" s="892"/>
      <c r="OOM9" s="892"/>
      <c r="OON9" s="892"/>
      <c r="OOO9" s="892"/>
      <c r="OOP9" s="892"/>
      <c r="OOQ9" s="892"/>
      <c r="OOR9" s="892"/>
      <c r="OOS9" s="892"/>
      <c r="OOT9" s="892"/>
      <c r="OOU9" s="892"/>
      <c r="OOV9" s="892"/>
      <c r="OOW9" s="892"/>
      <c r="OOX9" s="892"/>
      <c r="OOY9" s="892"/>
      <c r="OOZ9" s="892"/>
      <c r="OPA9" s="892"/>
      <c r="OPB9" s="892"/>
      <c r="OPC9" s="892"/>
      <c r="OPD9" s="892"/>
      <c r="OPE9" s="892"/>
      <c r="OPF9" s="892"/>
      <c r="OPG9" s="892"/>
      <c r="OPH9" s="892"/>
      <c r="OPI9" s="892"/>
      <c r="OPJ9" s="892"/>
      <c r="OPK9" s="892"/>
      <c r="OPL9" s="892"/>
      <c r="OPM9" s="892"/>
      <c r="OPN9" s="892"/>
      <c r="OPO9" s="892"/>
      <c r="OPP9" s="892"/>
      <c r="OPQ9" s="892"/>
      <c r="OPR9" s="892"/>
      <c r="OPS9" s="892"/>
      <c r="OPT9" s="892"/>
      <c r="OPU9" s="892"/>
      <c r="OPV9" s="892"/>
      <c r="OPW9" s="892"/>
      <c r="OPX9" s="892"/>
      <c r="OPY9" s="892"/>
      <c r="OPZ9" s="892"/>
      <c r="OQA9" s="892"/>
      <c r="OQB9" s="892"/>
      <c r="OQC9" s="892"/>
      <c r="OQD9" s="892"/>
      <c r="OQE9" s="892"/>
      <c r="OQF9" s="892"/>
      <c r="OQG9" s="892"/>
      <c r="OQH9" s="892"/>
      <c r="OQI9" s="892"/>
      <c r="OQJ9" s="892"/>
      <c r="OQK9" s="892"/>
      <c r="OQL9" s="892"/>
      <c r="OQM9" s="892"/>
      <c r="OQN9" s="892"/>
      <c r="OQO9" s="892"/>
      <c r="OQP9" s="892"/>
      <c r="OQQ9" s="892"/>
      <c r="OQR9" s="892"/>
      <c r="OQS9" s="892"/>
      <c r="OQT9" s="892"/>
      <c r="OQU9" s="892"/>
      <c r="OQV9" s="892"/>
      <c r="OQW9" s="892"/>
      <c r="OQX9" s="892"/>
      <c r="OQY9" s="892"/>
      <c r="OQZ9" s="892"/>
      <c r="ORA9" s="892"/>
      <c r="ORB9" s="892"/>
      <c r="ORC9" s="892"/>
      <c r="ORD9" s="892"/>
      <c r="ORE9" s="892"/>
      <c r="ORF9" s="892"/>
      <c r="ORG9" s="892"/>
      <c r="ORH9" s="892"/>
      <c r="ORI9" s="892"/>
      <c r="ORJ9" s="892"/>
      <c r="ORK9" s="892"/>
      <c r="ORL9" s="892"/>
      <c r="ORM9" s="892"/>
      <c r="ORN9" s="892"/>
      <c r="ORO9" s="892"/>
      <c r="ORP9" s="892"/>
      <c r="ORQ9" s="892"/>
      <c r="ORR9" s="892"/>
      <c r="ORS9" s="892"/>
      <c r="ORT9" s="892"/>
      <c r="ORU9" s="892"/>
      <c r="ORV9" s="892"/>
      <c r="ORW9" s="892"/>
      <c r="ORX9" s="892"/>
      <c r="ORY9" s="892"/>
      <c r="ORZ9" s="892"/>
      <c r="OSA9" s="892"/>
      <c r="OSB9" s="892"/>
      <c r="OSC9" s="892"/>
      <c r="OSD9" s="892"/>
      <c r="OSE9" s="892"/>
      <c r="OSF9" s="892"/>
      <c r="OSG9" s="892"/>
      <c r="OSH9" s="892"/>
      <c r="OSI9" s="892"/>
      <c r="OSJ9" s="892"/>
      <c r="OSK9" s="892"/>
      <c r="OSL9" s="892"/>
      <c r="OSM9" s="892"/>
      <c r="OSN9" s="892"/>
      <c r="OSO9" s="892"/>
      <c r="OSP9" s="892"/>
      <c r="OSQ9" s="892"/>
      <c r="OSR9" s="892"/>
      <c r="OSS9" s="892"/>
      <c r="OST9" s="892"/>
      <c r="OSU9" s="892"/>
      <c r="OSV9" s="892"/>
      <c r="OSW9" s="892"/>
      <c r="OSX9" s="892"/>
      <c r="OSY9" s="892"/>
      <c r="OSZ9" s="892"/>
      <c r="OTA9" s="892"/>
      <c r="OTB9" s="892"/>
      <c r="OTC9" s="892"/>
      <c r="OTD9" s="892"/>
      <c r="OTE9" s="892"/>
      <c r="OTF9" s="892"/>
      <c r="OTG9" s="892"/>
      <c r="OTH9" s="892"/>
      <c r="OTI9" s="892"/>
      <c r="OTJ9" s="892"/>
      <c r="OTK9" s="892"/>
      <c r="OTL9" s="892"/>
      <c r="OTM9" s="892"/>
      <c r="OTN9" s="892"/>
      <c r="OTO9" s="892"/>
      <c r="OTP9" s="892"/>
      <c r="OTQ9" s="892"/>
      <c r="OTR9" s="892"/>
      <c r="OTS9" s="892"/>
      <c r="OTT9" s="892"/>
      <c r="OTU9" s="892"/>
      <c r="OTV9" s="892"/>
      <c r="OTW9" s="892"/>
      <c r="OTX9" s="892"/>
      <c r="OTY9" s="892"/>
      <c r="OTZ9" s="892"/>
      <c r="OUA9" s="892"/>
      <c r="OUB9" s="892"/>
      <c r="OUC9" s="892"/>
      <c r="OUD9" s="892"/>
      <c r="OUE9" s="892"/>
      <c r="OUF9" s="892"/>
      <c r="OUG9" s="892"/>
      <c r="OUH9" s="892"/>
      <c r="OUI9" s="892"/>
      <c r="OUJ9" s="892"/>
      <c r="OUK9" s="892"/>
      <c r="OUL9" s="892"/>
      <c r="OUM9" s="892"/>
      <c r="OUN9" s="892"/>
      <c r="OUO9" s="892"/>
      <c r="OUP9" s="892"/>
      <c r="OUQ9" s="892"/>
      <c r="OUR9" s="892"/>
      <c r="OUS9" s="892"/>
      <c r="OUT9" s="892"/>
      <c r="OUU9" s="892"/>
      <c r="OUV9" s="892"/>
      <c r="OUW9" s="892"/>
      <c r="OUX9" s="892"/>
      <c r="OUY9" s="892"/>
      <c r="OUZ9" s="892"/>
      <c r="OVA9" s="892"/>
      <c r="OVB9" s="892"/>
      <c r="OVC9" s="892"/>
      <c r="OVD9" s="892"/>
      <c r="OVE9" s="892"/>
      <c r="OVF9" s="892"/>
      <c r="OVG9" s="892"/>
      <c r="OVH9" s="892"/>
      <c r="OVI9" s="892"/>
      <c r="OVJ9" s="892"/>
      <c r="OVK9" s="892"/>
      <c r="OVL9" s="892"/>
      <c r="OVM9" s="892"/>
      <c r="OVN9" s="892"/>
      <c r="OVO9" s="892"/>
      <c r="OVP9" s="892"/>
      <c r="OVQ9" s="892"/>
      <c r="OVR9" s="892"/>
      <c r="OVS9" s="892"/>
      <c r="OVT9" s="892"/>
      <c r="OVU9" s="892"/>
      <c r="OVV9" s="892"/>
      <c r="OVW9" s="892"/>
      <c r="OVX9" s="892"/>
      <c r="OVY9" s="892"/>
      <c r="OVZ9" s="892"/>
      <c r="OWA9" s="892"/>
      <c r="OWB9" s="892"/>
      <c r="OWC9" s="892"/>
      <c r="OWD9" s="892"/>
      <c r="OWE9" s="892"/>
      <c r="OWF9" s="892"/>
      <c r="OWG9" s="892"/>
      <c r="OWH9" s="892"/>
      <c r="OWI9" s="892"/>
      <c r="OWJ9" s="892"/>
      <c r="OWK9" s="892"/>
      <c r="OWL9" s="892"/>
      <c r="OWM9" s="892"/>
      <c r="OWN9" s="892"/>
      <c r="OWO9" s="892"/>
      <c r="OWP9" s="892"/>
      <c r="OWQ9" s="892"/>
      <c r="OWR9" s="892"/>
      <c r="OWS9" s="892"/>
      <c r="OWT9" s="892"/>
      <c r="OWU9" s="892"/>
      <c r="OWV9" s="892"/>
      <c r="OWW9" s="892"/>
      <c r="OWX9" s="892"/>
      <c r="OWY9" s="892"/>
      <c r="OWZ9" s="892"/>
      <c r="OXA9" s="892"/>
      <c r="OXB9" s="892"/>
      <c r="OXC9" s="892"/>
      <c r="OXD9" s="892"/>
      <c r="OXE9" s="892"/>
      <c r="OXF9" s="892"/>
      <c r="OXG9" s="892"/>
      <c r="OXH9" s="892"/>
      <c r="OXI9" s="892"/>
      <c r="OXJ9" s="892"/>
      <c r="OXK9" s="892"/>
      <c r="OXL9" s="892"/>
      <c r="OXM9" s="892"/>
      <c r="OXN9" s="892"/>
      <c r="OXO9" s="892"/>
      <c r="OXP9" s="892"/>
      <c r="OXQ9" s="892"/>
      <c r="OXR9" s="892"/>
      <c r="OXS9" s="892"/>
      <c r="OXT9" s="892"/>
      <c r="OXU9" s="892"/>
      <c r="OXV9" s="892"/>
      <c r="OXW9" s="892"/>
      <c r="OXX9" s="892"/>
      <c r="OXY9" s="892"/>
      <c r="OXZ9" s="892"/>
      <c r="OYA9" s="892"/>
      <c r="OYB9" s="892"/>
      <c r="OYC9" s="892"/>
      <c r="OYD9" s="892"/>
      <c r="OYE9" s="892"/>
      <c r="OYF9" s="892"/>
      <c r="OYG9" s="892"/>
      <c r="OYH9" s="892"/>
      <c r="OYI9" s="892"/>
      <c r="OYJ9" s="892"/>
      <c r="OYK9" s="892"/>
      <c r="OYL9" s="892"/>
      <c r="OYM9" s="892"/>
      <c r="OYN9" s="892"/>
      <c r="OYO9" s="892"/>
      <c r="OYP9" s="892"/>
      <c r="OYQ9" s="892"/>
      <c r="OYR9" s="892"/>
      <c r="OYS9" s="892"/>
      <c r="OYT9" s="892"/>
      <c r="OYU9" s="892"/>
      <c r="OYV9" s="892"/>
      <c r="OYW9" s="892"/>
      <c r="OYX9" s="892"/>
      <c r="OYY9" s="892"/>
      <c r="OYZ9" s="892"/>
      <c r="OZA9" s="892"/>
      <c r="OZB9" s="892"/>
      <c r="OZC9" s="892"/>
      <c r="OZD9" s="892"/>
      <c r="OZE9" s="892"/>
      <c r="OZF9" s="892"/>
      <c r="OZG9" s="892"/>
      <c r="OZH9" s="892"/>
      <c r="OZI9" s="892"/>
      <c r="OZJ9" s="892"/>
      <c r="OZK9" s="892"/>
      <c r="OZL9" s="892"/>
      <c r="OZM9" s="892"/>
      <c r="OZN9" s="892"/>
      <c r="OZO9" s="892"/>
      <c r="OZP9" s="892"/>
      <c r="OZQ9" s="892"/>
      <c r="OZR9" s="892"/>
      <c r="OZS9" s="892"/>
      <c r="OZT9" s="892"/>
      <c r="OZU9" s="892"/>
      <c r="OZV9" s="892"/>
      <c r="OZW9" s="892"/>
      <c r="OZX9" s="892"/>
      <c r="OZY9" s="892"/>
      <c r="OZZ9" s="892"/>
      <c r="PAA9" s="892"/>
      <c r="PAB9" s="892"/>
      <c r="PAC9" s="892"/>
      <c r="PAD9" s="892"/>
      <c r="PAE9" s="892"/>
      <c r="PAF9" s="892"/>
      <c r="PAG9" s="892"/>
      <c r="PAH9" s="892"/>
      <c r="PAI9" s="892"/>
      <c r="PAJ9" s="892"/>
      <c r="PAK9" s="892"/>
      <c r="PAL9" s="892"/>
      <c r="PAM9" s="892"/>
      <c r="PAN9" s="892"/>
      <c r="PAO9" s="892"/>
      <c r="PAP9" s="892"/>
      <c r="PAQ9" s="892"/>
      <c r="PAR9" s="892"/>
      <c r="PAS9" s="892"/>
      <c r="PAT9" s="892"/>
      <c r="PAU9" s="892"/>
      <c r="PAV9" s="892"/>
      <c r="PAW9" s="892"/>
      <c r="PAX9" s="892"/>
      <c r="PAY9" s="892"/>
      <c r="PAZ9" s="892"/>
      <c r="PBA9" s="892"/>
      <c r="PBB9" s="892"/>
      <c r="PBC9" s="892"/>
      <c r="PBD9" s="892"/>
      <c r="PBE9" s="892"/>
      <c r="PBF9" s="892"/>
      <c r="PBG9" s="892"/>
      <c r="PBH9" s="892"/>
      <c r="PBI9" s="892"/>
      <c r="PBJ9" s="892"/>
      <c r="PBK9" s="892"/>
      <c r="PBL9" s="892"/>
      <c r="PBM9" s="892"/>
      <c r="PBN9" s="892"/>
      <c r="PBO9" s="892"/>
      <c r="PBP9" s="892"/>
      <c r="PBQ9" s="892"/>
      <c r="PBR9" s="892"/>
      <c r="PBS9" s="892"/>
      <c r="PBT9" s="892"/>
      <c r="PBU9" s="892"/>
      <c r="PBV9" s="892"/>
      <c r="PBW9" s="892"/>
      <c r="PBX9" s="892"/>
      <c r="PBY9" s="892"/>
      <c r="PBZ9" s="892"/>
      <c r="PCA9" s="892"/>
      <c r="PCB9" s="892"/>
      <c r="PCC9" s="892"/>
      <c r="PCD9" s="892"/>
      <c r="PCE9" s="892"/>
      <c r="PCF9" s="892"/>
      <c r="PCG9" s="892"/>
      <c r="PCH9" s="892"/>
      <c r="PCI9" s="892"/>
      <c r="PCJ9" s="892"/>
      <c r="PCK9" s="892"/>
      <c r="PCL9" s="892"/>
      <c r="PCM9" s="892"/>
      <c r="PCN9" s="892"/>
      <c r="PCO9" s="892"/>
      <c r="PCP9" s="892"/>
      <c r="PCQ9" s="892"/>
      <c r="PCR9" s="892"/>
      <c r="PCS9" s="892"/>
      <c r="PCT9" s="892"/>
      <c r="PCU9" s="892"/>
      <c r="PCV9" s="892"/>
      <c r="PCW9" s="892"/>
      <c r="PCX9" s="892"/>
      <c r="PCY9" s="892"/>
      <c r="PCZ9" s="892"/>
      <c r="PDA9" s="892"/>
      <c r="PDB9" s="892"/>
      <c r="PDC9" s="892"/>
      <c r="PDD9" s="892"/>
      <c r="PDE9" s="892"/>
      <c r="PDF9" s="892"/>
      <c r="PDG9" s="892"/>
      <c r="PDH9" s="892"/>
      <c r="PDI9" s="892"/>
      <c r="PDJ9" s="892"/>
      <c r="PDK9" s="892"/>
      <c r="PDL9" s="892"/>
      <c r="PDM9" s="892"/>
      <c r="PDN9" s="892"/>
      <c r="PDO9" s="892"/>
      <c r="PDP9" s="892"/>
      <c r="PDQ9" s="892"/>
      <c r="PDR9" s="892"/>
      <c r="PDS9" s="892"/>
      <c r="PDT9" s="892"/>
      <c r="PDU9" s="892"/>
      <c r="PDV9" s="892"/>
      <c r="PDW9" s="892"/>
      <c r="PDX9" s="892"/>
      <c r="PDY9" s="892"/>
      <c r="PDZ9" s="892"/>
      <c r="PEA9" s="892"/>
      <c r="PEB9" s="892"/>
      <c r="PEC9" s="892"/>
      <c r="PED9" s="892"/>
      <c r="PEE9" s="892"/>
      <c r="PEF9" s="892"/>
      <c r="PEG9" s="892"/>
      <c r="PEH9" s="892"/>
      <c r="PEI9" s="892"/>
      <c r="PEJ9" s="892"/>
      <c r="PEK9" s="892"/>
      <c r="PEL9" s="892"/>
      <c r="PEM9" s="892"/>
      <c r="PEN9" s="892"/>
      <c r="PEO9" s="892"/>
      <c r="PEP9" s="892"/>
      <c r="PEQ9" s="892"/>
      <c r="PER9" s="892"/>
      <c r="PES9" s="892"/>
      <c r="PET9" s="892"/>
      <c r="PEU9" s="892"/>
      <c r="PEV9" s="892"/>
      <c r="PEW9" s="892"/>
      <c r="PEX9" s="892"/>
      <c r="PEY9" s="892"/>
      <c r="PEZ9" s="892"/>
      <c r="PFA9" s="892"/>
      <c r="PFB9" s="892"/>
      <c r="PFC9" s="892"/>
      <c r="PFD9" s="892"/>
      <c r="PFE9" s="892"/>
      <c r="PFF9" s="892"/>
      <c r="PFG9" s="892"/>
      <c r="PFH9" s="892"/>
      <c r="PFI9" s="892"/>
      <c r="PFJ9" s="892"/>
      <c r="PFK9" s="892"/>
      <c r="PFL9" s="892"/>
      <c r="PFM9" s="892"/>
      <c r="PFN9" s="892"/>
      <c r="PFO9" s="892"/>
      <c r="PFP9" s="892"/>
      <c r="PFQ9" s="892"/>
      <c r="PFR9" s="892"/>
      <c r="PFS9" s="892"/>
      <c r="PFT9" s="892"/>
      <c r="PFU9" s="892"/>
      <c r="PFV9" s="892"/>
      <c r="PFW9" s="892"/>
      <c r="PFX9" s="892"/>
      <c r="PFY9" s="892"/>
      <c r="PFZ9" s="892"/>
      <c r="PGA9" s="892"/>
      <c r="PGB9" s="892"/>
      <c r="PGC9" s="892"/>
      <c r="PGD9" s="892"/>
      <c r="PGE9" s="892"/>
      <c r="PGF9" s="892"/>
      <c r="PGG9" s="892"/>
      <c r="PGH9" s="892"/>
      <c r="PGI9" s="892"/>
      <c r="PGJ9" s="892"/>
      <c r="PGK9" s="892"/>
      <c r="PGL9" s="892"/>
      <c r="PGM9" s="892"/>
      <c r="PGN9" s="892"/>
      <c r="PGO9" s="892"/>
      <c r="PGP9" s="892"/>
      <c r="PGQ9" s="892"/>
      <c r="PGR9" s="892"/>
      <c r="PGS9" s="892"/>
      <c r="PGT9" s="892"/>
      <c r="PGU9" s="892"/>
      <c r="PGV9" s="892"/>
      <c r="PGW9" s="892"/>
      <c r="PGX9" s="892"/>
      <c r="PGY9" s="892"/>
      <c r="PGZ9" s="892"/>
      <c r="PHA9" s="892"/>
      <c r="PHB9" s="892"/>
      <c r="PHC9" s="892"/>
      <c r="PHD9" s="892"/>
      <c r="PHE9" s="892"/>
      <c r="PHF9" s="892"/>
      <c r="PHG9" s="892"/>
      <c r="PHH9" s="892"/>
      <c r="PHI9" s="892"/>
      <c r="PHJ9" s="892"/>
      <c r="PHK9" s="892"/>
      <c r="PHL9" s="892"/>
      <c r="PHM9" s="892"/>
      <c r="PHN9" s="892"/>
      <c r="PHO9" s="892"/>
      <c r="PHP9" s="892"/>
      <c r="PHQ9" s="892"/>
      <c r="PHR9" s="892"/>
      <c r="PHS9" s="892"/>
      <c r="PHT9" s="892"/>
      <c r="PHU9" s="892"/>
      <c r="PHV9" s="892"/>
      <c r="PHW9" s="892"/>
      <c r="PHX9" s="892"/>
      <c r="PHY9" s="892"/>
      <c r="PHZ9" s="892"/>
      <c r="PIA9" s="892"/>
      <c r="PIB9" s="892"/>
      <c r="PIC9" s="892"/>
      <c r="PID9" s="892"/>
      <c r="PIE9" s="892"/>
      <c r="PIF9" s="892"/>
      <c r="PIG9" s="892"/>
      <c r="PIH9" s="892"/>
      <c r="PII9" s="892"/>
      <c r="PIJ9" s="892"/>
      <c r="PIK9" s="892"/>
      <c r="PIL9" s="892"/>
      <c r="PIM9" s="892"/>
      <c r="PIN9" s="892"/>
      <c r="PIO9" s="892"/>
      <c r="PIP9" s="892"/>
      <c r="PIQ9" s="892"/>
      <c r="PIR9" s="892"/>
      <c r="PIS9" s="892"/>
      <c r="PIT9" s="892"/>
      <c r="PIU9" s="892"/>
      <c r="PIV9" s="892"/>
      <c r="PIW9" s="892"/>
      <c r="PIX9" s="892"/>
      <c r="PIY9" s="892"/>
      <c r="PIZ9" s="892"/>
      <c r="PJA9" s="892"/>
      <c r="PJB9" s="892"/>
      <c r="PJC9" s="892"/>
      <c r="PJD9" s="892"/>
      <c r="PJE9" s="892"/>
      <c r="PJF9" s="892"/>
      <c r="PJG9" s="892"/>
      <c r="PJH9" s="892"/>
      <c r="PJI9" s="892"/>
      <c r="PJJ9" s="892"/>
      <c r="PJK9" s="892"/>
      <c r="PJL9" s="892"/>
      <c r="PJM9" s="892"/>
      <c r="PJN9" s="892"/>
      <c r="PJO9" s="892"/>
      <c r="PJP9" s="892"/>
      <c r="PJQ9" s="892"/>
      <c r="PJR9" s="892"/>
      <c r="PJS9" s="892"/>
      <c r="PJT9" s="892"/>
      <c r="PJU9" s="892"/>
      <c r="PJV9" s="892"/>
      <c r="PJW9" s="892"/>
      <c r="PJX9" s="892"/>
      <c r="PJY9" s="892"/>
      <c r="PJZ9" s="892"/>
      <c r="PKA9" s="892"/>
      <c r="PKB9" s="892"/>
      <c r="PKC9" s="892"/>
      <c r="PKD9" s="892"/>
      <c r="PKE9" s="892"/>
      <c r="PKF9" s="892"/>
      <c r="PKG9" s="892"/>
      <c r="PKH9" s="892"/>
      <c r="PKI9" s="892"/>
      <c r="PKJ9" s="892"/>
      <c r="PKK9" s="892"/>
      <c r="PKL9" s="892"/>
      <c r="PKM9" s="892"/>
      <c r="PKN9" s="892"/>
      <c r="PKO9" s="892"/>
      <c r="PKP9" s="892"/>
      <c r="PKQ9" s="892"/>
      <c r="PKR9" s="892"/>
      <c r="PKS9" s="892"/>
      <c r="PKT9" s="892"/>
      <c r="PKU9" s="892"/>
      <c r="PKV9" s="892"/>
      <c r="PKW9" s="892"/>
      <c r="PKX9" s="892"/>
      <c r="PKY9" s="892"/>
      <c r="PKZ9" s="892"/>
      <c r="PLA9" s="892"/>
      <c r="PLB9" s="892"/>
      <c r="PLC9" s="892"/>
      <c r="PLD9" s="892"/>
      <c r="PLE9" s="892"/>
      <c r="PLF9" s="892"/>
      <c r="PLG9" s="892"/>
      <c r="PLH9" s="892"/>
      <c r="PLI9" s="892"/>
      <c r="PLJ9" s="892"/>
      <c r="PLK9" s="892"/>
      <c r="PLL9" s="892"/>
      <c r="PLM9" s="892"/>
      <c r="PLN9" s="892"/>
      <c r="PLO9" s="892"/>
      <c r="PLP9" s="892"/>
      <c r="PLQ9" s="892"/>
      <c r="PLR9" s="892"/>
      <c r="PLS9" s="892"/>
      <c r="PLT9" s="892"/>
      <c r="PLU9" s="892"/>
      <c r="PLV9" s="892"/>
      <c r="PLW9" s="892"/>
      <c r="PLX9" s="892"/>
      <c r="PLY9" s="892"/>
      <c r="PLZ9" s="892"/>
      <c r="PMA9" s="892"/>
      <c r="PMB9" s="892"/>
      <c r="PMC9" s="892"/>
      <c r="PMD9" s="892"/>
      <c r="PME9" s="892"/>
      <c r="PMF9" s="892"/>
      <c r="PMG9" s="892"/>
      <c r="PMH9" s="892"/>
      <c r="PMI9" s="892"/>
      <c r="PMJ9" s="892"/>
      <c r="PMK9" s="892"/>
      <c r="PML9" s="892"/>
      <c r="PMM9" s="892"/>
      <c r="PMN9" s="892"/>
      <c r="PMO9" s="892"/>
      <c r="PMP9" s="892"/>
      <c r="PMQ9" s="892"/>
      <c r="PMR9" s="892"/>
      <c r="PMS9" s="892"/>
      <c r="PMT9" s="892"/>
      <c r="PMU9" s="892"/>
      <c r="PMV9" s="892"/>
      <c r="PMW9" s="892"/>
      <c r="PMX9" s="892"/>
      <c r="PMY9" s="892"/>
      <c r="PMZ9" s="892"/>
      <c r="PNA9" s="892"/>
      <c r="PNB9" s="892"/>
      <c r="PNC9" s="892"/>
      <c r="PND9" s="892"/>
      <c r="PNE9" s="892"/>
      <c r="PNF9" s="892"/>
      <c r="PNG9" s="892"/>
      <c r="PNH9" s="892"/>
      <c r="PNI9" s="892"/>
      <c r="PNJ9" s="892"/>
      <c r="PNK9" s="892"/>
      <c r="PNL9" s="892"/>
      <c r="PNM9" s="892"/>
      <c r="PNN9" s="892"/>
      <c r="PNO9" s="892"/>
      <c r="PNP9" s="892"/>
      <c r="PNQ9" s="892"/>
      <c r="PNR9" s="892"/>
      <c r="PNS9" s="892"/>
      <c r="PNT9" s="892"/>
      <c r="PNU9" s="892"/>
      <c r="PNV9" s="892"/>
      <c r="PNW9" s="892"/>
      <c r="PNX9" s="892"/>
      <c r="PNY9" s="892"/>
      <c r="PNZ9" s="892"/>
      <c r="POA9" s="892"/>
      <c r="POB9" s="892"/>
      <c r="POC9" s="892"/>
      <c r="POD9" s="892"/>
      <c r="POE9" s="892"/>
      <c r="POF9" s="892"/>
      <c r="POG9" s="892"/>
      <c r="POH9" s="892"/>
      <c r="POI9" s="892"/>
      <c r="POJ9" s="892"/>
      <c r="POK9" s="892"/>
      <c r="POL9" s="892"/>
      <c r="POM9" s="892"/>
      <c r="PON9" s="892"/>
      <c r="POO9" s="892"/>
      <c r="POP9" s="892"/>
      <c r="POQ9" s="892"/>
      <c r="POR9" s="892"/>
      <c r="POS9" s="892"/>
      <c r="POT9" s="892"/>
      <c r="POU9" s="892"/>
      <c r="POV9" s="892"/>
      <c r="POW9" s="892"/>
      <c r="POX9" s="892"/>
      <c r="POY9" s="892"/>
      <c r="POZ9" s="892"/>
      <c r="PPA9" s="892"/>
      <c r="PPB9" s="892"/>
      <c r="PPC9" s="892"/>
      <c r="PPD9" s="892"/>
      <c r="PPE9" s="892"/>
      <c r="PPF9" s="892"/>
      <c r="PPG9" s="892"/>
      <c r="PPH9" s="892"/>
      <c r="PPI9" s="892"/>
      <c r="PPJ9" s="892"/>
      <c r="PPK9" s="892"/>
      <c r="PPL9" s="892"/>
      <c r="PPM9" s="892"/>
      <c r="PPN9" s="892"/>
      <c r="PPO9" s="892"/>
      <c r="PPP9" s="892"/>
      <c r="PPQ9" s="892"/>
      <c r="PPR9" s="892"/>
      <c r="PPS9" s="892"/>
      <c r="PPT9" s="892"/>
      <c r="PPU9" s="892"/>
      <c r="PPV9" s="892"/>
      <c r="PPW9" s="892"/>
      <c r="PPX9" s="892"/>
      <c r="PPY9" s="892"/>
      <c r="PPZ9" s="892"/>
      <c r="PQA9" s="892"/>
      <c r="PQB9" s="892"/>
      <c r="PQC9" s="892"/>
      <c r="PQD9" s="892"/>
      <c r="PQE9" s="892"/>
      <c r="PQF9" s="892"/>
      <c r="PQG9" s="892"/>
      <c r="PQH9" s="892"/>
      <c r="PQI9" s="892"/>
      <c r="PQJ9" s="892"/>
      <c r="PQK9" s="892"/>
      <c r="PQL9" s="892"/>
      <c r="PQM9" s="892"/>
      <c r="PQN9" s="892"/>
      <c r="PQO9" s="892"/>
      <c r="PQP9" s="892"/>
      <c r="PQQ9" s="892"/>
      <c r="PQR9" s="892"/>
      <c r="PQS9" s="892"/>
      <c r="PQT9" s="892"/>
      <c r="PQU9" s="892"/>
      <c r="PQV9" s="892"/>
      <c r="PQW9" s="892"/>
      <c r="PQX9" s="892"/>
      <c r="PQY9" s="892"/>
      <c r="PQZ9" s="892"/>
      <c r="PRA9" s="892"/>
      <c r="PRB9" s="892"/>
      <c r="PRC9" s="892"/>
      <c r="PRD9" s="892"/>
      <c r="PRE9" s="892"/>
      <c r="PRF9" s="892"/>
      <c r="PRG9" s="892"/>
      <c r="PRH9" s="892"/>
      <c r="PRI9" s="892"/>
      <c r="PRJ9" s="892"/>
      <c r="PRK9" s="892"/>
      <c r="PRL9" s="892"/>
      <c r="PRM9" s="892"/>
      <c r="PRN9" s="892"/>
      <c r="PRO9" s="892"/>
      <c r="PRP9" s="892"/>
      <c r="PRQ9" s="892"/>
      <c r="PRR9" s="892"/>
      <c r="PRS9" s="892"/>
      <c r="PRT9" s="892"/>
      <c r="PRU9" s="892"/>
      <c r="PRV9" s="892"/>
      <c r="PRW9" s="892"/>
      <c r="PRX9" s="892"/>
      <c r="PRY9" s="892"/>
      <c r="PRZ9" s="892"/>
      <c r="PSA9" s="892"/>
      <c r="PSB9" s="892"/>
      <c r="PSC9" s="892"/>
      <c r="PSD9" s="892"/>
      <c r="PSE9" s="892"/>
      <c r="PSF9" s="892"/>
      <c r="PSG9" s="892"/>
      <c r="PSH9" s="892"/>
      <c r="PSI9" s="892"/>
      <c r="PSJ9" s="892"/>
      <c r="PSK9" s="892"/>
      <c r="PSL9" s="892"/>
      <c r="PSM9" s="892"/>
      <c r="PSN9" s="892"/>
      <c r="PSO9" s="892"/>
      <c r="PSP9" s="892"/>
      <c r="PSQ9" s="892"/>
      <c r="PSR9" s="892"/>
      <c r="PSS9" s="892"/>
      <c r="PST9" s="892"/>
      <c r="PSU9" s="892"/>
      <c r="PSV9" s="892"/>
      <c r="PSW9" s="892"/>
      <c r="PSX9" s="892"/>
      <c r="PSY9" s="892"/>
      <c r="PSZ9" s="892"/>
      <c r="PTA9" s="892"/>
      <c r="PTB9" s="892"/>
      <c r="PTC9" s="892"/>
      <c r="PTD9" s="892"/>
      <c r="PTE9" s="892"/>
      <c r="PTF9" s="892"/>
      <c r="PTG9" s="892"/>
      <c r="PTH9" s="892"/>
      <c r="PTI9" s="892"/>
      <c r="PTJ9" s="892"/>
      <c r="PTK9" s="892"/>
      <c r="PTL9" s="892"/>
      <c r="PTM9" s="892"/>
      <c r="PTN9" s="892"/>
      <c r="PTO9" s="892"/>
      <c r="PTP9" s="892"/>
      <c r="PTQ9" s="892"/>
      <c r="PTR9" s="892"/>
      <c r="PTS9" s="892"/>
      <c r="PTT9" s="892"/>
      <c r="PTU9" s="892"/>
      <c r="PTV9" s="892"/>
      <c r="PTW9" s="892"/>
      <c r="PTX9" s="892"/>
      <c r="PTY9" s="892"/>
      <c r="PTZ9" s="892"/>
      <c r="PUA9" s="892"/>
      <c r="PUB9" s="892"/>
      <c r="PUC9" s="892"/>
      <c r="PUD9" s="892"/>
      <c r="PUE9" s="892"/>
      <c r="PUF9" s="892"/>
      <c r="PUG9" s="892"/>
      <c r="PUH9" s="892"/>
      <c r="PUI9" s="892"/>
      <c r="PUJ9" s="892"/>
      <c r="PUK9" s="892"/>
      <c r="PUL9" s="892"/>
      <c r="PUM9" s="892"/>
      <c r="PUN9" s="892"/>
      <c r="PUO9" s="892"/>
      <c r="PUP9" s="892"/>
      <c r="PUQ9" s="892"/>
      <c r="PUR9" s="892"/>
      <c r="PUS9" s="892"/>
      <c r="PUT9" s="892"/>
      <c r="PUU9" s="892"/>
      <c r="PUV9" s="892"/>
      <c r="PUW9" s="892"/>
      <c r="PUX9" s="892"/>
      <c r="PUY9" s="892"/>
      <c r="PUZ9" s="892"/>
      <c r="PVA9" s="892"/>
      <c r="PVB9" s="892"/>
      <c r="PVC9" s="892"/>
      <c r="PVD9" s="892"/>
      <c r="PVE9" s="892"/>
      <c r="PVF9" s="892"/>
      <c r="PVG9" s="892"/>
      <c r="PVH9" s="892"/>
      <c r="PVI9" s="892"/>
      <c r="PVJ9" s="892"/>
      <c r="PVK9" s="892"/>
      <c r="PVL9" s="892"/>
      <c r="PVM9" s="892"/>
      <c r="PVN9" s="892"/>
      <c r="PVO9" s="892"/>
      <c r="PVP9" s="892"/>
      <c r="PVQ9" s="892"/>
      <c r="PVR9" s="892"/>
      <c r="PVS9" s="892"/>
      <c r="PVT9" s="892"/>
      <c r="PVU9" s="892"/>
      <c r="PVV9" s="892"/>
      <c r="PVW9" s="892"/>
      <c r="PVX9" s="892"/>
      <c r="PVY9" s="892"/>
      <c r="PVZ9" s="892"/>
      <c r="PWA9" s="892"/>
      <c r="PWB9" s="892"/>
      <c r="PWC9" s="892"/>
      <c r="PWD9" s="892"/>
      <c r="PWE9" s="892"/>
      <c r="PWF9" s="892"/>
      <c r="PWG9" s="892"/>
      <c r="PWH9" s="892"/>
      <c r="PWI9" s="892"/>
      <c r="PWJ9" s="892"/>
      <c r="PWK9" s="892"/>
      <c r="PWL9" s="892"/>
      <c r="PWM9" s="892"/>
      <c r="PWN9" s="892"/>
      <c r="PWO9" s="892"/>
      <c r="PWP9" s="892"/>
      <c r="PWQ9" s="892"/>
      <c r="PWR9" s="892"/>
      <c r="PWS9" s="892"/>
      <c r="PWT9" s="892"/>
      <c r="PWU9" s="892"/>
      <c r="PWV9" s="892"/>
      <c r="PWW9" s="892"/>
      <c r="PWX9" s="892"/>
      <c r="PWY9" s="892"/>
      <c r="PWZ9" s="892"/>
      <c r="PXA9" s="892"/>
      <c r="PXB9" s="892"/>
      <c r="PXC9" s="892"/>
      <c r="PXD9" s="892"/>
      <c r="PXE9" s="892"/>
      <c r="PXF9" s="892"/>
      <c r="PXG9" s="892"/>
      <c r="PXH9" s="892"/>
      <c r="PXI9" s="892"/>
      <c r="PXJ9" s="892"/>
      <c r="PXK9" s="892"/>
      <c r="PXL9" s="892"/>
      <c r="PXM9" s="892"/>
      <c r="PXN9" s="892"/>
      <c r="PXO9" s="892"/>
      <c r="PXP9" s="892"/>
      <c r="PXQ9" s="892"/>
      <c r="PXR9" s="892"/>
      <c r="PXS9" s="892"/>
      <c r="PXT9" s="892"/>
      <c r="PXU9" s="892"/>
      <c r="PXV9" s="892"/>
      <c r="PXW9" s="892"/>
      <c r="PXX9" s="892"/>
      <c r="PXY9" s="892"/>
      <c r="PXZ9" s="892"/>
      <c r="PYA9" s="892"/>
      <c r="PYB9" s="892"/>
      <c r="PYC9" s="892"/>
      <c r="PYD9" s="892"/>
      <c r="PYE9" s="892"/>
      <c r="PYF9" s="892"/>
      <c r="PYG9" s="892"/>
      <c r="PYH9" s="892"/>
      <c r="PYI9" s="892"/>
      <c r="PYJ9" s="892"/>
      <c r="PYK9" s="892"/>
      <c r="PYL9" s="892"/>
      <c r="PYM9" s="892"/>
      <c r="PYN9" s="892"/>
      <c r="PYO9" s="892"/>
      <c r="PYP9" s="892"/>
      <c r="PYQ9" s="892"/>
      <c r="PYR9" s="892"/>
      <c r="PYS9" s="892"/>
      <c r="PYT9" s="892"/>
      <c r="PYU9" s="892"/>
      <c r="PYV9" s="892"/>
      <c r="PYW9" s="892"/>
      <c r="PYX9" s="892"/>
      <c r="PYY9" s="892"/>
      <c r="PYZ9" s="892"/>
      <c r="PZA9" s="892"/>
      <c r="PZB9" s="892"/>
      <c r="PZC9" s="892"/>
      <c r="PZD9" s="892"/>
      <c r="PZE9" s="892"/>
      <c r="PZF9" s="892"/>
      <c r="PZG9" s="892"/>
      <c r="PZH9" s="892"/>
      <c r="PZI9" s="892"/>
      <c r="PZJ9" s="892"/>
      <c r="PZK9" s="892"/>
      <c r="PZL9" s="892"/>
      <c r="PZM9" s="892"/>
      <c r="PZN9" s="892"/>
      <c r="PZO9" s="892"/>
      <c r="PZP9" s="892"/>
      <c r="PZQ9" s="892"/>
      <c r="PZR9" s="892"/>
      <c r="PZS9" s="892"/>
      <c r="PZT9" s="892"/>
      <c r="PZU9" s="892"/>
      <c r="PZV9" s="892"/>
      <c r="PZW9" s="892"/>
      <c r="PZX9" s="892"/>
      <c r="PZY9" s="892"/>
      <c r="PZZ9" s="892"/>
      <c r="QAA9" s="892"/>
      <c r="QAB9" s="892"/>
      <c r="QAC9" s="892"/>
      <c r="QAD9" s="892"/>
      <c r="QAE9" s="892"/>
      <c r="QAF9" s="892"/>
      <c r="QAG9" s="892"/>
      <c r="QAH9" s="892"/>
      <c r="QAI9" s="892"/>
      <c r="QAJ9" s="892"/>
      <c r="QAK9" s="892"/>
      <c r="QAL9" s="892"/>
      <c r="QAM9" s="892"/>
      <c r="QAN9" s="892"/>
      <c r="QAO9" s="892"/>
      <c r="QAP9" s="892"/>
      <c r="QAQ9" s="892"/>
      <c r="QAR9" s="892"/>
      <c r="QAS9" s="892"/>
      <c r="QAT9" s="892"/>
      <c r="QAU9" s="892"/>
      <c r="QAV9" s="892"/>
      <c r="QAW9" s="892"/>
      <c r="QAX9" s="892"/>
      <c r="QAY9" s="892"/>
      <c r="QAZ9" s="892"/>
      <c r="QBA9" s="892"/>
      <c r="QBB9" s="892"/>
      <c r="QBC9" s="892"/>
      <c r="QBD9" s="892"/>
      <c r="QBE9" s="892"/>
      <c r="QBF9" s="892"/>
      <c r="QBG9" s="892"/>
      <c r="QBH9" s="892"/>
      <c r="QBI9" s="892"/>
      <c r="QBJ9" s="892"/>
      <c r="QBK9" s="892"/>
      <c r="QBL9" s="892"/>
      <c r="QBM9" s="892"/>
      <c r="QBN9" s="892"/>
      <c r="QBO9" s="892"/>
      <c r="QBP9" s="892"/>
      <c r="QBQ9" s="892"/>
      <c r="QBR9" s="892"/>
      <c r="QBS9" s="892"/>
      <c r="QBT9" s="892"/>
      <c r="QBU9" s="892"/>
      <c r="QBV9" s="892"/>
      <c r="QBW9" s="892"/>
      <c r="QBX9" s="892"/>
      <c r="QBY9" s="892"/>
      <c r="QBZ9" s="892"/>
      <c r="QCA9" s="892"/>
      <c r="QCB9" s="892"/>
      <c r="QCC9" s="892"/>
      <c r="QCD9" s="892"/>
      <c r="QCE9" s="892"/>
      <c r="QCF9" s="892"/>
      <c r="QCG9" s="892"/>
      <c r="QCH9" s="892"/>
      <c r="QCI9" s="892"/>
      <c r="QCJ9" s="892"/>
      <c r="QCK9" s="892"/>
      <c r="QCL9" s="892"/>
      <c r="QCM9" s="892"/>
      <c r="QCN9" s="892"/>
      <c r="QCO9" s="892"/>
      <c r="QCP9" s="892"/>
      <c r="QCQ9" s="892"/>
      <c r="QCR9" s="892"/>
      <c r="QCS9" s="892"/>
      <c r="QCT9" s="892"/>
      <c r="QCU9" s="892"/>
      <c r="QCV9" s="892"/>
      <c r="QCW9" s="892"/>
      <c r="QCX9" s="892"/>
      <c r="QCY9" s="892"/>
      <c r="QCZ9" s="892"/>
      <c r="QDA9" s="892"/>
      <c r="QDB9" s="892"/>
      <c r="QDC9" s="892"/>
      <c r="QDD9" s="892"/>
      <c r="QDE9" s="892"/>
      <c r="QDF9" s="892"/>
      <c r="QDG9" s="892"/>
      <c r="QDH9" s="892"/>
      <c r="QDI9" s="892"/>
      <c r="QDJ9" s="892"/>
      <c r="QDK9" s="892"/>
      <c r="QDL9" s="892"/>
      <c r="QDM9" s="892"/>
      <c r="QDN9" s="892"/>
      <c r="QDO9" s="892"/>
      <c r="QDP9" s="892"/>
      <c r="QDQ9" s="892"/>
      <c r="QDR9" s="892"/>
      <c r="QDS9" s="892"/>
      <c r="QDT9" s="892"/>
      <c r="QDU9" s="892"/>
      <c r="QDV9" s="892"/>
      <c r="QDW9" s="892"/>
      <c r="QDX9" s="892"/>
      <c r="QDY9" s="892"/>
      <c r="QDZ9" s="892"/>
      <c r="QEA9" s="892"/>
      <c r="QEB9" s="892"/>
      <c r="QEC9" s="892"/>
      <c r="QED9" s="892"/>
      <c r="QEE9" s="892"/>
      <c r="QEF9" s="892"/>
      <c r="QEG9" s="892"/>
      <c r="QEH9" s="892"/>
      <c r="QEI9" s="892"/>
      <c r="QEJ9" s="892"/>
      <c r="QEK9" s="892"/>
      <c r="QEL9" s="892"/>
      <c r="QEM9" s="892"/>
      <c r="QEN9" s="892"/>
      <c r="QEO9" s="892"/>
      <c r="QEP9" s="892"/>
      <c r="QEQ9" s="892"/>
      <c r="QER9" s="892"/>
      <c r="QES9" s="892"/>
      <c r="QET9" s="892"/>
      <c r="QEU9" s="892"/>
      <c r="QEV9" s="892"/>
      <c r="QEW9" s="892"/>
      <c r="QEX9" s="892"/>
      <c r="QEY9" s="892"/>
      <c r="QEZ9" s="892"/>
      <c r="QFA9" s="892"/>
      <c r="QFB9" s="892"/>
      <c r="QFC9" s="892"/>
      <c r="QFD9" s="892"/>
      <c r="QFE9" s="892"/>
      <c r="QFF9" s="892"/>
      <c r="QFG9" s="892"/>
      <c r="QFH9" s="892"/>
      <c r="QFI9" s="892"/>
      <c r="QFJ9" s="892"/>
      <c r="QFK9" s="892"/>
      <c r="QFL9" s="892"/>
      <c r="QFM9" s="892"/>
      <c r="QFN9" s="892"/>
      <c r="QFO9" s="892"/>
      <c r="QFP9" s="892"/>
      <c r="QFQ9" s="892"/>
      <c r="QFR9" s="892"/>
      <c r="QFS9" s="892"/>
      <c r="QFT9" s="892"/>
      <c r="QFU9" s="892"/>
      <c r="QFV9" s="892"/>
      <c r="QFW9" s="892"/>
      <c r="QFX9" s="892"/>
      <c r="QFY9" s="892"/>
      <c r="QFZ9" s="892"/>
      <c r="QGA9" s="892"/>
      <c r="QGB9" s="892"/>
      <c r="QGC9" s="892"/>
      <c r="QGD9" s="892"/>
      <c r="QGE9" s="892"/>
      <c r="QGF9" s="892"/>
      <c r="QGG9" s="892"/>
      <c r="QGH9" s="892"/>
      <c r="QGI9" s="892"/>
      <c r="QGJ9" s="892"/>
      <c r="QGK9" s="892"/>
      <c r="QGL9" s="892"/>
      <c r="QGM9" s="892"/>
      <c r="QGN9" s="892"/>
      <c r="QGO9" s="892"/>
      <c r="QGP9" s="892"/>
      <c r="QGQ9" s="892"/>
      <c r="QGR9" s="892"/>
      <c r="QGS9" s="892"/>
      <c r="QGT9" s="892"/>
      <c r="QGU9" s="892"/>
      <c r="QGV9" s="892"/>
      <c r="QGW9" s="892"/>
      <c r="QGX9" s="892"/>
      <c r="QGY9" s="892"/>
      <c r="QGZ9" s="892"/>
      <c r="QHA9" s="892"/>
      <c r="QHB9" s="892"/>
      <c r="QHC9" s="892"/>
      <c r="QHD9" s="892"/>
      <c r="QHE9" s="892"/>
      <c r="QHF9" s="892"/>
      <c r="QHG9" s="892"/>
      <c r="QHH9" s="892"/>
      <c r="QHI9" s="892"/>
      <c r="QHJ9" s="892"/>
      <c r="QHK9" s="892"/>
      <c r="QHL9" s="892"/>
      <c r="QHM9" s="892"/>
      <c r="QHN9" s="892"/>
      <c r="QHO9" s="892"/>
      <c r="QHP9" s="892"/>
      <c r="QHQ9" s="892"/>
      <c r="QHR9" s="892"/>
      <c r="QHS9" s="892"/>
      <c r="QHT9" s="892"/>
      <c r="QHU9" s="892"/>
      <c r="QHV9" s="892"/>
      <c r="QHW9" s="892"/>
      <c r="QHX9" s="892"/>
      <c r="QHY9" s="892"/>
      <c r="QHZ9" s="892"/>
      <c r="QIA9" s="892"/>
      <c r="QIB9" s="892"/>
      <c r="QIC9" s="892"/>
      <c r="QID9" s="892"/>
      <c r="QIE9" s="892"/>
      <c r="QIF9" s="892"/>
      <c r="QIG9" s="892"/>
      <c r="QIH9" s="892"/>
      <c r="QII9" s="892"/>
      <c r="QIJ9" s="892"/>
      <c r="QIK9" s="892"/>
      <c r="QIL9" s="892"/>
      <c r="QIM9" s="892"/>
      <c r="QIN9" s="892"/>
      <c r="QIO9" s="892"/>
      <c r="QIP9" s="892"/>
      <c r="QIQ9" s="892"/>
      <c r="QIR9" s="892"/>
      <c r="QIS9" s="892"/>
      <c r="QIT9" s="892"/>
      <c r="QIU9" s="892"/>
      <c r="QIV9" s="892"/>
      <c r="QIW9" s="892"/>
      <c r="QIX9" s="892"/>
      <c r="QIY9" s="892"/>
      <c r="QIZ9" s="892"/>
      <c r="QJA9" s="892"/>
      <c r="QJB9" s="892"/>
      <c r="QJC9" s="892"/>
      <c r="QJD9" s="892"/>
      <c r="QJE9" s="892"/>
      <c r="QJF9" s="892"/>
      <c r="QJG9" s="892"/>
      <c r="QJH9" s="892"/>
      <c r="QJI9" s="892"/>
      <c r="QJJ9" s="892"/>
      <c r="QJK9" s="892"/>
      <c r="QJL9" s="892"/>
      <c r="QJM9" s="892"/>
      <c r="QJN9" s="892"/>
      <c r="QJO9" s="892"/>
      <c r="QJP9" s="892"/>
      <c r="QJQ9" s="892"/>
      <c r="QJR9" s="892"/>
      <c r="QJS9" s="892"/>
      <c r="QJT9" s="892"/>
      <c r="QJU9" s="892"/>
      <c r="QJV9" s="892"/>
      <c r="QJW9" s="892"/>
      <c r="QJX9" s="892"/>
      <c r="QJY9" s="892"/>
      <c r="QJZ9" s="892"/>
      <c r="QKA9" s="892"/>
      <c r="QKB9" s="892"/>
      <c r="QKC9" s="892"/>
      <c r="QKD9" s="892"/>
      <c r="QKE9" s="892"/>
      <c r="QKF9" s="892"/>
      <c r="QKG9" s="892"/>
      <c r="QKH9" s="892"/>
      <c r="QKI9" s="892"/>
      <c r="QKJ9" s="892"/>
      <c r="QKK9" s="892"/>
      <c r="QKL9" s="892"/>
      <c r="QKM9" s="892"/>
      <c r="QKN9" s="892"/>
      <c r="QKO9" s="892"/>
      <c r="QKP9" s="892"/>
      <c r="QKQ9" s="892"/>
      <c r="QKR9" s="892"/>
      <c r="QKS9" s="892"/>
      <c r="QKT9" s="892"/>
      <c r="QKU9" s="892"/>
      <c r="QKV9" s="892"/>
      <c r="QKW9" s="892"/>
      <c r="QKX9" s="892"/>
      <c r="QKY9" s="892"/>
      <c r="QKZ9" s="892"/>
      <c r="QLA9" s="892"/>
      <c r="QLB9" s="892"/>
      <c r="QLC9" s="892"/>
      <c r="QLD9" s="892"/>
      <c r="QLE9" s="892"/>
      <c r="QLF9" s="892"/>
      <c r="QLG9" s="892"/>
      <c r="QLH9" s="892"/>
      <c r="QLI9" s="892"/>
      <c r="QLJ9" s="892"/>
      <c r="QLK9" s="892"/>
      <c r="QLL9" s="892"/>
      <c r="QLM9" s="892"/>
      <c r="QLN9" s="892"/>
      <c r="QLO9" s="892"/>
      <c r="QLP9" s="892"/>
      <c r="QLQ9" s="892"/>
      <c r="QLR9" s="892"/>
      <c r="QLS9" s="892"/>
      <c r="QLT9" s="892"/>
      <c r="QLU9" s="892"/>
      <c r="QLV9" s="892"/>
      <c r="QLW9" s="892"/>
      <c r="QLX9" s="892"/>
      <c r="QLY9" s="892"/>
      <c r="QLZ9" s="892"/>
      <c r="QMA9" s="892"/>
      <c r="QMB9" s="892"/>
      <c r="QMC9" s="892"/>
      <c r="QMD9" s="892"/>
      <c r="QME9" s="892"/>
      <c r="QMF9" s="892"/>
      <c r="QMG9" s="892"/>
      <c r="QMH9" s="892"/>
      <c r="QMI9" s="892"/>
      <c r="QMJ9" s="892"/>
      <c r="QMK9" s="892"/>
      <c r="QML9" s="892"/>
      <c r="QMM9" s="892"/>
      <c r="QMN9" s="892"/>
      <c r="QMO9" s="892"/>
      <c r="QMP9" s="892"/>
      <c r="QMQ9" s="892"/>
      <c r="QMR9" s="892"/>
      <c r="QMS9" s="892"/>
      <c r="QMT9" s="892"/>
      <c r="QMU9" s="892"/>
      <c r="QMV9" s="892"/>
      <c r="QMW9" s="892"/>
      <c r="QMX9" s="892"/>
      <c r="QMY9" s="892"/>
      <c r="QMZ9" s="892"/>
      <c r="QNA9" s="892"/>
      <c r="QNB9" s="892"/>
      <c r="QNC9" s="892"/>
      <c r="QND9" s="892"/>
      <c r="QNE9" s="892"/>
      <c r="QNF9" s="892"/>
      <c r="QNG9" s="892"/>
      <c r="QNH9" s="892"/>
      <c r="QNI9" s="892"/>
      <c r="QNJ9" s="892"/>
      <c r="QNK9" s="892"/>
      <c r="QNL9" s="892"/>
      <c r="QNM9" s="892"/>
      <c r="QNN9" s="892"/>
      <c r="QNO9" s="892"/>
      <c r="QNP9" s="892"/>
      <c r="QNQ9" s="892"/>
      <c r="QNR9" s="892"/>
      <c r="QNS9" s="892"/>
      <c r="QNT9" s="892"/>
      <c r="QNU9" s="892"/>
      <c r="QNV9" s="892"/>
      <c r="QNW9" s="892"/>
      <c r="QNX9" s="892"/>
      <c r="QNY9" s="892"/>
      <c r="QNZ9" s="892"/>
      <c r="QOA9" s="892"/>
      <c r="QOB9" s="892"/>
      <c r="QOC9" s="892"/>
      <c r="QOD9" s="892"/>
      <c r="QOE9" s="892"/>
      <c r="QOF9" s="892"/>
      <c r="QOG9" s="892"/>
      <c r="QOH9" s="892"/>
      <c r="QOI9" s="892"/>
      <c r="QOJ9" s="892"/>
      <c r="QOK9" s="892"/>
      <c r="QOL9" s="892"/>
      <c r="QOM9" s="892"/>
      <c r="QON9" s="892"/>
      <c r="QOO9" s="892"/>
      <c r="QOP9" s="892"/>
      <c r="QOQ9" s="892"/>
      <c r="QOR9" s="892"/>
      <c r="QOS9" s="892"/>
      <c r="QOT9" s="892"/>
      <c r="QOU9" s="892"/>
      <c r="QOV9" s="892"/>
      <c r="QOW9" s="892"/>
      <c r="QOX9" s="892"/>
      <c r="QOY9" s="892"/>
      <c r="QOZ9" s="892"/>
      <c r="QPA9" s="892"/>
      <c r="QPB9" s="892"/>
      <c r="QPC9" s="892"/>
      <c r="QPD9" s="892"/>
      <c r="QPE9" s="892"/>
      <c r="QPF9" s="892"/>
      <c r="QPG9" s="892"/>
      <c r="QPH9" s="892"/>
      <c r="QPI9" s="892"/>
      <c r="QPJ9" s="892"/>
      <c r="QPK9" s="892"/>
      <c r="QPL9" s="892"/>
      <c r="QPM9" s="892"/>
      <c r="QPN9" s="892"/>
      <c r="QPO9" s="892"/>
      <c r="QPP9" s="892"/>
      <c r="QPQ9" s="892"/>
      <c r="QPR9" s="892"/>
      <c r="QPS9" s="892"/>
      <c r="QPT9" s="892"/>
      <c r="QPU9" s="892"/>
      <c r="QPV9" s="892"/>
      <c r="QPW9" s="892"/>
      <c r="QPX9" s="892"/>
      <c r="QPY9" s="892"/>
      <c r="QPZ9" s="892"/>
      <c r="QQA9" s="892"/>
      <c r="QQB9" s="892"/>
      <c r="QQC9" s="892"/>
      <c r="QQD9" s="892"/>
      <c r="QQE9" s="892"/>
      <c r="QQF9" s="892"/>
      <c r="QQG9" s="892"/>
      <c r="QQH9" s="892"/>
      <c r="QQI9" s="892"/>
      <c r="QQJ9" s="892"/>
      <c r="QQK9" s="892"/>
      <c r="QQL9" s="892"/>
      <c r="QQM9" s="892"/>
      <c r="QQN9" s="892"/>
      <c r="QQO9" s="892"/>
      <c r="QQP9" s="892"/>
      <c r="QQQ9" s="892"/>
      <c r="QQR9" s="892"/>
      <c r="QQS9" s="892"/>
      <c r="QQT9" s="892"/>
      <c r="QQU9" s="892"/>
      <c r="QQV9" s="892"/>
      <c r="QQW9" s="892"/>
      <c r="QQX9" s="892"/>
      <c r="QQY9" s="892"/>
      <c r="QQZ9" s="892"/>
      <c r="QRA9" s="892"/>
      <c r="QRB9" s="892"/>
      <c r="QRC9" s="892"/>
      <c r="QRD9" s="892"/>
      <c r="QRE9" s="892"/>
      <c r="QRF9" s="892"/>
      <c r="QRG9" s="892"/>
      <c r="QRH9" s="892"/>
      <c r="QRI9" s="892"/>
      <c r="QRJ9" s="892"/>
      <c r="QRK9" s="892"/>
      <c r="QRL9" s="892"/>
      <c r="QRM9" s="892"/>
      <c r="QRN9" s="892"/>
      <c r="QRO9" s="892"/>
      <c r="QRP9" s="892"/>
      <c r="QRQ9" s="892"/>
      <c r="QRR9" s="892"/>
      <c r="QRS9" s="892"/>
      <c r="QRT9" s="892"/>
      <c r="QRU9" s="892"/>
      <c r="QRV9" s="892"/>
      <c r="QRW9" s="892"/>
      <c r="QRX9" s="892"/>
      <c r="QRY9" s="892"/>
      <c r="QRZ9" s="892"/>
      <c r="QSA9" s="892"/>
      <c r="QSB9" s="892"/>
      <c r="QSC9" s="892"/>
      <c r="QSD9" s="892"/>
      <c r="QSE9" s="892"/>
      <c r="QSF9" s="892"/>
      <c r="QSG9" s="892"/>
      <c r="QSH9" s="892"/>
      <c r="QSI9" s="892"/>
      <c r="QSJ9" s="892"/>
      <c r="QSK9" s="892"/>
      <c r="QSL9" s="892"/>
      <c r="QSM9" s="892"/>
      <c r="QSN9" s="892"/>
      <c r="QSO9" s="892"/>
      <c r="QSP9" s="892"/>
      <c r="QSQ9" s="892"/>
      <c r="QSR9" s="892"/>
      <c r="QSS9" s="892"/>
      <c r="QST9" s="892"/>
      <c r="QSU9" s="892"/>
      <c r="QSV9" s="892"/>
      <c r="QSW9" s="892"/>
      <c r="QSX9" s="892"/>
      <c r="QSY9" s="892"/>
      <c r="QSZ9" s="892"/>
      <c r="QTA9" s="892"/>
      <c r="QTB9" s="892"/>
      <c r="QTC9" s="892"/>
      <c r="QTD9" s="892"/>
      <c r="QTE9" s="892"/>
      <c r="QTF9" s="892"/>
      <c r="QTG9" s="892"/>
      <c r="QTH9" s="892"/>
      <c r="QTI9" s="892"/>
      <c r="QTJ9" s="892"/>
      <c r="QTK9" s="892"/>
      <c r="QTL9" s="892"/>
      <c r="QTM9" s="892"/>
      <c r="QTN9" s="892"/>
      <c r="QTO9" s="892"/>
      <c r="QTP9" s="892"/>
      <c r="QTQ9" s="892"/>
      <c r="QTR9" s="892"/>
      <c r="QTS9" s="892"/>
      <c r="QTT9" s="892"/>
      <c r="QTU9" s="892"/>
      <c r="QTV9" s="892"/>
      <c r="QTW9" s="892"/>
      <c r="QTX9" s="892"/>
      <c r="QTY9" s="892"/>
      <c r="QTZ9" s="892"/>
      <c r="QUA9" s="892"/>
      <c r="QUB9" s="892"/>
      <c r="QUC9" s="892"/>
      <c r="QUD9" s="892"/>
      <c r="QUE9" s="892"/>
      <c r="QUF9" s="892"/>
      <c r="QUG9" s="892"/>
      <c r="QUH9" s="892"/>
      <c r="QUI9" s="892"/>
      <c r="QUJ9" s="892"/>
      <c r="QUK9" s="892"/>
      <c r="QUL9" s="892"/>
      <c r="QUM9" s="892"/>
      <c r="QUN9" s="892"/>
      <c r="QUO9" s="892"/>
      <c r="QUP9" s="892"/>
      <c r="QUQ9" s="892"/>
      <c r="QUR9" s="892"/>
      <c r="QUS9" s="892"/>
      <c r="QUT9" s="892"/>
      <c r="QUU9" s="892"/>
      <c r="QUV9" s="892"/>
      <c r="QUW9" s="892"/>
      <c r="QUX9" s="892"/>
      <c r="QUY9" s="892"/>
      <c r="QUZ9" s="892"/>
      <c r="QVA9" s="892"/>
      <c r="QVB9" s="892"/>
      <c r="QVC9" s="892"/>
      <c r="QVD9" s="892"/>
      <c r="QVE9" s="892"/>
      <c r="QVF9" s="892"/>
      <c r="QVG9" s="892"/>
      <c r="QVH9" s="892"/>
      <c r="QVI9" s="892"/>
      <c r="QVJ9" s="892"/>
      <c r="QVK9" s="892"/>
      <c r="QVL9" s="892"/>
      <c r="QVM9" s="892"/>
      <c r="QVN9" s="892"/>
      <c r="QVO9" s="892"/>
      <c r="QVP9" s="892"/>
      <c r="QVQ9" s="892"/>
      <c r="QVR9" s="892"/>
      <c r="QVS9" s="892"/>
      <c r="QVT9" s="892"/>
      <c r="QVU9" s="892"/>
      <c r="QVV9" s="892"/>
      <c r="QVW9" s="892"/>
      <c r="QVX9" s="892"/>
      <c r="QVY9" s="892"/>
      <c r="QVZ9" s="892"/>
      <c r="QWA9" s="892"/>
      <c r="QWB9" s="892"/>
      <c r="QWC9" s="892"/>
      <c r="QWD9" s="892"/>
      <c r="QWE9" s="892"/>
      <c r="QWF9" s="892"/>
      <c r="QWG9" s="892"/>
      <c r="QWH9" s="892"/>
      <c r="QWI9" s="892"/>
      <c r="QWJ9" s="892"/>
      <c r="QWK9" s="892"/>
      <c r="QWL9" s="892"/>
      <c r="QWM9" s="892"/>
      <c r="QWN9" s="892"/>
      <c r="QWO9" s="892"/>
      <c r="QWP9" s="892"/>
      <c r="QWQ9" s="892"/>
      <c r="QWR9" s="892"/>
      <c r="QWS9" s="892"/>
      <c r="QWT9" s="892"/>
      <c r="QWU9" s="892"/>
      <c r="QWV9" s="892"/>
      <c r="QWW9" s="892"/>
      <c r="QWX9" s="892"/>
      <c r="QWY9" s="892"/>
      <c r="QWZ9" s="892"/>
      <c r="QXA9" s="892"/>
      <c r="QXB9" s="892"/>
      <c r="QXC9" s="892"/>
      <c r="QXD9" s="892"/>
      <c r="QXE9" s="892"/>
      <c r="QXF9" s="892"/>
      <c r="QXG9" s="892"/>
      <c r="QXH9" s="892"/>
      <c r="QXI9" s="892"/>
      <c r="QXJ9" s="892"/>
      <c r="QXK9" s="892"/>
      <c r="QXL9" s="892"/>
      <c r="QXM9" s="892"/>
      <c r="QXN9" s="892"/>
      <c r="QXO9" s="892"/>
      <c r="QXP9" s="892"/>
      <c r="QXQ9" s="892"/>
      <c r="QXR9" s="892"/>
      <c r="QXS9" s="892"/>
      <c r="QXT9" s="892"/>
      <c r="QXU9" s="892"/>
      <c r="QXV9" s="892"/>
      <c r="QXW9" s="892"/>
      <c r="QXX9" s="892"/>
      <c r="QXY9" s="892"/>
      <c r="QXZ9" s="892"/>
      <c r="QYA9" s="892"/>
      <c r="QYB9" s="892"/>
      <c r="QYC9" s="892"/>
      <c r="QYD9" s="892"/>
      <c r="QYE9" s="892"/>
      <c r="QYF9" s="892"/>
      <c r="QYG9" s="892"/>
      <c r="QYH9" s="892"/>
      <c r="QYI9" s="892"/>
      <c r="QYJ9" s="892"/>
      <c r="QYK9" s="892"/>
      <c r="QYL9" s="892"/>
      <c r="QYM9" s="892"/>
      <c r="QYN9" s="892"/>
      <c r="QYO9" s="892"/>
      <c r="QYP9" s="892"/>
      <c r="QYQ9" s="892"/>
      <c r="QYR9" s="892"/>
      <c r="QYS9" s="892"/>
      <c r="QYT9" s="892"/>
      <c r="QYU9" s="892"/>
      <c r="QYV9" s="892"/>
      <c r="QYW9" s="892"/>
      <c r="QYX9" s="892"/>
      <c r="QYY9" s="892"/>
      <c r="QYZ9" s="892"/>
      <c r="QZA9" s="892"/>
      <c r="QZB9" s="892"/>
      <c r="QZC9" s="892"/>
      <c r="QZD9" s="892"/>
      <c r="QZE9" s="892"/>
      <c r="QZF9" s="892"/>
      <c r="QZG9" s="892"/>
      <c r="QZH9" s="892"/>
      <c r="QZI9" s="892"/>
      <c r="QZJ9" s="892"/>
      <c r="QZK9" s="892"/>
      <c r="QZL9" s="892"/>
      <c r="QZM9" s="892"/>
      <c r="QZN9" s="892"/>
      <c r="QZO9" s="892"/>
      <c r="QZP9" s="892"/>
      <c r="QZQ9" s="892"/>
      <c r="QZR9" s="892"/>
      <c r="QZS9" s="892"/>
      <c r="QZT9" s="892"/>
      <c r="QZU9" s="892"/>
      <c r="QZV9" s="892"/>
      <c r="QZW9" s="892"/>
      <c r="QZX9" s="892"/>
      <c r="QZY9" s="892"/>
      <c r="QZZ9" s="892"/>
      <c r="RAA9" s="892"/>
      <c r="RAB9" s="892"/>
      <c r="RAC9" s="892"/>
      <c r="RAD9" s="892"/>
      <c r="RAE9" s="892"/>
      <c r="RAF9" s="892"/>
      <c r="RAG9" s="892"/>
      <c r="RAH9" s="892"/>
      <c r="RAI9" s="892"/>
      <c r="RAJ9" s="892"/>
      <c r="RAK9" s="892"/>
      <c r="RAL9" s="892"/>
      <c r="RAM9" s="892"/>
      <c r="RAN9" s="892"/>
      <c r="RAO9" s="892"/>
      <c r="RAP9" s="892"/>
      <c r="RAQ9" s="892"/>
      <c r="RAR9" s="892"/>
      <c r="RAS9" s="892"/>
      <c r="RAT9" s="892"/>
      <c r="RAU9" s="892"/>
      <c r="RAV9" s="892"/>
      <c r="RAW9" s="892"/>
      <c r="RAX9" s="892"/>
      <c r="RAY9" s="892"/>
      <c r="RAZ9" s="892"/>
      <c r="RBA9" s="892"/>
      <c r="RBB9" s="892"/>
      <c r="RBC9" s="892"/>
      <c r="RBD9" s="892"/>
      <c r="RBE9" s="892"/>
      <c r="RBF9" s="892"/>
      <c r="RBG9" s="892"/>
      <c r="RBH9" s="892"/>
      <c r="RBI9" s="892"/>
      <c r="RBJ9" s="892"/>
      <c r="RBK9" s="892"/>
      <c r="RBL9" s="892"/>
      <c r="RBM9" s="892"/>
      <c r="RBN9" s="892"/>
      <c r="RBO9" s="892"/>
      <c r="RBP9" s="892"/>
      <c r="RBQ9" s="892"/>
      <c r="RBR9" s="892"/>
      <c r="RBS9" s="892"/>
      <c r="RBT9" s="892"/>
      <c r="RBU9" s="892"/>
      <c r="RBV9" s="892"/>
      <c r="RBW9" s="892"/>
      <c r="RBX9" s="892"/>
      <c r="RBY9" s="892"/>
      <c r="RBZ9" s="892"/>
      <c r="RCA9" s="892"/>
      <c r="RCB9" s="892"/>
      <c r="RCC9" s="892"/>
      <c r="RCD9" s="892"/>
      <c r="RCE9" s="892"/>
      <c r="RCF9" s="892"/>
      <c r="RCG9" s="892"/>
      <c r="RCH9" s="892"/>
      <c r="RCI9" s="892"/>
      <c r="RCJ9" s="892"/>
      <c r="RCK9" s="892"/>
      <c r="RCL9" s="892"/>
      <c r="RCM9" s="892"/>
      <c r="RCN9" s="892"/>
      <c r="RCO9" s="892"/>
      <c r="RCP9" s="892"/>
      <c r="RCQ9" s="892"/>
      <c r="RCR9" s="892"/>
      <c r="RCS9" s="892"/>
      <c r="RCT9" s="892"/>
      <c r="RCU9" s="892"/>
      <c r="RCV9" s="892"/>
      <c r="RCW9" s="892"/>
      <c r="RCX9" s="892"/>
      <c r="RCY9" s="892"/>
      <c r="RCZ9" s="892"/>
      <c r="RDA9" s="892"/>
      <c r="RDB9" s="892"/>
      <c r="RDC9" s="892"/>
      <c r="RDD9" s="892"/>
      <c r="RDE9" s="892"/>
      <c r="RDF9" s="892"/>
      <c r="RDG9" s="892"/>
      <c r="RDH9" s="892"/>
      <c r="RDI9" s="892"/>
      <c r="RDJ9" s="892"/>
      <c r="RDK9" s="892"/>
      <c r="RDL9" s="892"/>
      <c r="RDM9" s="892"/>
      <c r="RDN9" s="892"/>
      <c r="RDO9" s="892"/>
      <c r="RDP9" s="892"/>
      <c r="RDQ9" s="892"/>
      <c r="RDR9" s="892"/>
      <c r="RDS9" s="892"/>
      <c r="RDT9" s="892"/>
      <c r="RDU9" s="892"/>
      <c r="RDV9" s="892"/>
      <c r="RDW9" s="892"/>
      <c r="RDX9" s="892"/>
      <c r="RDY9" s="892"/>
      <c r="RDZ9" s="892"/>
      <c r="REA9" s="892"/>
      <c r="REB9" s="892"/>
      <c r="REC9" s="892"/>
      <c r="RED9" s="892"/>
      <c r="REE9" s="892"/>
      <c r="REF9" s="892"/>
      <c r="REG9" s="892"/>
      <c r="REH9" s="892"/>
      <c r="REI9" s="892"/>
      <c r="REJ9" s="892"/>
      <c r="REK9" s="892"/>
      <c r="REL9" s="892"/>
      <c r="REM9" s="892"/>
      <c r="REN9" s="892"/>
      <c r="REO9" s="892"/>
      <c r="REP9" s="892"/>
      <c r="REQ9" s="892"/>
      <c r="RER9" s="892"/>
      <c r="RES9" s="892"/>
      <c r="RET9" s="892"/>
      <c r="REU9" s="892"/>
      <c r="REV9" s="892"/>
      <c r="REW9" s="892"/>
      <c r="REX9" s="892"/>
      <c r="REY9" s="892"/>
      <c r="REZ9" s="892"/>
      <c r="RFA9" s="892"/>
      <c r="RFB9" s="892"/>
      <c r="RFC9" s="892"/>
      <c r="RFD9" s="892"/>
      <c r="RFE9" s="892"/>
      <c r="RFF9" s="892"/>
      <c r="RFG9" s="892"/>
      <c r="RFH9" s="892"/>
      <c r="RFI9" s="892"/>
      <c r="RFJ9" s="892"/>
      <c r="RFK9" s="892"/>
      <c r="RFL9" s="892"/>
      <c r="RFM9" s="892"/>
      <c r="RFN9" s="892"/>
      <c r="RFO9" s="892"/>
      <c r="RFP9" s="892"/>
      <c r="RFQ9" s="892"/>
      <c r="RFR9" s="892"/>
      <c r="RFS9" s="892"/>
      <c r="RFT9" s="892"/>
      <c r="RFU9" s="892"/>
      <c r="RFV9" s="892"/>
      <c r="RFW9" s="892"/>
      <c r="RFX9" s="892"/>
      <c r="RFY9" s="892"/>
      <c r="RFZ9" s="892"/>
      <c r="RGA9" s="892"/>
      <c r="RGB9" s="892"/>
      <c r="RGC9" s="892"/>
      <c r="RGD9" s="892"/>
      <c r="RGE9" s="892"/>
      <c r="RGF9" s="892"/>
      <c r="RGG9" s="892"/>
      <c r="RGH9" s="892"/>
      <c r="RGI9" s="892"/>
      <c r="RGJ9" s="892"/>
      <c r="RGK9" s="892"/>
      <c r="RGL9" s="892"/>
      <c r="RGM9" s="892"/>
      <c r="RGN9" s="892"/>
      <c r="RGO9" s="892"/>
      <c r="RGP9" s="892"/>
      <c r="RGQ9" s="892"/>
      <c r="RGR9" s="892"/>
      <c r="RGS9" s="892"/>
      <c r="RGT9" s="892"/>
      <c r="RGU9" s="892"/>
      <c r="RGV9" s="892"/>
      <c r="RGW9" s="892"/>
      <c r="RGX9" s="892"/>
      <c r="RGY9" s="892"/>
      <c r="RGZ9" s="892"/>
      <c r="RHA9" s="892"/>
      <c r="RHB9" s="892"/>
      <c r="RHC9" s="892"/>
      <c r="RHD9" s="892"/>
      <c r="RHE9" s="892"/>
      <c r="RHF9" s="892"/>
      <c r="RHG9" s="892"/>
      <c r="RHH9" s="892"/>
      <c r="RHI9" s="892"/>
      <c r="RHJ9" s="892"/>
      <c r="RHK9" s="892"/>
      <c r="RHL9" s="892"/>
      <c r="RHM9" s="892"/>
      <c r="RHN9" s="892"/>
      <c r="RHO9" s="892"/>
      <c r="RHP9" s="892"/>
      <c r="RHQ9" s="892"/>
      <c r="RHR9" s="892"/>
      <c r="RHS9" s="892"/>
      <c r="RHT9" s="892"/>
      <c r="RHU9" s="892"/>
      <c r="RHV9" s="892"/>
      <c r="RHW9" s="892"/>
      <c r="RHX9" s="892"/>
      <c r="RHY9" s="892"/>
      <c r="RHZ9" s="892"/>
      <c r="RIA9" s="892"/>
      <c r="RIB9" s="892"/>
      <c r="RIC9" s="892"/>
      <c r="RID9" s="892"/>
      <c r="RIE9" s="892"/>
      <c r="RIF9" s="892"/>
      <c r="RIG9" s="892"/>
      <c r="RIH9" s="892"/>
      <c r="RII9" s="892"/>
      <c r="RIJ9" s="892"/>
      <c r="RIK9" s="892"/>
      <c r="RIL9" s="892"/>
      <c r="RIM9" s="892"/>
      <c r="RIN9" s="892"/>
      <c r="RIO9" s="892"/>
      <c r="RIP9" s="892"/>
      <c r="RIQ9" s="892"/>
      <c r="RIR9" s="892"/>
      <c r="RIS9" s="892"/>
      <c r="RIT9" s="892"/>
      <c r="RIU9" s="892"/>
      <c r="RIV9" s="892"/>
      <c r="RIW9" s="892"/>
      <c r="RIX9" s="892"/>
      <c r="RIY9" s="892"/>
      <c r="RIZ9" s="892"/>
      <c r="RJA9" s="892"/>
      <c r="RJB9" s="892"/>
      <c r="RJC9" s="892"/>
      <c r="RJD9" s="892"/>
      <c r="RJE9" s="892"/>
      <c r="RJF9" s="892"/>
      <c r="RJG9" s="892"/>
      <c r="RJH9" s="892"/>
      <c r="RJI9" s="892"/>
      <c r="RJJ9" s="892"/>
      <c r="RJK9" s="892"/>
      <c r="RJL9" s="892"/>
      <c r="RJM9" s="892"/>
      <c r="RJN9" s="892"/>
      <c r="RJO9" s="892"/>
      <c r="RJP9" s="892"/>
      <c r="RJQ9" s="892"/>
      <c r="RJR9" s="892"/>
      <c r="RJS9" s="892"/>
      <c r="RJT9" s="892"/>
      <c r="RJU9" s="892"/>
      <c r="RJV9" s="892"/>
      <c r="RJW9" s="892"/>
      <c r="RJX9" s="892"/>
      <c r="RJY9" s="892"/>
      <c r="RJZ9" s="892"/>
      <c r="RKA9" s="892"/>
      <c r="RKB9" s="892"/>
      <c r="RKC9" s="892"/>
      <c r="RKD9" s="892"/>
      <c r="RKE9" s="892"/>
      <c r="RKF9" s="892"/>
      <c r="RKG9" s="892"/>
      <c r="RKH9" s="892"/>
      <c r="RKI9" s="892"/>
      <c r="RKJ9" s="892"/>
      <c r="RKK9" s="892"/>
      <c r="RKL9" s="892"/>
      <c r="RKM9" s="892"/>
      <c r="RKN9" s="892"/>
      <c r="RKO9" s="892"/>
      <c r="RKP9" s="892"/>
      <c r="RKQ9" s="892"/>
      <c r="RKR9" s="892"/>
      <c r="RKS9" s="892"/>
      <c r="RKT9" s="892"/>
      <c r="RKU9" s="892"/>
      <c r="RKV9" s="892"/>
      <c r="RKW9" s="892"/>
      <c r="RKX9" s="892"/>
      <c r="RKY9" s="892"/>
      <c r="RKZ9" s="892"/>
      <c r="RLA9" s="892"/>
      <c r="RLB9" s="892"/>
      <c r="RLC9" s="892"/>
      <c r="RLD9" s="892"/>
      <c r="RLE9" s="892"/>
      <c r="RLF9" s="892"/>
      <c r="RLG9" s="892"/>
      <c r="RLH9" s="892"/>
      <c r="RLI9" s="892"/>
      <c r="RLJ9" s="892"/>
      <c r="RLK9" s="892"/>
      <c r="RLL9" s="892"/>
      <c r="RLM9" s="892"/>
      <c r="RLN9" s="892"/>
      <c r="RLO9" s="892"/>
      <c r="RLP9" s="892"/>
      <c r="RLQ9" s="892"/>
      <c r="RLR9" s="892"/>
      <c r="RLS9" s="892"/>
      <c r="RLT9" s="892"/>
      <c r="RLU9" s="892"/>
      <c r="RLV9" s="892"/>
      <c r="RLW9" s="892"/>
      <c r="RLX9" s="892"/>
      <c r="RLY9" s="892"/>
      <c r="RLZ9" s="892"/>
      <c r="RMA9" s="892"/>
      <c r="RMB9" s="892"/>
      <c r="RMC9" s="892"/>
      <c r="RMD9" s="892"/>
      <c r="RME9" s="892"/>
      <c r="RMF9" s="892"/>
      <c r="RMG9" s="892"/>
      <c r="RMH9" s="892"/>
      <c r="RMI9" s="892"/>
      <c r="RMJ9" s="892"/>
      <c r="RMK9" s="892"/>
      <c r="RML9" s="892"/>
      <c r="RMM9" s="892"/>
      <c r="RMN9" s="892"/>
      <c r="RMO9" s="892"/>
      <c r="RMP9" s="892"/>
      <c r="RMQ9" s="892"/>
      <c r="RMR9" s="892"/>
      <c r="RMS9" s="892"/>
      <c r="RMT9" s="892"/>
      <c r="RMU9" s="892"/>
      <c r="RMV9" s="892"/>
      <c r="RMW9" s="892"/>
      <c r="RMX9" s="892"/>
      <c r="RMY9" s="892"/>
      <c r="RMZ9" s="892"/>
      <c r="RNA9" s="892"/>
      <c r="RNB9" s="892"/>
      <c r="RNC9" s="892"/>
      <c r="RND9" s="892"/>
      <c r="RNE9" s="892"/>
      <c r="RNF9" s="892"/>
      <c r="RNG9" s="892"/>
      <c r="RNH9" s="892"/>
      <c r="RNI9" s="892"/>
      <c r="RNJ9" s="892"/>
      <c r="RNK9" s="892"/>
      <c r="RNL9" s="892"/>
      <c r="RNM9" s="892"/>
      <c r="RNN9" s="892"/>
      <c r="RNO9" s="892"/>
      <c r="RNP9" s="892"/>
      <c r="RNQ9" s="892"/>
      <c r="RNR9" s="892"/>
      <c r="RNS9" s="892"/>
      <c r="RNT9" s="892"/>
      <c r="RNU9" s="892"/>
      <c r="RNV9" s="892"/>
      <c r="RNW9" s="892"/>
      <c r="RNX9" s="892"/>
      <c r="RNY9" s="892"/>
      <c r="RNZ9" s="892"/>
      <c r="ROA9" s="892"/>
      <c r="ROB9" s="892"/>
      <c r="ROC9" s="892"/>
      <c r="ROD9" s="892"/>
      <c r="ROE9" s="892"/>
      <c r="ROF9" s="892"/>
      <c r="ROG9" s="892"/>
      <c r="ROH9" s="892"/>
      <c r="ROI9" s="892"/>
      <c r="ROJ9" s="892"/>
      <c r="ROK9" s="892"/>
      <c r="ROL9" s="892"/>
      <c r="ROM9" s="892"/>
      <c r="RON9" s="892"/>
      <c r="ROO9" s="892"/>
      <c r="ROP9" s="892"/>
      <c r="ROQ9" s="892"/>
      <c r="ROR9" s="892"/>
      <c r="ROS9" s="892"/>
      <c r="ROT9" s="892"/>
      <c r="ROU9" s="892"/>
      <c r="ROV9" s="892"/>
      <c r="ROW9" s="892"/>
      <c r="ROX9" s="892"/>
      <c r="ROY9" s="892"/>
      <c r="ROZ9" s="892"/>
      <c r="RPA9" s="892"/>
      <c r="RPB9" s="892"/>
      <c r="RPC9" s="892"/>
      <c r="RPD9" s="892"/>
      <c r="RPE9" s="892"/>
      <c r="RPF9" s="892"/>
      <c r="RPG9" s="892"/>
      <c r="RPH9" s="892"/>
      <c r="RPI9" s="892"/>
      <c r="RPJ9" s="892"/>
      <c r="RPK9" s="892"/>
      <c r="RPL9" s="892"/>
      <c r="RPM9" s="892"/>
      <c r="RPN9" s="892"/>
      <c r="RPO9" s="892"/>
      <c r="RPP9" s="892"/>
      <c r="RPQ9" s="892"/>
      <c r="RPR9" s="892"/>
      <c r="RPS9" s="892"/>
      <c r="RPT9" s="892"/>
      <c r="RPU9" s="892"/>
      <c r="RPV9" s="892"/>
      <c r="RPW9" s="892"/>
      <c r="RPX9" s="892"/>
      <c r="RPY9" s="892"/>
      <c r="RPZ9" s="892"/>
      <c r="RQA9" s="892"/>
      <c r="RQB9" s="892"/>
      <c r="RQC9" s="892"/>
      <c r="RQD9" s="892"/>
      <c r="RQE9" s="892"/>
      <c r="RQF9" s="892"/>
      <c r="RQG9" s="892"/>
      <c r="RQH9" s="892"/>
      <c r="RQI9" s="892"/>
      <c r="RQJ9" s="892"/>
      <c r="RQK9" s="892"/>
      <c r="RQL9" s="892"/>
      <c r="RQM9" s="892"/>
      <c r="RQN9" s="892"/>
      <c r="RQO9" s="892"/>
      <c r="RQP9" s="892"/>
      <c r="RQQ9" s="892"/>
      <c r="RQR9" s="892"/>
      <c r="RQS9" s="892"/>
      <c r="RQT9" s="892"/>
      <c r="RQU9" s="892"/>
      <c r="RQV9" s="892"/>
      <c r="RQW9" s="892"/>
      <c r="RQX9" s="892"/>
      <c r="RQY9" s="892"/>
      <c r="RQZ9" s="892"/>
      <c r="RRA9" s="892"/>
      <c r="RRB9" s="892"/>
      <c r="RRC9" s="892"/>
      <c r="RRD9" s="892"/>
      <c r="RRE9" s="892"/>
      <c r="RRF9" s="892"/>
      <c r="RRG9" s="892"/>
      <c r="RRH9" s="892"/>
      <c r="RRI9" s="892"/>
      <c r="RRJ9" s="892"/>
      <c r="RRK9" s="892"/>
      <c r="RRL9" s="892"/>
      <c r="RRM9" s="892"/>
      <c r="RRN9" s="892"/>
      <c r="RRO9" s="892"/>
      <c r="RRP9" s="892"/>
      <c r="RRQ9" s="892"/>
      <c r="RRR9" s="892"/>
      <c r="RRS9" s="892"/>
      <c r="RRT9" s="892"/>
      <c r="RRU9" s="892"/>
      <c r="RRV9" s="892"/>
      <c r="RRW9" s="892"/>
      <c r="RRX9" s="892"/>
      <c r="RRY9" s="892"/>
      <c r="RRZ9" s="892"/>
      <c r="RSA9" s="892"/>
      <c r="RSB9" s="892"/>
      <c r="RSC9" s="892"/>
      <c r="RSD9" s="892"/>
      <c r="RSE9" s="892"/>
      <c r="RSF9" s="892"/>
      <c r="RSG9" s="892"/>
      <c r="RSH9" s="892"/>
      <c r="RSI9" s="892"/>
      <c r="RSJ9" s="892"/>
      <c r="RSK9" s="892"/>
      <c r="RSL9" s="892"/>
      <c r="RSM9" s="892"/>
      <c r="RSN9" s="892"/>
      <c r="RSO9" s="892"/>
      <c r="RSP9" s="892"/>
      <c r="RSQ9" s="892"/>
      <c r="RSR9" s="892"/>
      <c r="RSS9" s="892"/>
      <c r="RST9" s="892"/>
      <c r="RSU9" s="892"/>
      <c r="RSV9" s="892"/>
      <c r="RSW9" s="892"/>
      <c r="RSX9" s="892"/>
      <c r="RSY9" s="892"/>
      <c r="RSZ9" s="892"/>
      <c r="RTA9" s="892"/>
      <c r="RTB9" s="892"/>
      <c r="RTC9" s="892"/>
      <c r="RTD9" s="892"/>
      <c r="RTE9" s="892"/>
      <c r="RTF9" s="892"/>
      <c r="RTG9" s="892"/>
      <c r="RTH9" s="892"/>
      <c r="RTI9" s="892"/>
      <c r="RTJ9" s="892"/>
      <c r="RTK9" s="892"/>
      <c r="RTL9" s="892"/>
      <c r="RTM9" s="892"/>
      <c r="RTN9" s="892"/>
      <c r="RTO9" s="892"/>
      <c r="RTP9" s="892"/>
      <c r="RTQ9" s="892"/>
      <c r="RTR9" s="892"/>
      <c r="RTS9" s="892"/>
      <c r="RTT9" s="892"/>
      <c r="RTU9" s="892"/>
      <c r="RTV9" s="892"/>
      <c r="RTW9" s="892"/>
      <c r="RTX9" s="892"/>
      <c r="RTY9" s="892"/>
      <c r="RTZ9" s="892"/>
      <c r="RUA9" s="892"/>
      <c r="RUB9" s="892"/>
      <c r="RUC9" s="892"/>
      <c r="RUD9" s="892"/>
      <c r="RUE9" s="892"/>
      <c r="RUF9" s="892"/>
      <c r="RUG9" s="892"/>
      <c r="RUH9" s="892"/>
      <c r="RUI9" s="892"/>
      <c r="RUJ9" s="892"/>
      <c r="RUK9" s="892"/>
      <c r="RUL9" s="892"/>
      <c r="RUM9" s="892"/>
      <c r="RUN9" s="892"/>
      <c r="RUO9" s="892"/>
      <c r="RUP9" s="892"/>
      <c r="RUQ9" s="892"/>
      <c r="RUR9" s="892"/>
      <c r="RUS9" s="892"/>
      <c r="RUT9" s="892"/>
      <c r="RUU9" s="892"/>
      <c r="RUV9" s="892"/>
      <c r="RUW9" s="892"/>
      <c r="RUX9" s="892"/>
      <c r="RUY9" s="892"/>
      <c r="RUZ9" s="892"/>
      <c r="RVA9" s="892"/>
      <c r="RVB9" s="892"/>
      <c r="RVC9" s="892"/>
      <c r="RVD9" s="892"/>
      <c r="RVE9" s="892"/>
      <c r="RVF9" s="892"/>
      <c r="RVG9" s="892"/>
      <c r="RVH9" s="892"/>
      <c r="RVI9" s="892"/>
      <c r="RVJ9" s="892"/>
      <c r="RVK9" s="892"/>
      <c r="RVL9" s="892"/>
      <c r="RVM9" s="892"/>
      <c r="RVN9" s="892"/>
      <c r="RVO9" s="892"/>
      <c r="RVP9" s="892"/>
      <c r="RVQ9" s="892"/>
      <c r="RVR9" s="892"/>
      <c r="RVS9" s="892"/>
      <c r="RVT9" s="892"/>
      <c r="RVU9" s="892"/>
      <c r="RVV9" s="892"/>
      <c r="RVW9" s="892"/>
      <c r="RVX9" s="892"/>
      <c r="RVY9" s="892"/>
      <c r="RVZ9" s="892"/>
      <c r="RWA9" s="892"/>
      <c r="RWB9" s="892"/>
      <c r="RWC9" s="892"/>
      <c r="RWD9" s="892"/>
      <c r="RWE9" s="892"/>
      <c r="RWF9" s="892"/>
      <c r="RWG9" s="892"/>
      <c r="RWH9" s="892"/>
      <c r="RWI9" s="892"/>
      <c r="RWJ9" s="892"/>
      <c r="RWK9" s="892"/>
      <c r="RWL9" s="892"/>
      <c r="RWM9" s="892"/>
      <c r="RWN9" s="892"/>
      <c r="RWO9" s="892"/>
      <c r="RWP9" s="892"/>
      <c r="RWQ9" s="892"/>
      <c r="RWR9" s="892"/>
      <c r="RWS9" s="892"/>
      <c r="RWT9" s="892"/>
      <c r="RWU9" s="892"/>
      <c r="RWV9" s="892"/>
      <c r="RWW9" s="892"/>
      <c r="RWX9" s="892"/>
      <c r="RWY9" s="892"/>
      <c r="RWZ9" s="892"/>
      <c r="RXA9" s="892"/>
      <c r="RXB9" s="892"/>
      <c r="RXC9" s="892"/>
      <c r="RXD9" s="892"/>
      <c r="RXE9" s="892"/>
      <c r="RXF9" s="892"/>
      <c r="RXG9" s="892"/>
      <c r="RXH9" s="892"/>
      <c r="RXI9" s="892"/>
      <c r="RXJ9" s="892"/>
      <c r="RXK9" s="892"/>
      <c r="RXL9" s="892"/>
      <c r="RXM9" s="892"/>
      <c r="RXN9" s="892"/>
      <c r="RXO9" s="892"/>
      <c r="RXP9" s="892"/>
      <c r="RXQ9" s="892"/>
      <c r="RXR9" s="892"/>
      <c r="RXS9" s="892"/>
      <c r="RXT9" s="892"/>
      <c r="RXU9" s="892"/>
      <c r="RXV9" s="892"/>
      <c r="RXW9" s="892"/>
      <c r="RXX9" s="892"/>
      <c r="RXY9" s="892"/>
      <c r="RXZ9" s="892"/>
      <c r="RYA9" s="892"/>
      <c r="RYB9" s="892"/>
      <c r="RYC9" s="892"/>
      <c r="RYD9" s="892"/>
      <c r="RYE9" s="892"/>
      <c r="RYF9" s="892"/>
      <c r="RYG9" s="892"/>
      <c r="RYH9" s="892"/>
      <c r="RYI9" s="892"/>
      <c r="RYJ9" s="892"/>
      <c r="RYK9" s="892"/>
      <c r="RYL9" s="892"/>
      <c r="RYM9" s="892"/>
      <c r="RYN9" s="892"/>
      <c r="RYO9" s="892"/>
      <c r="RYP9" s="892"/>
      <c r="RYQ9" s="892"/>
      <c r="RYR9" s="892"/>
      <c r="RYS9" s="892"/>
      <c r="RYT9" s="892"/>
      <c r="RYU9" s="892"/>
      <c r="RYV9" s="892"/>
      <c r="RYW9" s="892"/>
      <c r="RYX9" s="892"/>
      <c r="RYY9" s="892"/>
      <c r="RYZ9" s="892"/>
      <c r="RZA9" s="892"/>
      <c r="RZB9" s="892"/>
      <c r="RZC9" s="892"/>
      <c r="RZD9" s="892"/>
      <c r="RZE9" s="892"/>
      <c r="RZF9" s="892"/>
      <c r="RZG9" s="892"/>
      <c r="RZH9" s="892"/>
      <c r="RZI9" s="892"/>
      <c r="RZJ9" s="892"/>
      <c r="RZK9" s="892"/>
      <c r="RZL9" s="892"/>
      <c r="RZM9" s="892"/>
      <c r="RZN9" s="892"/>
      <c r="RZO9" s="892"/>
      <c r="RZP9" s="892"/>
      <c r="RZQ9" s="892"/>
      <c r="RZR9" s="892"/>
      <c r="RZS9" s="892"/>
      <c r="RZT9" s="892"/>
      <c r="RZU9" s="892"/>
      <c r="RZV9" s="892"/>
      <c r="RZW9" s="892"/>
      <c r="RZX9" s="892"/>
      <c r="RZY9" s="892"/>
      <c r="RZZ9" s="892"/>
      <c r="SAA9" s="892"/>
      <c r="SAB9" s="892"/>
      <c r="SAC9" s="892"/>
      <c r="SAD9" s="892"/>
      <c r="SAE9" s="892"/>
      <c r="SAF9" s="892"/>
      <c r="SAG9" s="892"/>
      <c r="SAH9" s="892"/>
      <c r="SAI9" s="892"/>
      <c r="SAJ9" s="892"/>
      <c r="SAK9" s="892"/>
      <c r="SAL9" s="892"/>
      <c r="SAM9" s="892"/>
      <c r="SAN9" s="892"/>
      <c r="SAO9" s="892"/>
      <c r="SAP9" s="892"/>
      <c r="SAQ9" s="892"/>
      <c r="SAR9" s="892"/>
      <c r="SAS9" s="892"/>
      <c r="SAT9" s="892"/>
      <c r="SAU9" s="892"/>
      <c r="SAV9" s="892"/>
      <c r="SAW9" s="892"/>
      <c r="SAX9" s="892"/>
      <c r="SAY9" s="892"/>
      <c r="SAZ9" s="892"/>
      <c r="SBA9" s="892"/>
      <c r="SBB9" s="892"/>
      <c r="SBC9" s="892"/>
      <c r="SBD9" s="892"/>
      <c r="SBE9" s="892"/>
      <c r="SBF9" s="892"/>
      <c r="SBG9" s="892"/>
      <c r="SBH9" s="892"/>
      <c r="SBI9" s="892"/>
      <c r="SBJ9" s="892"/>
      <c r="SBK9" s="892"/>
      <c r="SBL9" s="892"/>
      <c r="SBM9" s="892"/>
      <c r="SBN9" s="892"/>
      <c r="SBO9" s="892"/>
      <c r="SBP9" s="892"/>
      <c r="SBQ9" s="892"/>
      <c r="SBR9" s="892"/>
      <c r="SBS9" s="892"/>
      <c r="SBT9" s="892"/>
      <c r="SBU9" s="892"/>
      <c r="SBV9" s="892"/>
      <c r="SBW9" s="892"/>
      <c r="SBX9" s="892"/>
      <c r="SBY9" s="892"/>
      <c r="SBZ9" s="892"/>
      <c r="SCA9" s="892"/>
      <c r="SCB9" s="892"/>
      <c r="SCC9" s="892"/>
      <c r="SCD9" s="892"/>
      <c r="SCE9" s="892"/>
      <c r="SCF9" s="892"/>
      <c r="SCG9" s="892"/>
      <c r="SCH9" s="892"/>
      <c r="SCI9" s="892"/>
      <c r="SCJ9" s="892"/>
      <c r="SCK9" s="892"/>
      <c r="SCL9" s="892"/>
      <c r="SCM9" s="892"/>
      <c r="SCN9" s="892"/>
      <c r="SCO9" s="892"/>
      <c r="SCP9" s="892"/>
      <c r="SCQ9" s="892"/>
      <c r="SCR9" s="892"/>
      <c r="SCS9" s="892"/>
      <c r="SCT9" s="892"/>
      <c r="SCU9" s="892"/>
      <c r="SCV9" s="892"/>
      <c r="SCW9" s="892"/>
      <c r="SCX9" s="892"/>
      <c r="SCY9" s="892"/>
      <c r="SCZ9" s="892"/>
      <c r="SDA9" s="892"/>
      <c r="SDB9" s="892"/>
      <c r="SDC9" s="892"/>
      <c r="SDD9" s="892"/>
      <c r="SDE9" s="892"/>
      <c r="SDF9" s="892"/>
      <c r="SDG9" s="892"/>
      <c r="SDH9" s="892"/>
      <c r="SDI9" s="892"/>
      <c r="SDJ9" s="892"/>
      <c r="SDK9" s="892"/>
      <c r="SDL9" s="892"/>
      <c r="SDM9" s="892"/>
      <c r="SDN9" s="892"/>
      <c r="SDO9" s="892"/>
      <c r="SDP9" s="892"/>
      <c r="SDQ9" s="892"/>
      <c r="SDR9" s="892"/>
      <c r="SDS9" s="892"/>
      <c r="SDT9" s="892"/>
      <c r="SDU9" s="892"/>
      <c r="SDV9" s="892"/>
      <c r="SDW9" s="892"/>
      <c r="SDX9" s="892"/>
      <c r="SDY9" s="892"/>
      <c r="SDZ9" s="892"/>
      <c r="SEA9" s="892"/>
      <c r="SEB9" s="892"/>
      <c r="SEC9" s="892"/>
      <c r="SED9" s="892"/>
      <c r="SEE9" s="892"/>
      <c r="SEF9" s="892"/>
      <c r="SEG9" s="892"/>
      <c r="SEH9" s="892"/>
      <c r="SEI9" s="892"/>
      <c r="SEJ9" s="892"/>
      <c r="SEK9" s="892"/>
      <c r="SEL9" s="892"/>
      <c r="SEM9" s="892"/>
      <c r="SEN9" s="892"/>
      <c r="SEO9" s="892"/>
      <c r="SEP9" s="892"/>
      <c r="SEQ9" s="892"/>
      <c r="SER9" s="892"/>
      <c r="SES9" s="892"/>
      <c r="SET9" s="892"/>
      <c r="SEU9" s="892"/>
      <c r="SEV9" s="892"/>
      <c r="SEW9" s="892"/>
      <c r="SEX9" s="892"/>
      <c r="SEY9" s="892"/>
      <c r="SEZ9" s="892"/>
      <c r="SFA9" s="892"/>
      <c r="SFB9" s="892"/>
      <c r="SFC9" s="892"/>
      <c r="SFD9" s="892"/>
      <c r="SFE9" s="892"/>
      <c r="SFF9" s="892"/>
      <c r="SFG9" s="892"/>
      <c r="SFH9" s="892"/>
      <c r="SFI9" s="892"/>
      <c r="SFJ9" s="892"/>
      <c r="SFK9" s="892"/>
      <c r="SFL9" s="892"/>
      <c r="SFM9" s="892"/>
      <c r="SFN9" s="892"/>
      <c r="SFO9" s="892"/>
      <c r="SFP9" s="892"/>
      <c r="SFQ9" s="892"/>
      <c r="SFR9" s="892"/>
      <c r="SFS9" s="892"/>
      <c r="SFT9" s="892"/>
      <c r="SFU9" s="892"/>
      <c r="SFV9" s="892"/>
      <c r="SFW9" s="892"/>
      <c r="SFX9" s="892"/>
      <c r="SFY9" s="892"/>
      <c r="SFZ9" s="892"/>
      <c r="SGA9" s="892"/>
      <c r="SGB9" s="892"/>
      <c r="SGC9" s="892"/>
      <c r="SGD9" s="892"/>
      <c r="SGE9" s="892"/>
      <c r="SGF9" s="892"/>
      <c r="SGG9" s="892"/>
      <c r="SGH9" s="892"/>
      <c r="SGI9" s="892"/>
      <c r="SGJ9" s="892"/>
      <c r="SGK9" s="892"/>
      <c r="SGL9" s="892"/>
      <c r="SGM9" s="892"/>
      <c r="SGN9" s="892"/>
      <c r="SGO9" s="892"/>
      <c r="SGP9" s="892"/>
      <c r="SGQ9" s="892"/>
      <c r="SGR9" s="892"/>
      <c r="SGS9" s="892"/>
      <c r="SGT9" s="892"/>
      <c r="SGU9" s="892"/>
      <c r="SGV9" s="892"/>
      <c r="SGW9" s="892"/>
      <c r="SGX9" s="892"/>
      <c r="SGY9" s="892"/>
      <c r="SGZ9" s="892"/>
      <c r="SHA9" s="892"/>
      <c r="SHB9" s="892"/>
      <c r="SHC9" s="892"/>
      <c r="SHD9" s="892"/>
      <c r="SHE9" s="892"/>
      <c r="SHF9" s="892"/>
      <c r="SHG9" s="892"/>
      <c r="SHH9" s="892"/>
      <c r="SHI9" s="892"/>
      <c r="SHJ9" s="892"/>
      <c r="SHK9" s="892"/>
      <c r="SHL9" s="892"/>
      <c r="SHM9" s="892"/>
      <c r="SHN9" s="892"/>
      <c r="SHO9" s="892"/>
      <c r="SHP9" s="892"/>
      <c r="SHQ9" s="892"/>
      <c r="SHR9" s="892"/>
      <c r="SHS9" s="892"/>
      <c r="SHT9" s="892"/>
      <c r="SHU9" s="892"/>
      <c r="SHV9" s="892"/>
      <c r="SHW9" s="892"/>
      <c r="SHX9" s="892"/>
      <c r="SHY9" s="892"/>
      <c r="SHZ9" s="892"/>
      <c r="SIA9" s="892"/>
      <c r="SIB9" s="892"/>
      <c r="SIC9" s="892"/>
      <c r="SID9" s="892"/>
      <c r="SIE9" s="892"/>
      <c r="SIF9" s="892"/>
      <c r="SIG9" s="892"/>
      <c r="SIH9" s="892"/>
      <c r="SII9" s="892"/>
      <c r="SIJ9" s="892"/>
      <c r="SIK9" s="892"/>
      <c r="SIL9" s="892"/>
      <c r="SIM9" s="892"/>
      <c r="SIN9" s="892"/>
      <c r="SIO9" s="892"/>
      <c r="SIP9" s="892"/>
      <c r="SIQ9" s="892"/>
      <c r="SIR9" s="892"/>
      <c r="SIS9" s="892"/>
      <c r="SIT9" s="892"/>
      <c r="SIU9" s="892"/>
      <c r="SIV9" s="892"/>
      <c r="SIW9" s="892"/>
      <c r="SIX9" s="892"/>
      <c r="SIY9" s="892"/>
      <c r="SIZ9" s="892"/>
      <c r="SJA9" s="892"/>
      <c r="SJB9" s="892"/>
      <c r="SJC9" s="892"/>
      <c r="SJD9" s="892"/>
      <c r="SJE9" s="892"/>
      <c r="SJF9" s="892"/>
      <c r="SJG9" s="892"/>
      <c r="SJH9" s="892"/>
      <c r="SJI9" s="892"/>
      <c r="SJJ9" s="892"/>
      <c r="SJK9" s="892"/>
      <c r="SJL9" s="892"/>
      <c r="SJM9" s="892"/>
      <c r="SJN9" s="892"/>
      <c r="SJO9" s="892"/>
      <c r="SJP9" s="892"/>
      <c r="SJQ9" s="892"/>
      <c r="SJR9" s="892"/>
      <c r="SJS9" s="892"/>
      <c r="SJT9" s="892"/>
      <c r="SJU9" s="892"/>
      <c r="SJV9" s="892"/>
      <c r="SJW9" s="892"/>
      <c r="SJX9" s="892"/>
      <c r="SJY9" s="892"/>
      <c r="SJZ9" s="892"/>
      <c r="SKA9" s="892"/>
      <c r="SKB9" s="892"/>
      <c r="SKC9" s="892"/>
      <c r="SKD9" s="892"/>
      <c r="SKE9" s="892"/>
      <c r="SKF9" s="892"/>
      <c r="SKG9" s="892"/>
      <c r="SKH9" s="892"/>
      <c r="SKI9" s="892"/>
      <c r="SKJ9" s="892"/>
      <c r="SKK9" s="892"/>
      <c r="SKL9" s="892"/>
      <c r="SKM9" s="892"/>
      <c r="SKN9" s="892"/>
      <c r="SKO9" s="892"/>
      <c r="SKP9" s="892"/>
      <c r="SKQ9" s="892"/>
      <c r="SKR9" s="892"/>
      <c r="SKS9" s="892"/>
      <c r="SKT9" s="892"/>
      <c r="SKU9" s="892"/>
      <c r="SKV9" s="892"/>
      <c r="SKW9" s="892"/>
      <c r="SKX9" s="892"/>
      <c r="SKY9" s="892"/>
      <c r="SKZ9" s="892"/>
      <c r="SLA9" s="892"/>
      <c r="SLB9" s="892"/>
      <c r="SLC9" s="892"/>
      <c r="SLD9" s="892"/>
      <c r="SLE9" s="892"/>
      <c r="SLF9" s="892"/>
      <c r="SLG9" s="892"/>
      <c r="SLH9" s="892"/>
      <c r="SLI9" s="892"/>
      <c r="SLJ9" s="892"/>
      <c r="SLK9" s="892"/>
      <c r="SLL9" s="892"/>
      <c r="SLM9" s="892"/>
      <c r="SLN9" s="892"/>
      <c r="SLO9" s="892"/>
      <c r="SLP9" s="892"/>
      <c r="SLQ9" s="892"/>
      <c r="SLR9" s="892"/>
      <c r="SLS9" s="892"/>
      <c r="SLT9" s="892"/>
      <c r="SLU9" s="892"/>
      <c r="SLV9" s="892"/>
      <c r="SLW9" s="892"/>
      <c r="SLX9" s="892"/>
      <c r="SLY9" s="892"/>
      <c r="SLZ9" s="892"/>
      <c r="SMA9" s="892"/>
      <c r="SMB9" s="892"/>
      <c r="SMC9" s="892"/>
      <c r="SMD9" s="892"/>
      <c r="SME9" s="892"/>
      <c r="SMF9" s="892"/>
      <c r="SMG9" s="892"/>
      <c r="SMH9" s="892"/>
      <c r="SMI9" s="892"/>
      <c r="SMJ9" s="892"/>
      <c r="SMK9" s="892"/>
      <c r="SML9" s="892"/>
      <c r="SMM9" s="892"/>
      <c r="SMN9" s="892"/>
      <c r="SMO9" s="892"/>
      <c r="SMP9" s="892"/>
      <c r="SMQ9" s="892"/>
      <c r="SMR9" s="892"/>
      <c r="SMS9" s="892"/>
      <c r="SMT9" s="892"/>
      <c r="SMU9" s="892"/>
      <c r="SMV9" s="892"/>
      <c r="SMW9" s="892"/>
      <c r="SMX9" s="892"/>
      <c r="SMY9" s="892"/>
      <c r="SMZ9" s="892"/>
      <c r="SNA9" s="892"/>
      <c r="SNB9" s="892"/>
      <c r="SNC9" s="892"/>
      <c r="SND9" s="892"/>
      <c r="SNE9" s="892"/>
      <c r="SNF9" s="892"/>
      <c r="SNG9" s="892"/>
      <c r="SNH9" s="892"/>
      <c r="SNI9" s="892"/>
      <c r="SNJ9" s="892"/>
      <c r="SNK9" s="892"/>
      <c r="SNL9" s="892"/>
      <c r="SNM9" s="892"/>
      <c r="SNN9" s="892"/>
      <c r="SNO9" s="892"/>
      <c r="SNP9" s="892"/>
      <c r="SNQ9" s="892"/>
      <c r="SNR9" s="892"/>
      <c r="SNS9" s="892"/>
      <c r="SNT9" s="892"/>
      <c r="SNU9" s="892"/>
      <c r="SNV9" s="892"/>
      <c r="SNW9" s="892"/>
      <c r="SNX9" s="892"/>
      <c r="SNY9" s="892"/>
      <c r="SNZ9" s="892"/>
      <c r="SOA9" s="892"/>
      <c r="SOB9" s="892"/>
      <c r="SOC9" s="892"/>
      <c r="SOD9" s="892"/>
      <c r="SOE9" s="892"/>
      <c r="SOF9" s="892"/>
      <c r="SOG9" s="892"/>
      <c r="SOH9" s="892"/>
      <c r="SOI9" s="892"/>
      <c r="SOJ9" s="892"/>
      <c r="SOK9" s="892"/>
      <c r="SOL9" s="892"/>
      <c r="SOM9" s="892"/>
      <c r="SON9" s="892"/>
      <c r="SOO9" s="892"/>
      <c r="SOP9" s="892"/>
      <c r="SOQ9" s="892"/>
      <c r="SOR9" s="892"/>
      <c r="SOS9" s="892"/>
      <c r="SOT9" s="892"/>
      <c r="SOU9" s="892"/>
      <c r="SOV9" s="892"/>
      <c r="SOW9" s="892"/>
      <c r="SOX9" s="892"/>
      <c r="SOY9" s="892"/>
      <c r="SOZ9" s="892"/>
      <c r="SPA9" s="892"/>
      <c r="SPB9" s="892"/>
      <c r="SPC9" s="892"/>
      <c r="SPD9" s="892"/>
      <c r="SPE9" s="892"/>
      <c r="SPF9" s="892"/>
      <c r="SPG9" s="892"/>
      <c r="SPH9" s="892"/>
      <c r="SPI9" s="892"/>
      <c r="SPJ9" s="892"/>
      <c r="SPK9" s="892"/>
      <c r="SPL9" s="892"/>
      <c r="SPM9" s="892"/>
      <c r="SPN9" s="892"/>
      <c r="SPO9" s="892"/>
      <c r="SPP9" s="892"/>
      <c r="SPQ9" s="892"/>
      <c r="SPR9" s="892"/>
      <c r="SPS9" s="892"/>
      <c r="SPT9" s="892"/>
      <c r="SPU9" s="892"/>
      <c r="SPV9" s="892"/>
      <c r="SPW9" s="892"/>
      <c r="SPX9" s="892"/>
      <c r="SPY9" s="892"/>
      <c r="SPZ9" s="892"/>
      <c r="SQA9" s="892"/>
      <c r="SQB9" s="892"/>
      <c r="SQC9" s="892"/>
      <c r="SQD9" s="892"/>
      <c r="SQE9" s="892"/>
      <c r="SQF9" s="892"/>
      <c r="SQG9" s="892"/>
      <c r="SQH9" s="892"/>
      <c r="SQI9" s="892"/>
      <c r="SQJ9" s="892"/>
      <c r="SQK9" s="892"/>
      <c r="SQL9" s="892"/>
      <c r="SQM9" s="892"/>
      <c r="SQN9" s="892"/>
      <c r="SQO9" s="892"/>
      <c r="SQP9" s="892"/>
      <c r="SQQ9" s="892"/>
      <c r="SQR9" s="892"/>
      <c r="SQS9" s="892"/>
      <c r="SQT9" s="892"/>
      <c r="SQU9" s="892"/>
      <c r="SQV9" s="892"/>
      <c r="SQW9" s="892"/>
      <c r="SQX9" s="892"/>
      <c r="SQY9" s="892"/>
      <c r="SQZ9" s="892"/>
      <c r="SRA9" s="892"/>
      <c r="SRB9" s="892"/>
      <c r="SRC9" s="892"/>
      <c r="SRD9" s="892"/>
      <c r="SRE9" s="892"/>
      <c r="SRF9" s="892"/>
      <c r="SRG9" s="892"/>
      <c r="SRH9" s="892"/>
      <c r="SRI9" s="892"/>
      <c r="SRJ9" s="892"/>
      <c r="SRK9" s="892"/>
      <c r="SRL9" s="892"/>
      <c r="SRM9" s="892"/>
      <c r="SRN9" s="892"/>
      <c r="SRO9" s="892"/>
      <c r="SRP9" s="892"/>
      <c r="SRQ9" s="892"/>
      <c r="SRR9" s="892"/>
      <c r="SRS9" s="892"/>
      <c r="SRT9" s="892"/>
      <c r="SRU9" s="892"/>
      <c r="SRV9" s="892"/>
      <c r="SRW9" s="892"/>
      <c r="SRX9" s="892"/>
      <c r="SRY9" s="892"/>
      <c r="SRZ9" s="892"/>
      <c r="SSA9" s="892"/>
      <c r="SSB9" s="892"/>
      <c r="SSC9" s="892"/>
      <c r="SSD9" s="892"/>
      <c r="SSE9" s="892"/>
      <c r="SSF9" s="892"/>
      <c r="SSG9" s="892"/>
      <c r="SSH9" s="892"/>
      <c r="SSI9" s="892"/>
      <c r="SSJ9" s="892"/>
      <c r="SSK9" s="892"/>
      <c r="SSL9" s="892"/>
      <c r="SSM9" s="892"/>
      <c r="SSN9" s="892"/>
      <c r="SSO9" s="892"/>
      <c r="SSP9" s="892"/>
      <c r="SSQ9" s="892"/>
      <c r="SSR9" s="892"/>
      <c r="SSS9" s="892"/>
      <c r="SST9" s="892"/>
      <c r="SSU9" s="892"/>
      <c r="SSV9" s="892"/>
      <c r="SSW9" s="892"/>
      <c r="SSX9" s="892"/>
      <c r="SSY9" s="892"/>
      <c r="SSZ9" s="892"/>
      <c r="STA9" s="892"/>
      <c r="STB9" s="892"/>
      <c r="STC9" s="892"/>
      <c r="STD9" s="892"/>
      <c r="STE9" s="892"/>
      <c r="STF9" s="892"/>
      <c r="STG9" s="892"/>
      <c r="STH9" s="892"/>
      <c r="STI9" s="892"/>
      <c r="STJ9" s="892"/>
      <c r="STK9" s="892"/>
      <c r="STL9" s="892"/>
      <c r="STM9" s="892"/>
      <c r="STN9" s="892"/>
      <c r="STO9" s="892"/>
      <c r="STP9" s="892"/>
      <c r="STQ9" s="892"/>
      <c r="STR9" s="892"/>
      <c r="STS9" s="892"/>
      <c r="STT9" s="892"/>
      <c r="STU9" s="892"/>
      <c r="STV9" s="892"/>
      <c r="STW9" s="892"/>
      <c r="STX9" s="892"/>
      <c r="STY9" s="892"/>
      <c r="STZ9" s="892"/>
      <c r="SUA9" s="892"/>
      <c r="SUB9" s="892"/>
      <c r="SUC9" s="892"/>
      <c r="SUD9" s="892"/>
      <c r="SUE9" s="892"/>
      <c r="SUF9" s="892"/>
      <c r="SUG9" s="892"/>
      <c r="SUH9" s="892"/>
      <c r="SUI9" s="892"/>
      <c r="SUJ9" s="892"/>
      <c r="SUK9" s="892"/>
      <c r="SUL9" s="892"/>
      <c r="SUM9" s="892"/>
      <c r="SUN9" s="892"/>
      <c r="SUO9" s="892"/>
      <c r="SUP9" s="892"/>
      <c r="SUQ9" s="892"/>
      <c r="SUR9" s="892"/>
      <c r="SUS9" s="892"/>
      <c r="SUT9" s="892"/>
      <c r="SUU9" s="892"/>
      <c r="SUV9" s="892"/>
      <c r="SUW9" s="892"/>
      <c r="SUX9" s="892"/>
      <c r="SUY9" s="892"/>
      <c r="SUZ9" s="892"/>
      <c r="SVA9" s="892"/>
      <c r="SVB9" s="892"/>
      <c r="SVC9" s="892"/>
      <c r="SVD9" s="892"/>
      <c r="SVE9" s="892"/>
      <c r="SVF9" s="892"/>
      <c r="SVG9" s="892"/>
      <c r="SVH9" s="892"/>
      <c r="SVI9" s="892"/>
      <c r="SVJ9" s="892"/>
      <c r="SVK9" s="892"/>
      <c r="SVL9" s="892"/>
      <c r="SVM9" s="892"/>
      <c r="SVN9" s="892"/>
      <c r="SVO9" s="892"/>
      <c r="SVP9" s="892"/>
      <c r="SVQ9" s="892"/>
      <c r="SVR9" s="892"/>
      <c r="SVS9" s="892"/>
      <c r="SVT9" s="892"/>
      <c r="SVU9" s="892"/>
      <c r="SVV9" s="892"/>
      <c r="SVW9" s="892"/>
      <c r="SVX9" s="892"/>
      <c r="SVY9" s="892"/>
      <c r="SVZ9" s="892"/>
      <c r="SWA9" s="892"/>
      <c r="SWB9" s="892"/>
      <c r="SWC9" s="892"/>
      <c r="SWD9" s="892"/>
      <c r="SWE9" s="892"/>
      <c r="SWF9" s="892"/>
      <c r="SWG9" s="892"/>
      <c r="SWH9" s="892"/>
      <c r="SWI9" s="892"/>
      <c r="SWJ9" s="892"/>
      <c r="SWK9" s="892"/>
      <c r="SWL9" s="892"/>
      <c r="SWM9" s="892"/>
      <c r="SWN9" s="892"/>
      <c r="SWO9" s="892"/>
      <c r="SWP9" s="892"/>
      <c r="SWQ9" s="892"/>
      <c r="SWR9" s="892"/>
      <c r="SWS9" s="892"/>
      <c r="SWT9" s="892"/>
      <c r="SWU9" s="892"/>
      <c r="SWV9" s="892"/>
      <c r="SWW9" s="892"/>
      <c r="SWX9" s="892"/>
      <c r="SWY9" s="892"/>
      <c r="SWZ9" s="892"/>
      <c r="SXA9" s="892"/>
      <c r="SXB9" s="892"/>
      <c r="SXC9" s="892"/>
      <c r="SXD9" s="892"/>
      <c r="SXE9" s="892"/>
      <c r="SXF9" s="892"/>
      <c r="SXG9" s="892"/>
      <c r="SXH9" s="892"/>
      <c r="SXI9" s="892"/>
      <c r="SXJ9" s="892"/>
      <c r="SXK9" s="892"/>
      <c r="SXL9" s="892"/>
      <c r="SXM9" s="892"/>
      <c r="SXN9" s="892"/>
      <c r="SXO9" s="892"/>
      <c r="SXP9" s="892"/>
      <c r="SXQ9" s="892"/>
      <c r="SXR9" s="892"/>
      <c r="SXS9" s="892"/>
      <c r="SXT9" s="892"/>
      <c r="SXU9" s="892"/>
      <c r="SXV9" s="892"/>
      <c r="SXW9" s="892"/>
      <c r="SXX9" s="892"/>
      <c r="SXY9" s="892"/>
      <c r="SXZ9" s="892"/>
      <c r="SYA9" s="892"/>
      <c r="SYB9" s="892"/>
      <c r="SYC9" s="892"/>
      <c r="SYD9" s="892"/>
      <c r="SYE9" s="892"/>
      <c r="SYF9" s="892"/>
      <c r="SYG9" s="892"/>
      <c r="SYH9" s="892"/>
      <c r="SYI9" s="892"/>
      <c r="SYJ9" s="892"/>
      <c r="SYK9" s="892"/>
      <c r="SYL9" s="892"/>
      <c r="SYM9" s="892"/>
      <c r="SYN9" s="892"/>
      <c r="SYO9" s="892"/>
      <c r="SYP9" s="892"/>
      <c r="SYQ9" s="892"/>
      <c r="SYR9" s="892"/>
      <c r="SYS9" s="892"/>
      <c r="SYT9" s="892"/>
      <c r="SYU9" s="892"/>
      <c r="SYV9" s="892"/>
      <c r="SYW9" s="892"/>
      <c r="SYX9" s="892"/>
      <c r="SYY9" s="892"/>
      <c r="SYZ9" s="892"/>
      <c r="SZA9" s="892"/>
      <c r="SZB9" s="892"/>
      <c r="SZC9" s="892"/>
      <c r="SZD9" s="892"/>
      <c r="SZE9" s="892"/>
      <c r="SZF9" s="892"/>
      <c r="SZG9" s="892"/>
      <c r="SZH9" s="892"/>
      <c r="SZI9" s="892"/>
      <c r="SZJ9" s="892"/>
      <c r="SZK9" s="892"/>
      <c r="SZL9" s="892"/>
      <c r="SZM9" s="892"/>
      <c r="SZN9" s="892"/>
      <c r="SZO9" s="892"/>
      <c r="SZP9" s="892"/>
      <c r="SZQ9" s="892"/>
      <c r="SZR9" s="892"/>
      <c r="SZS9" s="892"/>
      <c r="SZT9" s="892"/>
      <c r="SZU9" s="892"/>
      <c r="SZV9" s="892"/>
      <c r="SZW9" s="892"/>
      <c r="SZX9" s="892"/>
      <c r="SZY9" s="892"/>
      <c r="SZZ9" s="892"/>
      <c r="TAA9" s="892"/>
      <c r="TAB9" s="892"/>
      <c r="TAC9" s="892"/>
      <c r="TAD9" s="892"/>
      <c r="TAE9" s="892"/>
      <c r="TAF9" s="892"/>
      <c r="TAG9" s="892"/>
      <c r="TAH9" s="892"/>
      <c r="TAI9" s="892"/>
      <c r="TAJ9" s="892"/>
      <c r="TAK9" s="892"/>
      <c r="TAL9" s="892"/>
      <c r="TAM9" s="892"/>
      <c r="TAN9" s="892"/>
      <c r="TAO9" s="892"/>
      <c r="TAP9" s="892"/>
      <c r="TAQ9" s="892"/>
      <c r="TAR9" s="892"/>
      <c r="TAS9" s="892"/>
      <c r="TAT9" s="892"/>
      <c r="TAU9" s="892"/>
      <c r="TAV9" s="892"/>
      <c r="TAW9" s="892"/>
      <c r="TAX9" s="892"/>
      <c r="TAY9" s="892"/>
      <c r="TAZ9" s="892"/>
      <c r="TBA9" s="892"/>
      <c r="TBB9" s="892"/>
      <c r="TBC9" s="892"/>
      <c r="TBD9" s="892"/>
      <c r="TBE9" s="892"/>
      <c r="TBF9" s="892"/>
      <c r="TBG9" s="892"/>
      <c r="TBH9" s="892"/>
      <c r="TBI9" s="892"/>
      <c r="TBJ9" s="892"/>
      <c r="TBK9" s="892"/>
      <c r="TBL9" s="892"/>
      <c r="TBM9" s="892"/>
      <c r="TBN9" s="892"/>
      <c r="TBO9" s="892"/>
      <c r="TBP9" s="892"/>
      <c r="TBQ9" s="892"/>
      <c r="TBR9" s="892"/>
      <c r="TBS9" s="892"/>
      <c r="TBT9" s="892"/>
      <c r="TBU9" s="892"/>
      <c r="TBV9" s="892"/>
      <c r="TBW9" s="892"/>
      <c r="TBX9" s="892"/>
      <c r="TBY9" s="892"/>
      <c r="TBZ9" s="892"/>
      <c r="TCA9" s="892"/>
      <c r="TCB9" s="892"/>
      <c r="TCC9" s="892"/>
      <c r="TCD9" s="892"/>
      <c r="TCE9" s="892"/>
      <c r="TCF9" s="892"/>
      <c r="TCG9" s="892"/>
      <c r="TCH9" s="892"/>
      <c r="TCI9" s="892"/>
      <c r="TCJ9" s="892"/>
      <c r="TCK9" s="892"/>
      <c r="TCL9" s="892"/>
      <c r="TCM9" s="892"/>
      <c r="TCN9" s="892"/>
      <c r="TCO9" s="892"/>
      <c r="TCP9" s="892"/>
      <c r="TCQ9" s="892"/>
      <c r="TCR9" s="892"/>
      <c r="TCS9" s="892"/>
      <c r="TCT9" s="892"/>
      <c r="TCU9" s="892"/>
      <c r="TCV9" s="892"/>
      <c r="TCW9" s="892"/>
      <c r="TCX9" s="892"/>
      <c r="TCY9" s="892"/>
      <c r="TCZ9" s="892"/>
      <c r="TDA9" s="892"/>
      <c r="TDB9" s="892"/>
      <c r="TDC9" s="892"/>
      <c r="TDD9" s="892"/>
      <c r="TDE9" s="892"/>
      <c r="TDF9" s="892"/>
      <c r="TDG9" s="892"/>
      <c r="TDH9" s="892"/>
      <c r="TDI9" s="892"/>
      <c r="TDJ9" s="892"/>
      <c r="TDK9" s="892"/>
      <c r="TDL9" s="892"/>
      <c r="TDM9" s="892"/>
      <c r="TDN9" s="892"/>
      <c r="TDO9" s="892"/>
      <c r="TDP9" s="892"/>
      <c r="TDQ9" s="892"/>
      <c r="TDR9" s="892"/>
      <c r="TDS9" s="892"/>
      <c r="TDT9" s="892"/>
      <c r="TDU9" s="892"/>
      <c r="TDV9" s="892"/>
      <c r="TDW9" s="892"/>
      <c r="TDX9" s="892"/>
      <c r="TDY9" s="892"/>
      <c r="TDZ9" s="892"/>
      <c r="TEA9" s="892"/>
      <c r="TEB9" s="892"/>
      <c r="TEC9" s="892"/>
      <c r="TED9" s="892"/>
      <c r="TEE9" s="892"/>
      <c r="TEF9" s="892"/>
      <c r="TEG9" s="892"/>
      <c r="TEH9" s="892"/>
      <c r="TEI9" s="892"/>
      <c r="TEJ9" s="892"/>
      <c r="TEK9" s="892"/>
      <c r="TEL9" s="892"/>
      <c r="TEM9" s="892"/>
      <c r="TEN9" s="892"/>
      <c r="TEO9" s="892"/>
      <c r="TEP9" s="892"/>
      <c r="TEQ9" s="892"/>
      <c r="TER9" s="892"/>
      <c r="TES9" s="892"/>
      <c r="TET9" s="892"/>
      <c r="TEU9" s="892"/>
      <c r="TEV9" s="892"/>
      <c r="TEW9" s="892"/>
      <c r="TEX9" s="892"/>
      <c r="TEY9" s="892"/>
      <c r="TEZ9" s="892"/>
      <c r="TFA9" s="892"/>
      <c r="TFB9" s="892"/>
      <c r="TFC9" s="892"/>
      <c r="TFD9" s="892"/>
      <c r="TFE9" s="892"/>
      <c r="TFF9" s="892"/>
      <c r="TFG9" s="892"/>
      <c r="TFH9" s="892"/>
      <c r="TFI9" s="892"/>
      <c r="TFJ9" s="892"/>
      <c r="TFK9" s="892"/>
      <c r="TFL9" s="892"/>
      <c r="TFM9" s="892"/>
      <c r="TFN9" s="892"/>
      <c r="TFO9" s="892"/>
      <c r="TFP9" s="892"/>
      <c r="TFQ9" s="892"/>
      <c r="TFR9" s="892"/>
      <c r="TFS9" s="892"/>
      <c r="TFT9" s="892"/>
      <c r="TFU9" s="892"/>
      <c r="TFV9" s="892"/>
      <c r="TFW9" s="892"/>
      <c r="TFX9" s="892"/>
      <c r="TFY9" s="892"/>
      <c r="TFZ9" s="892"/>
      <c r="TGA9" s="892"/>
      <c r="TGB9" s="892"/>
      <c r="TGC9" s="892"/>
      <c r="TGD9" s="892"/>
      <c r="TGE9" s="892"/>
      <c r="TGF9" s="892"/>
      <c r="TGG9" s="892"/>
      <c r="TGH9" s="892"/>
      <c r="TGI9" s="892"/>
      <c r="TGJ9" s="892"/>
      <c r="TGK9" s="892"/>
      <c r="TGL9" s="892"/>
      <c r="TGM9" s="892"/>
      <c r="TGN9" s="892"/>
      <c r="TGO9" s="892"/>
      <c r="TGP9" s="892"/>
      <c r="TGQ9" s="892"/>
      <c r="TGR9" s="892"/>
      <c r="TGS9" s="892"/>
      <c r="TGT9" s="892"/>
      <c r="TGU9" s="892"/>
      <c r="TGV9" s="892"/>
      <c r="TGW9" s="892"/>
      <c r="TGX9" s="892"/>
      <c r="TGY9" s="892"/>
      <c r="TGZ9" s="892"/>
      <c r="THA9" s="892"/>
      <c r="THB9" s="892"/>
      <c r="THC9" s="892"/>
      <c r="THD9" s="892"/>
      <c r="THE9" s="892"/>
      <c r="THF9" s="892"/>
      <c r="THG9" s="892"/>
      <c r="THH9" s="892"/>
      <c r="THI9" s="892"/>
      <c r="THJ9" s="892"/>
      <c r="THK9" s="892"/>
      <c r="THL9" s="892"/>
      <c r="THM9" s="892"/>
      <c r="THN9" s="892"/>
      <c r="THO9" s="892"/>
      <c r="THP9" s="892"/>
      <c r="THQ9" s="892"/>
      <c r="THR9" s="892"/>
      <c r="THS9" s="892"/>
      <c r="THT9" s="892"/>
      <c r="THU9" s="892"/>
      <c r="THV9" s="892"/>
      <c r="THW9" s="892"/>
      <c r="THX9" s="892"/>
      <c r="THY9" s="892"/>
      <c r="THZ9" s="892"/>
      <c r="TIA9" s="892"/>
      <c r="TIB9" s="892"/>
      <c r="TIC9" s="892"/>
      <c r="TID9" s="892"/>
      <c r="TIE9" s="892"/>
      <c r="TIF9" s="892"/>
      <c r="TIG9" s="892"/>
      <c r="TIH9" s="892"/>
      <c r="TII9" s="892"/>
      <c r="TIJ9" s="892"/>
      <c r="TIK9" s="892"/>
      <c r="TIL9" s="892"/>
      <c r="TIM9" s="892"/>
      <c r="TIN9" s="892"/>
      <c r="TIO9" s="892"/>
      <c r="TIP9" s="892"/>
      <c r="TIQ9" s="892"/>
      <c r="TIR9" s="892"/>
      <c r="TIS9" s="892"/>
      <c r="TIT9" s="892"/>
      <c r="TIU9" s="892"/>
      <c r="TIV9" s="892"/>
      <c r="TIW9" s="892"/>
      <c r="TIX9" s="892"/>
      <c r="TIY9" s="892"/>
      <c r="TIZ9" s="892"/>
      <c r="TJA9" s="892"/>
      <c r="TJB9" s="892"/>
      <c r="TJC9" s="892"/>
      <c r="TJD9" s="892"/>
      <c r="TJE9" s="892"/>
      <c r="TJF9" s="892"/>
      <c r="TJG9" s="892"/>
      <c r="TJH9" s="892"/>
      <c r="TJI9" s="892"/>
      <c r="TJJ9" s="892"/>
      <c r="TJK9" s="892"/>
      <c r="TJL9" s="892"/>
      <c r="TJM9" s="892"/>
      <c r="TJN9" s="892"/>
      <c r="TJO9" s="892"/>
      <c r="TJP9" s="892"/>
      <c r="TJQ9" s="892"/>
      <c r="TJR9" s="892"/>
      <c r="TJS9" s="892"/>
      <c r="TJT9" s="892"/>
      <c r="TJU9" s="892"/>
      <c r="TJV9" s="892"/>
      <c r="TJW9" s="892"/>
      <c r="TJX9" s="892"/>
      <c r="TJY9" s="892"/>
      <c r="TJZ9" s="892"/>
      <c r="TKA9" s="892"/>
      <c r="TKB9" s="892"/>
      <c r="TKC9" s="892"/>
      <c r="TKD9" s="892"/>
      <c r="TKE9" s="892"/>
      <c r="TKF9" s="892"/>
      <c r="TKG9" s="892"/>
      <c r="TKH9" s="892"/>
      <c r="TKI9" s="892"/>
      <c r="TKJ9" s="892"/>
      <c r="TKK9" s="892"/>
      <c r="TKL9" s="892"/>
      <c r="TKM9" s="892"/>
      <c r="TKN9" s="892"/>
      <c r="TKO9" s="892"/>
      <c r="TKP9" s="892"/>
      <c r="TKQ9" s="892"/>
      <c r="TKR9" s="892"/>
      <c r="TKS9" s="892"/>
      <c r="TKT9" s="892"/>
      <c r="TKU9" s="892"/>
      <c r="TKV9" s="892"/>
      <c r="TKW9" s="892"/>
      <c r="TKX9" s="892"/>
      <c r="TKY9" s="892"/>
      <c r="TKZ9" s="892"/>
      <c r="TLA9" s="892"/>
      <c r="TLB9" s="892"/>
      <c r="TLC9" s="892"/>
      <c r="TLD9" s="892"/>
      <c r="TLE9" s="892"/>
      <c r="TLF9" s="892"/>
      <c r="TLG9" s="892"/>
      <c r="TLH9" s="892"/>
      <c r="TLI9" s="892"/>
      <c r="TLJ9" s="892"/>
      <c r="TLK9" s="892"/>
      <c r="TLL9" s="892"/>
      <c r="TLM9" s="892"/>
      <c r="TLN9" s="892"/>
      <c r="TLO9" s="892"/>
      <c r="TLP9" s="892"/>
      <c r="TLQ9" s="892"/>
      <c r="TLR9" s="892"/>
      <c r="TLS9" s="892"/>
      <c r="TLT9" s="892"/>
      <c r="TLU9" s="892"/>
      <c r="TLV9" s="892"/>
      <c r="TLW9" s="892"/>
      <c r="TLX9" s="892"/>
      <c r="TLY9" s="892"/>
      <c r="TLZ9" s="892"/>
      <c r="TMA9" s="892"/>
      <c r="TMB9" s="892"/>
      <c r="TMC9" s="892"/>
      <c r="TMD9" s="892"/>
      <c r="TME9" s="892"/>
      <c r="TMF9" s="892"/>
      <c r="TMG9" s="892"/>
      <c r="TMH9" s="892"/>
      <c r="TMI9" s="892"/>
      <c r="TMJ9" s="892"/>
      <c r="TMK9" s="892"/>
      <c r="TML9" s="892"/>
      <c r="TMM9" s="892"/>
      <c r="TMN9" s="892"/>
      <c r="TMO9" s="892"/>
      <c r="TMP9" s="892"/>
      <c r="TMQ9" s="892"/>
      <c r="TMR9" s="892"/>
      <c r="TMS9" s="892"/>
      <c r="TMT9" s="892"/>
      <c r="TMU9" s="892"/>
      <c r="TMV9" s="892"/>
      <c r="TMW9" s="892"/>
      <c r="TMX9" s="892"/>
      <c r="TMY9" s="892"/>
      <c r="TMZ9" s="892"/>
      <c r="TNA9" s="892"/>
      <c r="TNB9" s="892"/>
      <c r="TNC9" s="892"/>
      <c r="TND9" s="892"/>
      <c r="TNE9" s="892"/>
      <c r="TNF9" s="892"/>
      <c r="TNG9" s="892"/>
      <c r="TNH9" s="892"/>
      <c r="TNI9" s="892"/>
      <c r="TNJ9" s="892"/>
      <c r="TNK9" s="892"/>
      <c r="TNL9" s="892"/>
      <c r="TNM9" s="892"/>
      <c r="TNN9" s="892"/>
      <c r="TNO9" s="892"/>
      <c r="TNP9" s="892"/>
      <c r="TNQ9" s="892"/>
      <c r="TNR9" s="892"/>
      <c r="TNS9" s="892"/>
      <c r="TNT9" s="892"/>
      <c r="TNU9" s="892"/>
      <c r="TNV9" s="892"/>
      <c r="TNW9" s="892"/>
      <c r="TNX9" s="892"/>
      <c r="TNY9" s="892"/>
      <c r="TNZ9" s="892"/>
      <c r="TOA9" s="892"/>
      <c r="TOB9" s="892"/>
      <c r="TOC9" s="892"/>
      <c r="TOD9" s="892"/>
      <c r="TOE9" s="892"/>
      <c r="TOF9" s="892"/>
      <c r="TOG9" s="892"/>
      <c r="TOH9" s="892"/>
      <c r="TOI9" s="892"/>
      <c r="TOJ9" s="892"/>
      <c r="TOK9" s="892"/>
      <c r="TOL9" s="892"/>
      <c r="TOM9" s="892"/>
      <c r="TON9" s="892"/>
      <c r="TOO9" s="892"/>
      <c r="TOP9" s="892"/>
      <c r="TOQ9" s="892"/>
      <c r="TOR9" s="892"/>
      <c r="TOS9" s="892"/>
      <c r="TOT9" s="892"/>
      <c r="TOU9" s="892"/>
      <c r="TOV9" s="892"/>
      <c r="TOW9" s="892"/>
      <c r="TOX9" s="892"/>
      <c r="TOY9" s="892"/>
      <c r="TOZ9" s="892"/>
      <c r="TPA9" s="892"/>
      <c r="TPB9" s="892"/>
      <c r="TPC9" s="892"/>
      <c r="TPD9" s="892"/>
      <c r="TPE9" s="892"/>
      <c r="TPF9" s="892"/>
      <c r="TPG9" s="892"/>
      <c r="TPH9" s="892"/>
      <c r="TPI9" s="892"/>
      <c r="TPJ9" s="892"/>
      <c r="TPK9" s="892"/>
      <c r="TPL9" s="892"/>
      <c r="TPM9" s="892"/>
      <c r="TPN9" s="892"/>
      <c r="TPO9" s="892"/>
      <c r="TPP9" s="892"/>
      <c r="TPQ9" s="892"/>
      <c r="TPR9" s="892"/>
      <c r="TPS9" s="892"/>
      <c r="TPT9" s="892"/>
      <c r="TPU9" s="892"/>
      <c r="TPV9" s="892"/>
      <c r="TPW9" s="892"/>
      <c r="TPX9" s="892"/>
      <c r="TPY9" s="892"/>
      <c r="TPZ9" s="892"/>
      <c r="TQA9" s="892"/>
      <c r="TQB9" s="892"/>
      <c r="TQC9" s="892"/>
      <c r="TQD9" s="892"/>
      <c r="TQE9" s="892"/>
      <c r="TQF9" s="892"/>
      <c r="TQG9" s="892"/>
      <c r="TQH9" s="892"/>
      <c r="TQI9" s="892"/>
      <c r="TQJ9" s="892"/>
      <c r="TQK9" s="892"/>
      <c r="TQL9" s="892"/>
      <c r="TQM9" s="892"/>
      <c r="TQN9" s="892"/>
      <c r="TQO9" s="892"/>
      <c r="TQP9" s="892"/>
      <c r="TQQ9" s="892"/>
      <c r="TQR9" s="892"/>
      <c r="TQS9" s="892"/>
      <c r="TQT9" s="892"/>
      <c r="TQU9" s="892"/>
      <c r="TQV9" s="892"/>
      <c r="TQW9" s="892"/>
      <c r="TQX9" s="892"/>
      <c r="TQY9" s="892"/>
      <c r="TQZ9" s="892"/>
      <c r="TRA9" s="892"/>
      <c r="TRB9" s="892"/>
      <c r="TRC9" s="892"/>
      <c r="TRD9" s="892"/>
      <c r="TRE9" s="892"/>
      <c r="TRF9" s="892"/>
      <c r="TRG9" s="892"/>
      <c r="TRH9" s="892"/>
      <c r="TRI9" s="892"/>
      <c r="TRJ9" s="892"/>
      <c r="TRK9" s="892"/>
      <c r="TRL9" s="892"/>
      <c r="TRM9" s="892"/>
      <c r="TRN9" s="892"/>
      <c r="TRO9" s="892"/>
      <c r="TRP9" s="892"/>
      <c r="TRQ9" s="892"/>
      <c r="TRR9" s="892"/>
      <c r="TRS9" s="892"/>
      <c r="TRT9" s="892"/>
      <c r="TRU9" s="892"/>
      <c r="TRV9" s="892"/>
      <c r="TRW9" s="892"/>
      <c r="TRX9" s="892"/>
      <c r="TRY9" s="892"/>
      <c r="TRZ9" s="892"/>
      <c r="TSA9" s="892"/>
      <c r="TSB9" s="892"/>
      <c r="TSC9" s="892"/>
      <c r="TSD9" s="892"/>
      <c r="TSE9" s="892"/>
      <c r="TSF9" s="892"/>
      <c r="TSG9" s="892"/>
      <c r="TSH9" s="892"/>
      <c r="TSI9" s="892"/>
      <c r="TSJ9" s="892"/>
      <c r="TSK9" s="892"/>
      <c r="TSL9" s="892"/>
      <c r="TSM9" s="892"/>
      <c r="TSN9" s="892"/>
      <c r="TSO9" s="892"/>
      <c r="TSP9" s="892"/>
      <c r="TSQ9" s="892"/>
      <c r="TSR9" s="892"/>
      <c r="TSS9" s="892"/>
      <c r="TST9" s="892"/>
      <c r="TSU9" s="892"/>
      <c r="TSV9" s="892"/>
      <c r="TSW9" s="892"/>
      <c r="TSX9" s="892"/>
      <c r="TSY9" s="892"/>
      <c r="TSZ9" s="892"/>
      <c r="TTA9" s="892"/>
      <c r="TTB9" s="892"/>
      <c r="TTC9" s="892"/>
      <c r="TTD9" s="892"/>
      <c r="TTE9" s="892"/>
      <c r="TTF9" s="892"/>
      <c r="TTG9" s="892"/>
      <c r="TTH9" s="892"/>
      <c r="TTI9" s="892"/>
      <c r="TTJ9" s="892"/>
      <c r="TTK9" s="892"/>
      <c r="TTL9" s="892"/>
      <c r="TTM9" s="892"/>
      <c r="TTN9" s="892"/>
      <c r="TTO9" s="892"/>
      <c r="TTP9" s="892"/>
      <c r="TTQ9" s="892"/>
      <c r="TTR9" s="892"/>
      <c r="TTS9" s="892"/>
      <c r="TTT9" s="892"/>
      <c r="TTU9" s="892"/>
      <c r="TTV9" s="892"/>
      <c r="TTW9" s="892"/>
      <c r="TTX9" s="892"/>
      <c r="TTY9" s="892"/>
      <c r="TTZ9" s="892"/>
      <c r="TUA9" s="892"/>
      <c r="TUB9" s="892"/>
      <c r="TUC9" s="892"/>
      <c r="TUD9" s="892"/>
      <c r="TUE9" s="892"/>
      <c r="TUF9" s="892"/>
      <c r="TUG9" s="892"/>
      <c r="TUH9" s="892"/>
      <c r="TUI9" s="892"/>
      <c r="TUJ9" s="892"/>
      <c r="TUK9" s="892"/>
      <c r="TUL9" s="892"/>
      <c r="TUM9" s="892"/>
      <c r="TUN9" s="892"/>
      <c r="TUO9" s="892"/>
      <c r="TUP9" s="892"/>
      <c r="TUQ9" s="892"/>
      <c r="TUR9" s="892"/>
      <c r="TUS9" s="892"/>
      <c r="TUT9" s="892"/>
      <c r="TUU9" s="892"/>
      <c r="TUV9" s="892"/>
      <c r="TUW9" s="892"/>
      <c r="TUX9" s="892"/>
      <c r="TUY9" s="892"/>
      <c r="TUZ9" s="892"/>
      <c r="TVA9" s="892"/>
      <c r="TVB9" s="892"/>
      <c r="TVC9" s="892"/>
      <c r="TVD9" s="892"/>
      <c r="TVE9" s="892"/>
      <c r="TVF9" s="892"/>
      <c r="TVG9" s="892"/>
      <c r="TVH9" s="892"/>
      <c r="TVI9" s="892"/>
      <c r="TVJ9" s="892"/>
      <c r="TVK9" s="892"/>
      <c r="TVL9" s="892"/>
      <c r="TVM9" s="892"/>
      <c r="TVN9" s="892"/>
      <c r="TVO9" s="892"/>
      <c r="TVP9" s="892"/>
      <c r="TVQ9" s="892"/>
      <c r="TVR9" s="892"/>
      <c r="TVS9" s="892"/>
      <c r="TVT9" s="892"/>
      <c r="TVU9" s="892"/>
      <c r="TVV9" s="892"/>
      <c r="TVW9" s="892"/>
      <c r="TVX9" s="892"/>
      <c r="TVY9" s="892"/>
      <c r="TVZ9" s="892"/>
      <c r="TWA9" s="892"/>
      <c r="TWB9" s="892"/>
      <c r="TWC9" s="892"/>
      <c r="TWD9" s="892"/>
      <c r="TWE9" s="892"/>
      <c r="TWF9" s="892"/>
      <c r="TWG9" s="892"/>
      <c r="TWH9" s="892"/>
      <c r="TWI9" s="892"/>
      <c r="TWJ9" s="892"/>
      <c r="TWK9" s="892"/>
      <c r="TWL9" s="892"/>
      <c r="TWM9" s="892"/>
      <c r="TWN9" s="892"/>
      <c r="TWO9" s="892"/>
      <c r="TWP9" s="892"/>
      <c r="TWQ9" s="892"/>
      <c r="TWR9" s="892"/>
      <c r="TWS9" s="892"/>
      <c r="TWT9" s="892"/>
      <c r="TWU9" s="892"/>
      <c r="TWV9" s="892"/>
      <c r="TWW9" s="892"/>
      <c r="TWX9" s="892"/>
      <c r="TWY9" s="892"/>
      <c r="TWZ9" s="892"/>
      <c r="TXA9" s="892"/>
      <c r="TXB9" s="892"/>
      <c r="TXC9" s="892"/>
      <c r="TXD9" s="892"/>
      <c r="TXE9" s="892"/>
      <c r="TXF9" s="892"/>
      <c r="TXG9" s="892"/>
      <c r="TXH9" s="892"/>
      <c r="TXI9" s="892"/>
      <c r="TXJ9" s="892"/>
      <c r="TXK9" s="892"/>
      <c r="TXL9" s="892"/>
      <c r="TXM9" s="892"/>
      <c r="TXN9" s="892"/>
      <c r="TXO9" s="892"/>
      <c r="TXP9" s="892"/>
      <c r="TXQ9" s="892"/>
      <c r="TXR9" s="892"/>
      <c r="TXS9" s="892"/>
      <c r="TXT9" s="892"/>
      <c r="TXU9" s="892"/>
      <c r="TXV9" s="892"/>
      <c r="TXW9" s="892"/>
      <c r="TXX9" s="892"/>
      <c r="TXY9" s="892"/>
      <c r="TXZ9" s="892"/>
      <c r="TYA9" s="892"/>
      <c r="TYB9" s="892"/>
      <c r="TYC9" s="892"/>
      <c r="TYD9" s="892"/>
      <c r="TYE9" s="892"/>
      <c r="TYF9" s="892"/>
      <c r="TYG9" s="892"/>
      <c r="TYH9" s="892"/>
      <c r="TYI9" s="892"/>
      <c r="TYJ9" s="892"/>
      <c r="TYK9" s="892"/>
      <c r="TYL9" s="892"/>
      <c r="TYM9" s="892"/>
      <c r="TYN9" s="892"/>
      <c r="TYO9" s="892"/>
      <c r="TYP9" s="892"/>
      <c r="TYQ9" s="892"/>
      <c r="TYR9" s="892"/>
      <c r="TYS9" s="892"/>
      <c r="TYT9" s="892"/>
      <c r="TYU9" s="892"/>
      <c r="TYV9" s="892"/>
      <c r="TYW9" s="892"/>
      <c r="TYX9" s="892"/>
      <c r="TYY9" s="892"/>
      <c r="TYZ9" s="892"/>
      <c r="TZA9" s="892"/>
      <c r="TZB9" s="892"/>
      <c r="TZC9" s="892"/>
      <c r="TZD9" s="892"/>
      <c r="TZE9" s="892"/>
      <c r="TZF9" s="892"/>
      <c r="TZG9" s="892"/>
      <c r="TZH9" s="892"/>
      <c r="TZI9" s="892"/>
      <c r="TZJ9" s="892"/>
      <c r="TZK9" s="892"/>
      <c r="TZL9" s="892"/>
      <c r="TZM9" s="892"/>
      <c r="TZN9" s="892"/>
      <c r="TZO9" s="892"/>
      <c r="TZP9" s="892"/>
      <c r="TZQ9" s="892"/>
      <c r="TZR9" s="892"/>
      <c r="TZS9" s="892"/>
      <c r="TZT9" s="892"/>
      <c r="TZU9" s="892"/>
      <c r="TZV9" s="892"/>
      <c r="TZW9" s="892"/>
      <c r="TZX9" s="892"/>
      <c r="TZY9" s="892"/>
      <c r="TZZ9" s="892"/>
      <c r="UAA9" s="892"/>
      <c r="UAB9" s="892"/>
      <c r="UAC9" s="892"/>
      <c r="UAD9" s="892"/>
      <c r="UAE9" s="892"/>
      <c r="UAF9" s="892"/>
      <c r="UAG9" s="892"/>
      <c r="UAH9" s="892"/>
      <c r="UAI9" s="892"/>
      <c r="UAJ9" s="892"/>
      <c r="UAK9" s="892"/>
      <c r="UAL9" s="892"/>
      <c r="UAM9" s="892"/>
      <c r="UAN9" s="892"/>
      <c r="UAO9" s="892"/>
      <c r="UAP9" s="892"/>
      <c r="UAQ9" s="892"/>
      <c r="UAR9" s="892"/>
      <c r="UAS9" s="892"/>
      <c r="UAT9" s="892"/>
      <c r="UAU9" s="892"/>
      <c r="UAV9" s="892"/>
      <c r="UAW9" s="892"/>
      <c r="UAX9" s="892"/>
      <c r="UAY9" s="892"/>
      <c r="UAZ9" s="892"/>
      <c r="UBA9" s="892"/>
      <c r="UBB9" s="892"/>
      <c r="UBC9" s="892"/>
      <c r="UBD9" s="892"/>
      <c r="UBE9" s="892"/>
      <c r="UBF9" s="892"/>
      <c r="UBG9" s="892"/>
      <c r="UBH9" s="892"/>
      <c r="UBI9" s="892"/>
      <c r="UBJ9" s="892"/>
      <c r="UBK9" s="892"/>
      <c r="UBL9" s="892"/>
      <c r="UBM9" s="892"/>
      <c r="UBN9" s="892"/>
      <c r="UBO9" s="892"/>
      <c r="UBP9" s="892"/>
      <c r="UBQ9" s="892"/>
      <c r="UBR9" s="892"/>
      <c r="UBS9" s="892"/>
      <c r="UBT9" s="892"/>
      <c r="UBU9" s="892"/>
      <c r="UBV9" s="892"/>
      <c r="UBW9" s="892"/>
      <c r="UBX9" s="892"/>
      <c r="UBY9" s="892"/>
      <c r="UBZ9" s="892"/>
      <c r="UCA9" s="892"/>
      <c r="UCB9" s="892"/>
      <c r="UCC9" s="892"/>
      <c r="UCD9" s="892"/>
      <c r="UCE9" s="892"/>
      <c r="UCF9" s="892"/>
      <c r="UCG9" s="892"/>
      <c r="UCH9" s="892"/>
      <c r="UCI9" s="892"/>
      <c r="UCJ9" s="892"/>
      <c r="UCK9" s="892"/>
      <c r="UCL9" s="892"/>
      <c r="UCM9" s="892"/>
      <c r="UCN9" s="892"/>
      <c r="UCO9" s="892"/>
      <c r="UCP9" s="892"/>
      <c r="UCQ9" s="892"/>
      <c r="UCR9" s="892"/>
      <c r="UCS9" s="892"/>
      <c r="UCT9" s="892"/>
      <c r="UCU9" s="892"/>
      <c r="UCV9" s="892"/>
      <c r="UCW9" s="892"/>
      <c r="UCX9" s="892"/>
      <c r="UCY9" s="892"/>
      <c r="UCZ9" s="892"/>
      <c r="UDA9" s="892"/>
      <c r="UDB9" s="892"/>
      <c r="UDC9" s="892"/>
      <c r="UDD9" s="892"/>
      <c r="UDE9" s="892"/>
      <c r="UDF9" s="892"/>
      <c r="UDG9" s="892"/>
      <c r="UDH9" s="892"/>
      <c r="UDI9" s="892"/>
      <c r="UDJ9" s="892"/>
      <c r="UDK9" s="892"/>
      <c r="UDL9" s="892"/>
      <c r="UDM9" s="892"/>
      <c r="UDN9" s="892"/>
      <c r="UDO9" s="892"/>
      <c r="UDP9" s="892"/>
      <c r="UDQ9" s="892"/>
      <c r="UDR9" s="892"/>
      <c r="UDS9" s="892"/>
      <c r="UDT9" s="892"/>
      <c r="UDU9" s="892"/>
      <c r="UDV9" s="892"/>
      <c r="UDW9" s="892"/>
      <c r="UDX9" s="892"/>
      <c r="UDY9" s="892"/>
      <c r="UDZ9" s="892"/>
      <c r="UEA9" s="892"/>
      <c r="UEB9" s="892"/>
      <c r="UEC9" s="892"/>
      <c r="UED9" s="892"/>
      <c r="UEE9" s="892"/>
      <c r="UEF9" s="892"/>
      <c r="UEG9" s="892"/>
      <c r="UEH9" s="892"/>
      <c r="UEI9" s="892"/>
      <c r="UEJ9" s="892"/>
      <c r="UEK9" s="892"/>
      <c r="UEL9" s="892"/>
      <c r="UEM9" s="892"/>
      <c r="UEN9" s="892"/>
      <c r="UEO9" s="892"/>
      <c r="UEP9" s="892"/>
      <c r="UEQ9" s="892"/>
      <c r="UER9" s="892"/>
      <c r="UES9" s="892"/>
      <c r="UET9" s="892"/>
      <c r="UEU9" s="892"/>
      <c r="UEV9" s="892"/>
      <c r="UEW9" s="892"/>
      <c r="UEX9" s="892"/>
      <c r="UEY9" s="892"/>
      <c r="UEZ9" s="892"/>
      <c r="UFA9" s="892"/>
      <c r="UFB9" s="892"/>
      <c r="UFC9" s="892"/>
      <c r="UFD9" s="892"/>
      <c r="UFE9" s="892"/>
      <c r="UFF9" s="892"/>
      <c r="UFG9" s="892"/>
      <c r="UFH9" s="892"/>
      <c r="UFI9" s="892"/>
      <c r="UFJ9" s="892"/>
      <c r="UFK9" s="892"/>
      <c r="UFL9" s="892"/>
      <c r="UFM9" s="892"/>
      <c r="UFN9" s="892"/>
      <c r="UFO9" s="892"/>
      <c r="UFP9" s="892"/>
      <c r="UFQ9" s="892"/>
      <c r="UFR9" s="892"/>
      <c r="UFS9" s="892"/>
      <c r="UFT9" s="892"/>
      <c r="UFU9" s="892"/>
      <c r="UFV9" s="892"/>
      <c r="UFW9" s="892"/>
      <c r="UFX9" s="892"/>
      <c r="UFY9" s="892"/>
      <c r="UFZ9" s="892"/>
      <c r="UGA9" s="892"/>
      <c r="UGB9" s="892"/>
      <c r="UGC9" s="892"/>
      <c r="UGD9" s="892"/>
      <c r="UGE9" s="892"/>
      <c r="UGF9" s="892"/>
      <c r="UGG9" s="892"/>
      <c r="UGH9" s="892"/>
      <c r="UGI9" s="892"/>
      <c r="UGJ9" s="892"/>
      <c r="UGK9" s="892"/>
      <c r="UGL9" s="892"/>
      <c r="UGM9" s="892"/>
      <c r="UGN9" s="892"/>
      <c r="UGO9" s="892"/>
      <c r="UGP9" s="892"/>
      <c r="UGQ9" s="892"/>
      <c r="UGR9" s="892"/>
      <c r="UGS9" s="892"/>
      <c r="UGT9" s="892"/>
      <c r="UGU9" s="892"/>
      <c r="UGV9" s="892"/>
      <c r="UGW9" s="892"/>
      <c r="UGX9" s="892"/>
      <c r="UGY9" s="892"/>
      <c r="UGZ9" s="892"/>
      <c r="UHA9" s="892"/>
      <c r="UHB9" s="892"/>
      <c r="UHC9" s="892"/>
      <c r="UHD9" s="892"/>
      <c r="UHE9" s="892"/>
      <c r="UHF9" s="892"/>
      <c r="UHG9" s="892"/>
      <c r="UHH9" s="892"/>
      <c r="UHI9" s="892"/>
      <c r="UHJ9" s="892"/>
      <c r="UHK9" s="892"/>
      <c r="UHL9" s="892"/>
      <c r="UHM9" s="892"/>
      <c r="UHN9" s="892"/>
      <c r="UHO9" s="892"/>
      <c r="UHP9" s="892"/>
      <c r="UHQ9" s="892"/>
      <c r="UHR9" s="892"/>
      <c r="UHS9" s="892"/>
      <c r="UHT9" s="892"/>
      <c r="UHU9" s="892"/>
      <c r="UHV9" s="892"/>
      <c r="UHW9" s="892"/>
      <c r="UHX9" s="892"/>
      <c r="UHY9" s="892"/>
      <c r="UHZ9" s="892"/>
      <c r="UIA9" s="892"/>
      <c r="UIB9" s="892"/>
      <c r="UIC9" s="892"/>
      <c r="UID9" s="892"/>
      <c r="UIE9" s="892"/>
      <c r="UIF9" s="892"/>
      <c r="UIG9" s="892"/>
      <c r="UIH9" s="892"/>
      <c r="UII9" s="892"/>
      <c r="UIJ9" s="892"/>
      <c r="UIK9" s="892"/>
      <c r="UIL9" s="892"/>
      <c r="UIM9" s="892"/>
      <c r="UIN9" s="892"/>
      <c r="UIO9" s="892"/>
      <c r="UIP9" s="892"/>
      <c r="UIQ9" s="892"/>
      <c r="UIR9" s="892"/>
      <c r="UIS9" s="892"/>
      <c r="UIT9" s="892"/>
      <c r="UIU9" s="892"/>
      <c r="UIV9" s="892"/>
      <c r="UIW9" s="892"/>
      <c r="UIX9" s="892"/>
      <c r="UIY9" s="892"/>
      <c r="UIZ9" s="892"/>
      <c r="UJA9" s="892"/>
      <c r="UJB9" s="892"/>
      <c r="UJC9" s="892"/>
      <c r="UJD9" s="892"/>
      <c r="UJE9" s="892"/>
      <c r="UJF9" s="892"/>
      <c r="UJG9" s="892"/>
      <c r="UJH9" s="892"/>
      <c r="UJI9" s="892"/>
      <c r="UJJ9" s="892"/>
      <c r="UJK9" s="892"/>
      <c r="UJL9" s="892"/>
      <c r="UJM9" s="892"/>
      <c r="UJN9" s="892"/>
      <c r="UJO9" s="892"/>
      <c r="UJP9" s="892"/>
      <c r="UJQ9" s="892"/>
      <c r="UJR9" s="892"/>
      <c r="UJS9" s="892"/>
      <c r="UJT9" s="892"/>
      <c r="UJU9" s="892"/>
      <c r="UJV9" s="892"/>
      <c r="UJW9" s="892"/>
      <c r="UJX9" s="892"/>
      <c r="UJY9" s="892"/>
      <c r="UJZ9" s="892"/>
      <c r="UKA9" s="892"/>
      <c r="UKB9" s="892"/>
      <c r="UKC9" s="892"/>
      <c r="UKD9" s="892"/>
      <c r="UKE9" s="892"/>
      <c r="UKF9" s="892"/>
      <c r="UKG9" s="892"/>
      <c r="UKH9" s="892"/>
      <c r="UKI9" s="892"/>
      <c r="UKJ9" s="892"/>
      <c r="UKK9" s="892"/>
      <c r="UKL9" s="892"/>
      <c r="UKM9" s="892"/>
      <c r="UKN9" s="892"/>
      <c r="UKO9" s="892"/>
      <c r="UKP9" s="892"/>
      <c r="UKQ9" s="892"/>
      <c r="UKR9" s="892"/>
      <c r="UKS9" s="892"/>
      <c r="UKT9" s="892"/>
      <c r="UKU9" s="892"/>
      <c r="UKV9" s="892"/>
      <c r="UKW9" s="892"/>
      <c r="UKX9" s="892"/>
      <c r="UKY9" s="892"/>
      <c r="UKZ9" s="892"/>
      <c r="ULA9" s="892"/>
      <c r="ULB9" s="892"/>
      <c r="ULC9" s="892"/>
      <c r="ULD9" s="892"/>
      <c r="ULE9" s="892"/>
      <c r="ULF9" s="892"/>
      <c r="ULG9" s="892"/>
      <c r="ULH9" s="892"/>
      <c r="ULI9" s="892"/>
      <c r="ULJ9" s="892"/>
      <c r="ULK9" s="892"/>
      <c r="ULL9" s="892"/>
      <c r="ULM9" s="892"/>
      <c r="ULN9" s="892"/>
      <c r="ULO9" s="892"/>
      <c r="ULP9" s="892"/>
      <c r="ULQ9" s="892"/>
      <c r="ULR9" s="892"/>
      <c r="ULS9" s="892"/>
      <c r="ULT9" s="892"/>
      <c r="ULU9" s="892"/>
      <c r="ULV9" s="892"/>
      <c r="ULW9" s="892"/>
      <c r="ULX9" s="892"/>
      <c r="ULY9" s="892"/>
      <c r="ULZ9" s="892"/>
      <c r="UMA9" s="892"/>
      <c r="UMB9" s="892"/>
      <c r="UMC9" s="892"/>
      <c r="UMD9" s="892"/>
      <c r="UME9" s="892"/>
      <c r="UMF9" s="892"/>
      <c r="UMG9" s="892"/>
      <c r="UMH9" s="892"/>
      <c r="UMI9" s="892"/>
      <c r="UMJ9" s="892"/>
      <c r="UMK9" s="892"/>
      <c r="UML9" s="892"/>
      <c r="UMM9" s="892"/>
      <c r="UMN9" s="892"/>
      <c r="UMO9" s="892"/>
      <c r="UMP9" s="892"/>
      <c r="UMQ9" s="892"/>
      <c r="UMR9" s="892"/>
      <c r="UMS9" s="892"/>
      <c r="UMT9" s="892"/>
      <c r="UMU9" s="892"/>
      <c r="UMV9" s="892"/>
      <c r="UMW9" s="892"/>
      <c r="UMX9" s="892"/>
      <c r="UMY9" s="892"/>
      <c r="UMZ9" s="892"/>
      <c r="UNA9" s="892"/>
      <c r="UNB9" s="892"/>
      <c r="UNC9" s="892"/>
      <c r="UND9" s="892"/>
      <c r="UNE9" s="892"/>
      <c r="UNF9" s="892"/>
      <c r="UNG9" s="892"/>
      <c r="UNH9" s="892"/>
      <c r="UNI9" s="892"/>
      <c r="UNJ9" s="892"/>
      <c r="UNK9" s="892"/>
      <c r="UNL9" s="892"/>
      <c r="UNM9" s="892"/>
      <c r="UNN9" s="892"/>
      <c r="UNO9" s="892"/>
      <c r="UNP9" s="892"/>
      <c r="UNQ9" s="892"/>
      <c r="UNR9" s="892"/>
      <c r="UNS9" s="892"/>
      <c r="UNT9" s="892"/>
      <c r="UNU9" s="892"/>
      <c r="UNV9" s="892"/>
      <c r="UNW9" s="892"/>
      <c r="UNX9" s="892"/>
      <c r="UNY9" s="892"/>
      <c r="UNZ9" s="892"/>
      <c r="UOA9" s="892"/>
      <c r="UOB9" s="892"/>
      <c r="UOC9" s="892"/>
      <c r="UOD9" s="892"/>
      <c r="UOE9" s="892"/>
      <c r="UOF9" s="892"/>
      <c r="UOG9" s="892"/>
      <c r="UOH9" s="892"/>
      <c r="UOI9" s="892"/>
      <c r="UOJ9" s="892"/>
      <c r="UOK9" s="892"/>
      <c r="UOL9" s="892"/>
      <c r="UOM9" s="892"/>
      <c r="UON9" s="892"/>
      <c r="UOO9" s="892"/>
      <c r="UOP9" s="892"/>
      <c r="UOQ9" s="892"/>
      <c r="UOR9" s="892"/>
      <c r="UOS9" s="892"/>
      <c r="UOT9" s="892"/>
      <c r="UOU9" s="892"/>
      <c r="UOV9" s="892"/>
      <c r="UOW9" s="892"/>
      <c r="UOX9" s="892"/>
      <c r="UOY9" s="892"/>
      <c r="UOZ9" s="892"/>
      <c r="UPA9" s="892"/>
      <c r="UPB9" s="892"/>
      <c r="UPC9" s="892"/>
      <c r="UPD9" s="892"/>
      <c r="UPE9" s="892"/>
      <c r="UPF9" s="892"/>
      <c r="UPG9" s="892"/>
      <c r="UPH9" s="892"/>
      <c r="UPI9" s="892"/>
      <c r="UPJ9" s="892"/>
      <c r="UPK9" s="892"/>
      <c r="UPL9" s="892"/>
      <c r="UPM9" s="892"/>
      <c r="UPN9" s="892"/>
      <c r="UPO9" s="892"/>
      <c r="UPP9" s="892"/>
      <c r="UPQ9" s="892"/>
      <c r="UPR9" s="892"/>
      <c r="UPS9" s="892"/>
      <c r="UPT9" s="892"/>
      <c r="UPU9" s="892"/>
      <c r="UPV9" s="892"/>
      <c r="UPW9" s="892"/>
      <c r="UPX9" s="892"/>
      <c r="UPY9" s="892"/>
      <c r="UPZ9" s="892"/>
      <c r="UQA9" s="892"/>
      <c r="UQB9" s="892"/>
      <c r="UQC9" s="892"/>
      <c r="UQD9" s="892"/>
      <c r="UQE9" s="892"/>
      <c r="UQF9" s="892"/>
      <c r="UQG9" s="892"/>
      <c r="UQH9" s="892"/>
      <c r="UQI9" s="892"/>
      <c r="UQJ9" s="892"/>
      <c r="UQK9" s="892"/>
      <c r="UQL9" s="892"/>
      <c r="UQM9" s="892"/>
      <c r="UQN9" s="892"/>
      <c r="UQO9" s="892"/>
      <c r="UQP9" s="892"/>
      <c r="UQQ9" s="892"/>
      <c r="UQR9" s="892"/>
      <c r="UQS9" s="892"/>
      <c r="UQT9" s="892"/>
      <c r="UQU9" s="892"/>
      <c r="UQV9" s="892"/>
      <c r="UQW9" s="892"/>
      <c r="UQX9" s="892"/>
      <c r="UQY9" s="892"/>
      <c r="UQZ9" s="892"/>
      <c r="URA9" s="892"/>
      <c r="URB9" s="892"/>
      <c r="URC9" s="892"/>
      <c r="URD9" s="892"/>
      <c r="URE9" s="892"/>
      <c r="URF9" s="892"/>
      <c r="URG9" s="892"/>
      <c r="URH9" s="892"/>
      <c r="URI9" s="892"/>
      <c r="URJ9" s="892"/>
      <c r="URK9" s="892"/>
      <c r="URL9" s="892"/>
      <c r="URM9" s="892"/>
      <c r="URN9" s="892"/>
      <c r="URO9" s="892"/>
      <c r="URP9" s="892"/>
      <c r="URQ9" s="892"/>
      <c r="URR9" s="892"/>
      <c r="URS9" s="892"/>
      <c r="URT9" s="892"/>
      <c r="URU9" s="892"/>
      <c r="URV9" s="892"/>
      <c r="URW9" s="892"/>
      <c r="URX9" s="892"/>
      <c r="URY9" s="892"/>
      <c r="URZ9" s="892"/>
      <c r="USA9" s="892"/>
      <c r="USB9" s="892"/>
      <c r="USC9" s="892"/>
      <c r="USD9" s="892"/>
      <c r="USE9" s="892"/>
      <c r="USF9" s="892"/>
      <c r="USG9" s="892"/>
      <c r="USH9" s="892"/>
      <c r="USI9" s="892"/>
      <c r="USJ9" s="892"/>
      <c r="USK9" s="892"/>
      <c r="USL9" s="892"/>
      <c r="USM9" s="892"/>
      <c r="USN9" s="892"/>
      <c r="USO9" s="892"/>
      <c r="USP9" s="892"/>
      <c r="USQ9" s="892"/>
      <c r="USR9" s="892"/>
      <c r="USS9" s="892"/>
      <c r="UST9" s="892"/>
      <c r="USU9" s="892"/>
      <c r="USV9" s="892"/>
      <c r="USW9" s="892"/>
      <c r="USX9" s="892"/>
      <c r="USY9" s="892"/>
      <c r="USZ9" s="892"/>
      <c r="UTA9" s="892"/>
      <c r="UTB9" s="892"/>
      <c r="UTC9" s="892"/>
      <c r="UTD9" s="892"/>
      <c r="UTE9" s="892"/>
      <c r="UTF9" s="892"/>
      <c r="UTG9" s="892"/>
      <c r="UTH9" s="892"/>
      <c r="UTI9" s="892"/>
      <c r="UTJ9" s="892"/>
      <c r="UTK9" s="892"/>
      <c r="UTL9" s="892"/>
      <c r="UTM9" s="892"/>
      <c r="UTN9" s="892"/>
      <c r="UTO9" s="892"/>
      <c r="UTP9" s="892"/>
      <c r="UTQ9" s="892"/>
      <c r="UTR9" s="892"/>
      <c r="UTS9" s="892"/>
      <c r="UTT9" s="892"/>
      <c r="UTU9" s="892"/>
      <c r="UTV9" s="892"/>
      <c r="UTW9" s="892"/>
      <c r="UTX9" s="892"/>
      <c r="UTY9" s="892"/>
      <c r="UTZ9" s="892"/>
      <c r="UUA9" s="892"/>
      <c r="UUB9" s="892"/>
      <c r="UUC9" s="892"/>
      <c r="UUD9" s="892"/>
      <c r="UUE9" s="892"/>
      <c r="UUF9" s="892"/>
      <c r="UUG9" s="892"/>
      <c r="UUH9" s="892"/>
      <c r="UUI9" s="892"/>
      <c r="UUJ9" s="892"/>
      <c r="UUK9" s="892"/>
      <c r="UUL9" s="892"/>
      <c r="UUM9" s="892"/>
      <c r="UUN9" s="892"/>
      <c r="UUO9" s="892"/>
      <c r="UUP9" s="892"/>
      <c r="UUQ9" s="892"/>
      <c r="UUR9" s="892"/>
      <c r="UUS9" s="892"/>
      <c r="UUT9" s="892"/>
      <c r="UUU9" s="892"/>
      <c r="UUV9" s="892"/>
      <c r="UUW9" s="892"/>
      <c r="UUX9" s="892"/>
      <c r="UUY9" s="892"/>
      <c r="UUZ9" s="892"/>
      <c r="UVA9" s="892"/>
      <c r="UVB9" s="892"/>
      <c r="UVC9" s="892"/>
      <c r="UVD9" s="892"/>
      <c r="UVE9" s="892"/>
      <c r="UVF9" s="892"/>
      <c r="UVG9" s="892"/>
      <c r="UVH9" s="892"/>
      <c r="UVI9" s="892"/>
      <c r="UVJ9" s="892"/>
      <c r="UVK9" s="892"/>
      <c r="UVL9" s="892"/>
      <c r="UVM9" s="892"/>
      <c r="UVN9" s="892"/>
      <c r="UVO9" s="892"/>
      <c r="UVP9" s="892"/>
      <c r="UVQ9" s="892"/>
      <c r="UVR9" s="892"/>
      <c r="UVS9" s="892"/>
      <c r="UVT9" s="892"/>
      <c r="UVU9" s="892"/>
      <c r="UVV9" s="892"/>
      <c r="UVW9" s="892"/>
      <c r="UVX9" s="892"/>
      <c r="UVY9" s="892"/>
      <c r="UVZ9" s="892"/>
      <c r="UWA9" s="892"/>
      <c r="UWB9" s="892"/>
      <c r="UWC9" s="892"/>
      <c r="UWD9" s="892"/>
      <c r="UWE9" s="892"/>
      <c r="UWF9" s="892"/>
      <c r="UWG9" s="892"/>
      <c r="UWH9" s="892"/>
      <c r="UWI9" s="892"/>
      <c r="UWJ9" s="892"/>
      <c r="UWK9" s="892"/>
      <c r="UWL9" s="892"/>
      <c r="UWM9" s="892"/>
      <c r="UWN9" s="892"/>
      <c r="UWO9" s="892"/>
      <c r="UWP9" s="892"/>
      <c r="UWQ9" s="892"/>
      <c r="UWR9" s="892"/>
      <c r="UWS9" s="892"/>
      <c r="UWT9" s="892"/>
      <c r="UWU9" s="892"/>
      <c r="UWV9" s="892"/>
      <c r="UWW9" s="892"/>
      <c r="UWX9" s="892"/>
      <c r="UWY9" s="892"/>
      <c r="UWZ9" s="892"/>
      <c r="UXA9" s="892"/>
      <c r="UXB9" s="892"/>
      <c r="UXC9" s="892"/>
      <c r="UXD9" s="892"/>
      <c r="UXE9" s="892"/>
      <c r="UXF9" s="892"/>
      <c r="UXG9" s="892"/>
      <c r="UXH9" s="892"/>
      <c r="UXI9" s="892"/>
      <c r="UXJ9" s="892"/>
      <c r="UXK9" s="892"/>
      <c r="UXL9" s="892"/>
      <c r="UXM9" s="892"/>
      <c r="UXN9" s="892"/>
      <c r="UXO9" s="892"/>
      <c r="UXP9" s="892"/>
      <c r="UXQ9" s="892"/>
      <c r="UXR9" s="892"/>
      <c r="UXS9" s="892"/>
      <c r="UXT9" s="892"/>
      <c r="UXU9" s="892"/>
      <c r="UXV9" s="892"/>
      <c r="UXW9" s="892"/>
      <c r="UXX9" s="892"/>
      <c r="UXY9" s="892"/>
      <c r="UXZ9" s="892"/>
      <c r="UYA9" s="892"/>
      <c r="UYB9" s="892"/>
      <c r="UYC9" s="892"/>
      <c r="UYD9" s="892"/>
      <c r="UYE9" s="892"/>
      <c r="UYF9" s="892"/>
      <c r="UYG9" s="892"/>
      <c r="UYH9" s="892"/>
      <c r="UYI9" s="892"/>
      <c r="UYJ9" s="892"/>
      <c r="UYK9" s="892"/>
      <c r="UYL9" s="892"/>
      <c r="UYM9" s="892"/>
      <c r="UYN9" s="892"/>
      <c r="UYO9" s="892"/>
      <c r="UYP9" s="892"/>
      <c r="UYQ9" s="892"/>
      <c r="UYR9" s="892"/>
      <c r="UYS9" s="892"/>
      <c r="UYT9" s="892"/>
      <c r="UYU9" s="892"/>
      <c r="UYV9" s="892"/>
      <c r="UYW9" s="892"/>
      <c r="UYX9" s="892"/>
      <c r="UYY9" s="892"/>
      <c r="UYZ9" s="892"/>
      <c r="UZA9" s="892"/>
      <c r="UZB9" s="892"/>
      <c r="UZC9" s="892"/>
      <c r="UZD9" s="892"/>
      <c r="UZE9" s="892"/>
      <c r="UZF9" s="892"/>
      <c r="UZG9" s="892"/>
      <c r="UZH9" s="892"/>
      <c r="UZI9" s="892"/>
      <c r="UZJ9" s="892"/>
      <c r="UZK9" s="892"/>
      <c r="UZL9" s="892"/>
      <c r="UZM9" s="892"/>
      <c r="UZN9" s="892"/>
      <c r="UZO9" s="892"/>
      <c r="UZP9" s="892"/>
      <c r="UZQ9" s="892"/>
      <c r="UZR9" s="892"/>
      <c r="UZS9" s="892"/>
      <c r="UZT9" s="892"/>
      <c r="UZU9" s="892"/>
      <c r="UZV9" s="892"/>
      <c r="UZW9" s="892"/>
      <c r="UZX9" s="892"/>
      <c r="UZY9" s="892"/>
      <c r="UZZ9" s="892"/>
      <c r="VAA9" s="892"/>
      <c r="VAB9" s="892"/>
      <c r="VAC9" s="892"/>
      <c r="VAD9" s="892"/>
      <c r="VAE9" s="892"/>
      <c r="VAF9" s="892"/>
      <c r="VAG9" s="892"/>
      <c r="VAH9" s="892"/>
      <c r="VAI9" s="892"/>
      <c r="VAJ9" s="892"/>
      <c r="VAK9" s="892"/>
      <c r="VAL9" s="892"/>
      <c r="VAM9" s="892"/>
      <c r="VAN9" s="892"/>
      <c r="VAO9" s="892"/>
      <c r="VAP9" s="892"/>
      <c r="VAQ9" s="892"/>
      <c r="VAR9" s="892"/>
      <c r="VAS9" s="892"/>
      <c r="VAT9" s="892"/>
      <c r="VAU9" s="892"/>
      <c r="VAV9" s="892"/>
      <c r="VAW9" s="892"/>
      <c r="VAX9" s="892"/>
      <c r="VAY9" s="892"/>
      <c r="VAZ9" s="892"/>
      <c r="VBA9" s="892"/>
      <c r="VBB9" s="892"/>
      <c r="VBC9" s="892"/>
      <c r="VBD9" s="892"/>
      <c r="VBE9" s="892"/>
      <c r="VBF9" s="892"/>
      <c r="VBG9" s="892"/>
      <c r="VBH9" s="892"/>
      <c r="VBI9" s="892"/>
      <c r="VBJ9" s="892"/>
      <c r="VBK9" s="892"/>
      <c r="VBL9" s="892"/>
      <c r="VBM9" s="892"/>
      <c r="VBN9" s="892"/>
      <c r="VBO9" s="892"/>
      <c r="VBP9" s="892"/>
      <c r="VBQ9" s="892"/>
      <c r="VBR9" s="892"/>
      <c r="VBS9" s="892"/>
      <c r="VBT9" s="892"/>
      <c r="VBU9" s="892"/>
      <c r="VBV9" s="892"/>
      <c r="VBW9" s="892"/>
      <c r="VBX9" s="892"/>
      <c r="VBY9" s="892"/>
      <c r="VBZ9" s="892"/>
      <c r="VCA9" s="892"/>
      <c r="VCB9" s="892"/>
      <c r="VCC9" s="892"/>
      <c r="VCD9" s="892"/>
      <c r="VCE9" s="892"/>
      <c r="VCF9" s="892"/>
      <c r="VCG9" s="892"/>
      <c r="VCH9" s="892"/>
      <c r="VCI9" s="892"/>
      <c r="VCJ9" s="892"/>
      <c r="VCK9" s="892"/>
      <c r="VCL9" s="892"/>
      <c r="VCM9" s="892"/>
      <c r="VCN9" s="892"/>
      <c r="VCO9" s="892"/>
      <c r="VCP9" s="892"/>
      <c r="VCQ9" s="892"/>
      <c r="VCR9" s="892"/>
      <c r="VCS9" s="892"/>
      <c r="VCT9" s="892"/>
      <c r="VCU9" s="892"/>
      <c r="VCV9" s="892"/>
      <c r="VCW9" s="892"/>
      <c r="VCX9" s="892"/>
      <c r="VCY9" s="892"/>
      <c r="VCZ9" s="892"/>
      <c r="VDA9" s="892"/>
      <c r="VDB9" s="892"/>
      <c r="VDC9" s="892"/>
      <c r="VDD9" s="892"/>
      <c r="VDE9" s="892"/>
      <c r="VDF9" s="892"/>
      <c r="VDG9" s="892"/>
      <c r="VDH9" s="892"/>
      <c r="VDI9" s="892"/>
      <c r="VDJ9" s="892"/>
      <c r="VDK9" s="892"/>
      <c r="VDL9" s="892"/>
      <c r="VDM9" s="892"/>
      <c r="VDN9" s="892"/>
      <c r="VDO9" s="892"/>
      <c r="VDP9" s="892"/>
      <c r="VDQ9" s="892"/>
      <c r="VDR9" s="892"/>
      <c r="VDS9" s="892"/>
      <c r="VDT9" s="892"/>
      <c r="VDU9" s="892"/>
      <c r="VDV9" s="892"/>
      <c r="VDW9" s="892"/>
      <c r="VDX9" s="892"/>
      <c r="VDY9" s="892"/>
      <c r="VDZ9" s="892"/>
      <c r="VEA9" s="892"/>
      <c r="VEB9" s="892"/>
      <c r="VEC9" s="892"/>
      <c r="VED9" s="892"/>
      <c r="VEE9" s="892"/>
      <c r="VEF9" s="892"/>
      <c r="VEG9" s="892"/>
      <c r="VEH9" s="892"/>
      <c r="VEI9" s="892"/>
      <c r="VEJ9" s="892"/>
      <c r="VEK9" s="892"/>
      <c r="VEL9" s="892"/>
      <c r="VEM9" s="892"/>
      <c r="VEN9" s="892"/>
      <c r="VEO9" s="892"/>
      <c r="VEP9" s="892"/>
      <c r="VEQ9" s="892"/>
      <c r="VER9" s="892"/>
      <c r="VES9" s="892"/>
      <c r="VET9" s="892"/>
      <c r="VEU9" s="892"/>
      <c r="VEV9" s="892"/>
      <c r="VEW9" s="892"/>
      <c r="VEX9" s="892"/>
      <c r="VEY9" s="892"/>
      <c r="VEZ9" s="892"/>
      <c r="VFA9" s="892"/>
      <c r="VFB9" s="892"/>
      <c r="VFC9" s="892"/>
      <c r="VFD9" s="892"/>
      <c r="VFE9" s="892"/>
      <c r="VFF9" s="892"/>
      <c r="VFG9" s="892"/>
      <c r="VFH9" s="892"/>
      <c r="VFI9" s="892"/>
      <c r="VFJ9" s="892"/>
      <c r="VFK9" s="892"/>
      <c r="VFL9" s="892"/>
      <c r="VFM9" s="892"/>
      <c r="VFN9" s="892"/>
      <c r="VFO9" s="892"/>
      <c r="VFP9" s="892"/>
      <c r="VFQ9" s="892"/>
      <c r="VFR9" s="892"/>
      <c r="VFS9" s="892"/>
      <c r="VFT9" s="892"/>
      <c r="VFU9" s="892"/>
      <c r="VFV9" s="892"/>
      <c r="VFW9" s="892"/>
      <c r="VFX9" s="892"/>
      <c r="VFY9" s="892"/>
      <c r="VFZ9" s="892"/>
      <c r="VGA9" s="892"/>
      <c r="VGB9" s="892"/>
      <c r="VGC9" s="892"/>
      <c r="VGD9" s="892"/>
      <c r="VGE9" s="892"/>
      <c r="VGF9" s="892"/>
      <c r="VGG9" s="892"/>
      <c r="VGH9" s="892"/>
      <c r="VGI9" s="892"/>
      <c r="VGJ9" s="892"/>
      <c r="VGK9" s="892"/>
      <c r="VGL9" s="892"/>
      <c r="VGM9" s="892"/>
      <c r="VGN9" s="892"/>
      <c r="VGO9" s="892"/>
      <c r="VGP9" s="892"/>
      <c r="VGQ9" s="892"/>
      <c r="VGR9" s="892"/>
      <c r="VGS9" s="892"/>
      <c r="VGT9" s="892"/>
      <c r="VGU9" s="892"/>
      <c r="VGV9" s="892"/>
      <c r="VGW9" s="892"/>
      <c r="VGX9" s="892"/>
      <c r="VGY9" s="892"/>
      <c r="VGZ9" s="892"/>
      <c r="VHA9" s="892"/>
      <c r="VHB9" s="892"/>
      <c r="VHC9" s="892"/>
      <c r="VHD9" s="892"/>
      <c r="VHE9" s="892"/>
      <c r="VHF9" s="892"/>
      <c r="VHG9" s="892"/>
      <c r="VHH9" s="892"/>
      <c r="VHI9" s="892"/>
      <c r="VHJ9" s="892"/>
      <c r="VHK9" s="892"/>
      <c r="VHL9" s="892"/>
      <c r="VHM9" s="892"/>
      <c r="VHN9" s="892"/>
      <c r="VHO9" s="892"/>
      <c r="VHP9" s="892"/>
      <c r="VHQ9" s="892"/>
      <c r="VHR9" s="892"/>
      <c r="VHS9" s="892"/>
      <c r="VHT9" s="892"/>
      <c r="VHU9" s="892"/>
      <c r="VHV9" s="892"/>
      <c r="VHW9" s="892"/>
      <c r="VHX9" s="892"/>
      <c r="VHY9" s="892"/>
      <c r="VHZ9" s="892"/>
      <c r="VIA9" s="892"/>
      <c r="VIB9" s="892"/>
      <c r="VIC9" s="892"/>
      <c r="VID9" s="892"/>
      <c r="VIE9" s="892"/>
      <c r="VIF9" s="892"/>
      <c r="VIG9" s="892"/>
      <c r="VIH9" s="892"/>
      <c r="VII9" s="892"/>
      <c r="VIJ9" s="892"/>
      <c r="VIK9" s="892"/>
      <c r="VIL9" s="892"/>
      <c r="VIM9" s="892"/>
      <c r="VIN9" s="892"/>
      <c r="VIO9" s="892"/>
      <c r="VIP9" s="892"/>
      <c r="VIQ9" s="892"/>
      <c r="VIR9" s="892"/>
      <c r="VIS9" s="892"/>
      <c r="VIT9" s="892"/>
      <c r="VIU9" s="892"/>
      <c r="VIV9" s="892"/>
      <c r="VIW9" s="892"/>
      <c r="VIX9" s="892"/>
      <c r="VIY9" s="892"/>
      <c r="VIZ9" s="892"/>
      <c r="VJA9" s="892"/>
      <c r="VJB9" s="892"/>
      <c r="VJC9" s="892"/>
      <c r="VJD9" s="892"/>
      <c r="VJE9" s="892"/>
      <c r="VJF9" s="892"/>
      <c r="VJG9" s="892"/>
      <c r="VJH9" s="892"/>
      <c r="VJI9" s="892"/>
      <c r="VJJ9" s="892"/>
      <c r="VJK9" s="892"/>
      <c r="VJL9" s="892"/>
      <c r="VJM9" s="892"/>
      <c r="VJN9" s="892"/>
      <c r="VJO9" s="892"/>
      <c r="VJP9" s="892"/>
      <c r="VJQ9" s="892"/>
      <c r="VJR9" s="892"/>
      <c r="VJS9" s="892"/>
      <c r="VJT9" s="892"/>
      <c r="VJU9" s="892"/>
      <c r="VJV9" s="892"/>
      <c r="VJW9" s="892"/>
      <c r="VJX9" s="892"/>
      <c r="VJY9" s="892"/>
      <c r="VJZ9" s="892"/>
      <c r="VKA9" s="892"/>
      <c r="VKB9" s="892"/>
      <c r="VKC9" s="892"/>
      <c r="VKD9" s="892"/>
      <c r="VKE9" s="892"/>
      <c r="VKF9" s="892"/>
      <c r="VKG9" s="892"/>
      <c r="VKH9" s="892"/>
      <c r="VKI9" s="892"/>
      <c r="VKJ9" s="892"/>
      <c r="VKK9" s="892"/>
      <c r="VKL9" s="892"/>
      <c r="VKM9" s="892"/>
      <c r="VKN9" s="892"/>
      <c r="VKO9" s="892"/>
      <c r="VKP9" s="892"/>
      <c r="VKQ9" s="892"/>
      <c r="VKR9" s="892"/>
      <c r="VKS9" s="892"/>
      <c r="VKT9" s="892"/>
      <c r="VKU9" s="892"/>
      <c r="VKV9" s="892"/>
      <c r="VKW9" s="892"/>
      <c r="VKX9" s="892"/>
      <c r="VKY9" s="892"/>
      <c r="VKZ9" s="892"/>
      <c r="VLA9" s="892"/>
      <c r="VLB9" s="892"/>
      <c r="VLC9" s="892"/>
      <c r="VLD9" s="892"/>
      <c r="VLE9" s="892"/>
      <c r="VLF9" s="892"/>
      <c r="VLG9" s="892"/>
      <c r="VLH9" s="892"/>
      <c r="VLI9" s="892"/>
      <c r="VLJ9" s="892"/>
      <c r="VLK9" s="892"/>
      <c r="VLL9" s="892"/>
      <c r="VLM9" s="892"/>
      <c r="VLN9" s="892"/>
      <c r="VLO9" s="892"/>
      <c r="VLP9" s="892"/>
      <c r="VLQ9" s="892"/>
      <c r="VLR9" s="892"/>
      <c r="VLS9" s="892"/>
      <c r="VLT9" s="892"/>
      <c r="VLU9" s="892"/>
      <c r="VLV9" s="892"/>
      <c r="VLW9" s="892"/>
      <c r="VLX9" s="892"/>
      <c r="VLY9" s="892"/>
      <c r="VLZ9" s="892"/>
      <c r="VMA9" s="892"/>
      <c r="VMB9" s="892"/>
      <c r="VMC9" s="892"/>
      <c r="VMD9" s="892"/>
      <c r="VME9" s="892"/>
      <c r="VMF9" s="892"/>
      <c r="VMG9" s="892"/>
      <c r="VMH9" s="892"/>
      <c r="VMI9" s="892"/>
      <c r="VMJ9" s="892"/>
      <c r="VMK9" s="892"/>
      <c r="VML9" s="892"/>
      <c r="VMM9" s="892"/>
      <c r="VMN9" s="892"/>
      <c r="VMO9" s="892"/>
      <c r="VMP9" s="892"/>
      <c r="VMQ9" s="892"/>
      <c r="VMR9" s="892"/>
      <c r="VMS9" s="892"/>
      <c r="VMT9" s="892"/>
      <c r="VMU9" s="892"/>
      <c r="VMV9" s="892"/>
      <c r="VMW9" s="892"/>
      <c r="VMX9" s="892"/>
      <c r="VMY9" s="892"/>
      <c r="VMZ9" s="892"/>
      <c r="VNA9" s="892"/>
      <c r="VNB9" s="892"/>
      <c r="VNC9" s="892"/>
      <c r="VND9" s="892"/>
      <c r="VNE9" s="892"/>
      <c r="VNF9" s="892"/>
      <c r="VNG9" s="892"/>
      <c r="VNH9" s="892"/>
      <c r="VNI9" s="892"/>
      <c r="VNJ9" s="892"/>
      <c r="VNK9" s="892"/>
      <c r="VNL9" s="892"/>
      <c r="VNM9" s="892"/>
      <c r="VNN9" s="892"/>
      <c r="VNO9" s="892"/>
      <c r="VNP9" s="892"/>
      <c r="VNQ9" s="892"/>
      <c r="VNR9" s="892"/>
      <c r="VNS9" s="892"/>
      <c r="VNT9" s="892"/>
      <c r="VNU9" s="892"/>
      <c r="VNV9" s="892"/>
      <c r="VNW9" s="892"/>
      <c r="VNX9" s="892"/>
      <c r="VNY9" s="892"/>
      <c r="VNZ9" s="892"/>
      <c r="VOA9" s="892"/>
      <c r="VOB9" s="892"/>
      <c r="VOC9" s="892"/>
      <c r="VOD9" s="892"/>
      <c r="VOE9" s="892"/>
      <c r="VOF9" s="892"/>
      <c r="VOG9" s="892"/>
      <c r="VOH9" s="892"/>
      <c r="VOI9" s="892"/>
      <c r="VOJ9" s="892"/>
      <c r="VOK9" s="892"/>
      <c r="VOL9" s="892"/>
      <c r="VOM9" s="892"/>
      <c r="VON9" s="892"/>
      <c r="VOO9" s="892"/>
      <c r="VOP9" s="892"/>
      <c r="VOQ9" s="892"/>
      <c r="VOR9" s="892"/>
      <c r="VOS9" s="892"/>
      <c r="VOT9" s="892"/>
      <c r="VOU9" s="892"/>
      <c r="VOV9" s="892"/>
      <c r="VOW9" s="892"/>
      <c r="VOX9" s="892"/>
      <c r="VOY9" s="892"/>
      <c r="VOZ9" s="892"/>
      <c r="VPA9" s="892"/>
      <c r="VPB9" s="892"/>
      <c r="VPC9" s="892"/>
      <c r="VPD9" s="892"/>
      <c r="VPE9" s="892"/>
      <c r="VPF9" s="892"/>
      <c r="VPG9" s="892"/>
      <c r="VPH9" s="892"/>
      <c r="VPI9" s="892"/>
      <c r="VPJ9" s="892"/>
      <c r="VPK9" s="892"/>
      <c r="VPL9" s="892"/>
      <c r="VPM9" s="892"/>
      <c r="VPN9" s="892"/>
      <c r="VPO9" s="892"/>
      <c r="VPP9" s="892"/>
      <c r="VPQ9" s="892"/>
      <c r="VPR9" s="892"/>
      <c r="VPS9" s="892"/>
      <c r="VPT9" s="892"/>
      <c r="VPU9" s="892"/>
      <c r="VPV9" s="892"/>
      <c r="VPW9" s="892"/>
      <c r="VPX9" s="892"/>
      <c r="VPY9" s="892"/>
      <c r="VPZ9" s="892"/>
      <c r="VQA9" s="892"/>
      <c r="VQB9" s="892"/>
      <c r="VQC9" s="892"/>
      <c r="VQD9" s="892"/>
      <c r="VQE9" s="892"/>
      <c r="VQF9" s="892"/>
      <c r="VQG9" s="892"/>
      <c r="VQH9" s="892"/>
      <c r="VQI9" s="892"/>
      <c r="VQJ9" s="892"/>
      <c r="VQK9" s="892"/>
      <c r="VQL9" s="892"/>
      <c r="VQM9" s="892"/>
      <c r="VQN9" s="892"/>
      <c r="VQO9" s="892"/>
      <c r="VQP9" s="892"/>
      <c r="VQQ9" s="892"/>
      <c r="VQR9" s="892"/>
      <c r="VQS9" s="892"/>
      <c r="VQT9" s="892"/>
      <c r="VQU9" s="892"/>
      <c r="VQV9" s="892"/>
      <c r="VQW9" s="892"/>
      <c r="VQX9" s="892"/>
      <c r="VQY9" s="892"/>
      <c r="VQZ9" s="892"/>
      <c r="VRA9" s="892"/>
      <c r="VRB9" s="892"/>
      <c r="VRC9" s="892"/>
      <c r="VRD9" s="892"/>
      <c r="VRE9" s="892"/>
      <c r="VRF9" s="892"/>
      <c r="VRG9" s="892"/>
      <c r="VRH9" s="892"/>
      <c r="VRI9" s="892"/>
      <c r="VRJ9" s="892"/>
      <c r="VRK9" s="892"/>
      <c r="VRL9" s="892"/>
      <c r="VRM9" s="892"/>
      <c r="VRN9" s="892"/>
      <c r="VRO9" s="892"/>
      <c r="VRP9" s="892"/>
      <c r="VRQ9" s="892"/>
      <c r="VRR9" s="892"/>
      <c r="VRS9" s="892"/>
      <c r="VRT9" s="892"/>
      <c r="VRU9" s="892"/>
      <c r="VRV9" s="892"/>
      <c r="VRW9" s="892"/>
      <c r="VRX9" s="892"/>
      <c r="VRY9" s="892"/>
      <c r="VRZ9" s="892"/>
      <c r="VSA9" s="892"/>
      <c r="VSB9" s="892"/>
      <c r="VSC9" s="892"/>
      <c r="VSD9" s="892"/>
      <c r="VSE9" s="892"/>
      <c r="VSF9" s="892"/>
      <c r="VSG9" s="892"/>
      <c r="VSH9" s="892"/>
      <c r="VSI9" s="892"/>
      <c r="VSJ9" s="892"/>
      <c r="VSK9" s="892"/>
      <c r="VSL9" s="892"/>
      <c r="VSM9" s="892"/>
      <c r="VSN9" s="892"/>
      <c r="VSO9" s="892"/>
      <c r="VSP9" s="892"/>
      <c r="VSQ9" s="892"/>
      <c r="VSR9" s="892"/>
      <c r="VSS9" s="892"/>
      <c r="VST9" s="892"/>
      <c r="VSU9" s="892"/>
      <c r="VSV9" s="892"/>
      <c r="VSW9" s="892"/>
      <c r="VSX9" s="892"/>
      <c r="VSY9" s="892"/>
      <c r="VSZ9" s="892"/>
      <c r="VTA9" s="892"/>
      <c r="VTB9" s="892"/>
      <c r="VTC9" s="892"/>
      <c r="VTD9" s="892"/>
      <c r="VTE9" s="892"/>
      <c r="VTF9" s="892"/>
      <c r="VTG9" s="892"/>
      <c r="VTH9" s="892"/>
      <c r="VTI9" s="892"/>
      <c r="VTJ9" s="892"/>
      <c r="VTK9" s="892"/>
      <c r="VTL9" s="892"/>
      <c r="VTM9" s="892"/>
      <c r="VTN9" s="892"/>
      <c r="VTO9" s="892"/>
      <c r="VTP9" s="892"/>
      <c r="VTQ9" s="892"/>
      <c r="VTR9" s="892"/>
      <c r="VTS9" s="892"/>
      <c r="VTT9" s="892"/>
      <c r="VTU9" s="892"/>
      <c r="VTV9" s="892"/>
      <c r="VTW9" s="892"/>
      <c r="VTX9" s="892"/>
      <c r="VTY9" s="892"/>
      <c r="VTZ9" s="892"/>
      <c r="VUA9" s="892"/>
      <c r="VUB9" s="892"/>
      <c r="VUC9" s="892"/>
      <c r="VUD9" s="892"/>
      <c r="VUE9" s="892"/>
      <c r="VUF9" s="892"/>
      <c r="VUG9" s="892"/>
      <c r="VUH9" s="892"/>
      <c r="VUI9" s="892"/>
      <c r="VUJ9" s="892"/>
      <c r="VUK9" s="892"/>
      <c r="VUL9" s="892"/>
      <c r="VUM9" s="892"/>
      <c r="VUN9" s="892"/>
      <c r="VUO9" s="892"/>
      <c r="VUP9" s="892"/>
      <c r="VUQ9" s="892"/>
      <c r="VUR9" s="892"/>
      <c r="VUS9" s="892"/>
      <c r="VUT9" s="892"/>
      <c r="VUU9" s="892"/>
      <c r="VUV9" s="892"/>
      <c r="VUW9" s="892"/>
      <c r="VUX9" s="892"/>
      <c r="VUY9" s="892"/>
      <c r="VUZ9" s="892"/>
      <c r="VVA9" s="892"/>
      <c r="VVB9" s="892"/>
      <c r="VVC9" s="892"/>
      <c r="VVD9" s="892"/>
      <c r="VVE9" s="892"/>
      <c r="VVF9" s="892"/>
      <c r="VVG9" s="892"/>
      <c r="VVH9" s="892"/>
      <c r="VVI9" s="892"/>
      <c r="VVJ9" s="892"/>
      <c r="VVK9" s="892"/>
      <c r="VVL9" s="892"/>
      <c r="VVM9" s="892"/>
      <c r="VVN9" s="892"/>
      <c r="VVO9" s="892"/>
      <c r="VVP9" s="892"/>
      <c r="VVQ9" s="892"/>
      <c r="VVR9" s="892"/>
      <c r="VVS9" s="892"/>
      <c r="VVT9" s="892"/>
      <c r="VVU9" s="892"/>
      <c r="VVV9" s="892"/>
      <c r="VVW9" s="892"/>
      <c r="VVX9" s="892"/>
      <c r="VVY9" s="892"/>
      <c r="VVZ9" s="892"/>
      <c r="VWA9" s="892"/>
      <c r="VWB9" s="892"/>
      <c r="VWC9" s="892"/>
      <c r="VWD9" s="892"/>
      <c r="VWE9" s="892"/>
      <c r="VWF9" s="892"/>
      <c r="VWG9" s="892"/>
      <c r="VWH9" s="892"/>
      <c r="VWI9" s="892"/>
      <c r="VWJ9" s="892"/>
      <c r="VWK9" s="892"/>
      <c r="VWL9" s="892"/>
      <c r="VWM9" s="892"/>
      <c r="VWN9" s="892"/>
      <c r="VWO9" s="892"/>
      <c r="VWP9" s="892"/>
      <c r="VWQ9" s="892"/>
      <c r="VWR9" s="892"/>
      <c r="VWS9" s="892"/>
      <c r="VWT9" s="892"/>
      <c r="VWU9" s="892"/>
      <c r="VWV9" s="892"/>
      <c r="VWW9" s="892"/>
      <c r="VWX9" s="892"/>
      <c r="VWY9" s="892"/>
      <c r="VWZ9" s="892"/>
      <c r="VXA9" s="892"/>
      <c r="VXB9" s="892"/>
      <c r="VXC9" s="892"/>
      <c r="VXD9" s="892"/>
      <c r="VXE9" s="892"/>
      <c r="VXF9" s="892"/>
      <c r="VXG9" s="892"/>
      <c r="VXH9" s="892"/>
      <c r="VXI9" s="892"/>
      <c r="VXJ9" s="892"/>
      <c r="VXK9" s="892"/>
      <c r="VXL9" s="892"/>
      <c r="VXM9" s="892"/>
      <c r="VXN9" s="892"/>
      <c r="VXO9" s="892"/>
      <c r="VXP9" s="892"/>
      <c r="VXQ9" s="892"/>
      <c r="VXR9" s="892"/>
      <c r="VXS9" s="892"/>
      <c r="VXT9" s="892"/>
      <c r="VXU9" s="892"/>
      <c r="VXV9" s="892"/>
      <c r="VXW9" s="892"/>
      <c r="VXX9" s="892"/>
      <c r="VXY9" s="892"/>
      <c r="VXZ9" s="892"/>
      <c r="VYA9" s="892"/>
      <c r="VYB9" s="892"/>
      <c r="VYC9" s="892"/>
      <c r="VYD9" s="892"/>
      <c r="VYE9" s="892"/>
      <c r="VYF9" s="892"/>
      <c r="VYG9" s="892"/>
      <c r="VYH9" s="892"/>
      <c r="VYI9" s="892"/>
      <c r="VYJ9" s="892"/>
      <c r="VYK9" s="892"/>
      <c r="VYL9" s="892"/>
      <c r="VYM9" s="892"/>
      <c r="VYN9" s="892"/>
      <c r="VYO9" s="892"/>
      <c r="VYP9" s="892"/>
      <c r="VYQ9" s="892"/>
      <c r="VYR9" s="892"/>
      <c r="VYS9" s="892"/>
      <c r="VYT9" s="892"/>
      <c r="VYU9" s="892"/>
      <c r="VYV9" s="892"/>
      <c r="VYW9" s="892"/>
      <c r="VYX9" s="892"/>
      <c r="VYY9" s="892"/>
      <c r="VYZ9" s="892"/>
      <c r="VZA9" s="892"/>
      <c r="VZB9" s="892"/>
      <c r="VZC9" s="892"/>
      <c r="VZD9" s="892"/>
      <c r="VZE9" s="892"/>
      <c r="VZF9" s="892"/>
      <c r="VZG9" s="892"/>
      <c r="VZH9" s="892"/>
      <c r="VZI9" s="892"/>
      <c r="VZJ9" s="892"/>
      <c r="VZK9" s="892"/>
      <c r="VZL9" s="892"/>
      <c r="VZM9" s="892"/>
      <c r="VZN9" s="892"/>
      <c r="VZO9" s="892"/>
      <c r="VZP9" s="892"/>
      <c r="VZQ9" s="892"/>
      <c r="VZR9" s="892"/>
      <c r="VZS9" s="892"/>
      <c r="VZT9" s="892"/>
      <c r="VZU9" s="892"/>
      <c r="VZV9" s="892"/>
      <c r="VZW9" s="892"/>
      <c r="VZX9" s="892"/>
      <c r="VZY9" s="892"/>
      <c r="VZZ9" s="892"/>
      <c r="WAA9" s="892"/>
      <c r="WAB9" s="892"/>
      <c r="WAC9" s="892"/>
      <c r="WAD9" s="892"/>
      <c r="WAE9" s="892"/>
      <c r="WAF9" s="892"/>
      <c r="WAG9" s="892"/>
      <c r="WAH9" s="892"/>
      <c r="WAI9" s="892"/>
      <c r="WAJ9" s="892"/>
      <c r="WAK9" s="892"/>
      <c r="WAL9" s="892"/>
      <c r="WAM9" s="892"/>
      <c r="WAN9" s="892"/>
      <c r="WAO9" s="892"/>
      <c r="WAP9" s="892"/>
      <c r="WAQ9" s="892"/>
      <c r="WAR9" s="892"/>
      <c r="WAS9" s="892"/>
      <c r="WAT9" s="892"/>
      <c r="WAU9" s="892"/>
      <c r="WAV9" s="892"/>
      <c r="WAW9" s="892"/>
      <c r="WAX9" s="892"/>
      <c r="WAY9" s="892"/>
      <c r="WAZ9" s="892"/>
      <c r="WBA9" s="892"/>
      <c r="WBB9" s="892"/>
      <c r="WBC9" s="892"/>
      <c r="WBD9" s="892"/>
      <c r="WBE9" s="892"/>
      <c r="WBF9" s="892"/>
      <c r="WBG9" s="892"/>
      <c r="WBH9" s="892"/>
      <c r="WBI9" s="892"/>
      <c r="WBJ9" s="892"/>
      <c r="WBK9" s="892"/>
      <c r="WBL9" s="892"/>
      <c r="WBM9" s="892"/>
      <c r="WBN9" s="892"/>
      <c r="WBO9" s="892"/>
      <c r="WBP9" s="892"/>
      <c r="WBQ9" s="892"/>
      <c r="WBR9" s="892"/>
      <c r="WBS9" s="892"/>
      <c r="WBT9" s="892"/>
      <c r="WBU9" s="892"/>
      <c r="WBV9" s="892"/>
      <c r="WBW9" s="892"/>
      <c r="WBX9" s="892"/>
      <c r="WBY9" s="892"/>
      <c r="WBZ9" s="892"/>
      <c r="WCA9" s="892"/>
      <c r="WCB9" s="892"/>
      <c r="WCC9" s="892"/>
      <c r="WCD9" s="892"/>
      <c r="WCE9" s="892"/>
      <c r="WCF9" s="892"/>
      <c r="WCG9" s="892"/>
      <c r="WCH9" s="892"/>
      <c r="WCI9" s="892"/>
      <c r="WCJ9" s="892"/>
      <c r="WCK9" s="892"/>
      <c r="WCL9" s="892"/>
      <c r="WCM9" s="892"/>
      <c r="WCN9" s="892"/>
      <c r="WCO9" s="892"/>
      <c r="WCP9" s="892"/>
      <c r="WCQ9" s="892"/>
      <c r="WCR9" s="892"/>
      <c r="WCS9" s="892"/>
      <c r="WCT9" s="892"/>
      <c r="WCU9" s="892"/>
      <c r="WCV9" s="892"/>
      <c r="WCW9" s="892"/>
      <c r="WCX9" s="892"/>
      <c r="WCY9" s="892"/>
      <c r="WCZ9" s="892"/>
      <c r="WDA9" s="892"/>
      <c r="WDB9" s="892"/>
      <c r="WDC9" s="892"/>
      <c r="WDD9" s="892"/>
      <c r="WDE9" s="892"/>
      <c r="WDF9" s="892"/>
      <c r="WDG9" s="892"/>
      <c r="WDH9" s="892"/>
      <c r="WDI9" s="892"/>
      <c r="WDJ9" s="892"/>
      <c r="WDK9" s="892"/>
      <c r="WDL9" s="892"/>
      <c r="WDM9" s="892"/>
      <c r="WDN9" s="892"/>
      <c r="WDO9" s="892"/>
      <c r="WDP9" s="892"/>
      <c r="WDQ9" s="892"/>
      <c r="WDR9" s="892"/>
      <c r="WDS9" s="892"/>
      <c r="WDT9" s="892"/>
      <c r="WDU9" s="892"/>
      <c r="WDV9" s="892"/>
      <c r="WDW9" s="892"/>
      <c r="WDX9" s="892"/>
      <c r="WDY9" s="892"/>
      <c r="WDZ9" s="892"/>
      <c r="WEA9" s="892"/>
      <c r="WEB9" s="892"/>
      <c r="WEC9" s="892"/>
      <c r="WED9" s="892"/>
      <c r="WEE9" s="892"/>
      <c r="WEF9" s="892"/>
      <c r="WEG9" s="892"/>
      <c r="WEH9" s="892"/>
      <c r="WEI9" s="892"/>
      <c r="WEJ9" s="892"/>
      <c r="WEK9" s="892"/>
      <c r="WEL9" s="892"/>
      <c r="WEM9" s="892"/>
      <c r="WEN9" s="892"/>
      <c r="WEO9" s="892"/>
      <c r="WEP9" s="892"/>
      <c r="WEQ9" s="892"/>
      <c r="WER9" s="892"/>
      <c r="WES9" s="892"/>
      <c r="WET9" s="892"/>
      <c r="WEU9" s="892"/>
      <c r="WEV9" s="892"/>
      <c r="WEW9" s="892"/>
      <c r="WEX9" s="892"/>
      <c r="WEY9" s="892"/>
      <c r="WEZ9" s="892"/>
      <c r="WFA9" s="892"/>
      <c r="WFB9" s="892"/>
      <c r="WFC9" s="892"/>
      <c r="WFD9" s="892"/>
      <c r="WFE9" s="892"/>
      <c r="WFF9" s="892"/>
      <c r="WFG9" s="892"/>
      <c r="WFH9" s="892"/>
      <c r="WFI9" s="892"/>
      <c r="WFJ9" s="892"/>
      <c r="WFK9" s="892"/>
      <c r="WFL9" s="892"/>
      <c r="WFM9" s="892"/>
      <c r="WFN9" s="892"/>
      <c r="WFO9" s="892"/>
      <c r="WFP9" s="892"/>
      <c r="WFQ9" s="892"/>
      <c r="WFR9" s="892"/>
      <c r="WFS9" s="892"/>
      <c r="WFT9" s="892"/>
      <c r="WFU9" s="892"/>
      <c r="WFV9" s="892"/>
      <c r="WFW9" s="892"/>
      <c r="WFX9" s="892"/>
      <c r="WFY9" s="892"/>
      <c r="WFZ9" s="892"/>
      <c r="WGA9" s="892"/>
      <c r="WGB9" s="892"/>
      <c r="WGC9" s="892"/>
      <c r="WGD9" s="892"/>
      <c r="WGE9" s="892"/>
      <c r="WGF9" s="892"/>
      <c r="WGG9" s="892"/>
      <c r="WGH9" s="892"/>
      <c r="WGI9" s="892"/>
      <c r="WGJ9" s="892"/>
      <c r="WGK9" s="892"/>
      <c r="WGL9" s="892"/>
      <c r="WGM9" s="892"/>
      <c r="WGN9" s="892"/>
      <c r="WGO9" s="892"/>
      <c r="WGP9" s="892"/>
      <c r="WGQ9" s="892"/>
      <c r="WGR9" s="892"/>
      <c r="WGS9" s="892"/>
      <c r="WGT9" s="892"/>
      <c r="WGU9" s="892"/>
      <c r="WGV9" s="892"/>
      <c r="WGW9" s="892"/>
      <c r="WGX9" s="892"/>
      <c r="WGY9" s="892"/>
      <c r="WGZ9" s="892"/>
      <c r="WHA9" s="892"/>
      <c r="WHB9" s="892"/>
      <c r="WHC9" s="892"/>
      <c r="WHD9" s="892"/>
      <c r="WHE9" s="892"/>
      <c r="WHF9" s="892"/>
      <c r="WHG9" s="892"/>
      <c r="WHH9" s="892"/>
      <c r="WHI9" s="892"/>
      <c r="WHJ9" s="892"/>
      <c r="WHK9" s="892"/>
      <c r="WHL9" s="892"/>
      <c r="WHM9" s="892"/>
      <c r="WHN9" s="892"/>
      <c r="WHO9" s="892"/>
      <c r="WHP9" s="892"/>
      <c r="WHQ9" s="892"/>
      <c r="WHR9" s="892"/>
      <c r="WHS9" s="892"/>
      <c r="WHT9" s="892"/>
      <c r="WHU9" s="892"/>
      <c r="WHV9" s="892"/>
      <c r="WHW9" s="892"/>
      <c r="WHX9" s="892"/>
      <c r="WHY9" s="892"/>
      <c r="WHZ9" s="892"/>
      <c r="WIA9" s="892"/>
      <c r="WIB9" s="892"/>
      <c r="WIC9" s="892"/>
      <c r="WID9" s="892"/>
      <c r="WIE9" s="892"/>
      <c r="WIF9" s="892"/>
      <c r="WIG9" s="892"/>
      <c r="WIH9" s="892"/>
      <c r="WII9" s="892"/>
      <c r="WIJ9" s="892"/>
      <c r="WIK9" s="892"/>
      <c r="WIL9" s="892"/>
      <c r="WIM9" s="892"/>
      <c r="WIN9" s="892"/>
      <c r="WIO9" s="892"/>
      <c r="WIP9" s="892"/>
      <c r="WIQ9" s="892"/>
      <c r="WIR9" s="892"/>
      <c r="WIS9" s="892"/>
      <c r="WIT9" s="892"/>
      <c r="WIU9" s="892"/>
      <c r="WIV9" s="892"/>
      <c r="WIW9" s="892"/>
      <c r="WIX9" s="892"/>
      <c r="WIY9" s="892"/>
      <c r="WIZ9" s="892"/>
      <c r="WJA9" s="892"/>
      <c r="WJB9" s="892"/>
      <c r="WJC9" s="892"/>
      <c r="WJD9" s="892"/>
      <c r="WJE9" s="892"/>
      <c r="WJF9" s="892"/>
      <c r="WJG9" s="892"/>
      <c r="WJH9" s="892"/>
      <c r="WJI9" s="892"/>
      <c r="WJJ9" s="892"/>
      <c r="WJK9" s="892"/>
      <c r="WJL9" s="892"/>
      <c r="WJM9" s="892"/>
      <c r="WJN9" s="892"/>
      <c r="WJO9" s="892"/>
      <c r="WJP9" s="892"/>
      <c r="WJQ9" s="892"/>
      <c r="WJR9" s="892"/>
      <c r="WJS9" s="892"/>
      <c r="WJT9" s="892"/>
      <c r="WJU9" s="892"/>
      <c r="WJV9" s="892"/>
      <c r="WJW9" s="892"/>
      <c r="WJX9" s="892"/>
      <c r="WJY9" s="892"/>
      <c r="WJZ9" s="892"/>
      <c r="WKA9" s="892"/>
      <c r="WKB9" s="892"/>
      <c r="WKC9" s="892"/>
      <c r="WKD9" s="892"/>
      <c r="WKE9" s="892"/>
      <c r="WKF9" s="892"/>
      <c r="WKG9" s="892"/>
      <c r="WKH9" s="892"/>
      <c r="WKI9" s="892"/>
      <c r="WKJ9" s="892"/>
      <c r="WKK9" s="892"/>
      <c r="WKL9" s="892"/>
      <c r="WKM9" s="892"/>
      <c r="WKN9" s="892"/>
      <c r="WKO9" s="892"/>
      <c r="WKP9" s="892"/>
      <c r="WKQ9" s="892"/>
      <c r="WKR9" s="892"/>
      <c r="WKS9" s="892"/>
      <c r="WKT9" s="892"/>
      <c r="WKU9" s="892"/>
      <c r="WKV9" s="892"/>
      <c r="WKW9" s="892"/>
      <c r="WKX9" s="892"/>
      <c r="WKY9" s="892"/>
      <c r="WKZ9" s="892"/>
      <c r="WLA9" s="892"/>
      <c r="WLB9" s="892"/>
      <c r="WLC9" s="892"/>
      <c r="WLD9" s="892"/>
      <c r="WLE9" s="892"/>
      <c r="WLF9" s="892"/>
      <c r="WLG9" s="892"/>
      <c r="WLH9" s="892"/>
      <c r="WLI9" s="892"/>
      <c r="WLJ9" s="892"/>
      <c r="WLK9" s="892"/>
      <c r="WLL9" s="892"/>
      <c r="WLM9" s="892"/>
      <c r="WLN9" s="892"/>
      <c r="WLO9" s="892"/>
      <c r="WLP9" s="892"/>
      <c r="WLQ9" s="892"/>
      <c r="WLR9" s="892"/>
      <c r="WLS9" s="892"/>
      <c r="WLT9" s="892"/>
      <c r="WLU9" s="892"/>
      <c r="WLV9" s="892"/>
      <c r="WLW9" s="892"/>
      <c r="WLX9" s="892"/>
      <c r="WLY9" s="892"/>
      <c r="WLZ9" s="892"/>
      <c r="WMA9" s="892"/>
      <c r="WMB9" s="892"/>
      <c r="WMC9" s="892"/>
      <c r="WMD9" s="892"/>
      <c r="WME9" s="892"/>
      <c r="WMF9" s="892"/>
      <c r="WMG9" s="892"/>
      <c r="WMH9" s="892"/>
      <c r="WMI9" s="892"/>
      <c r="WMJ9" s="892"/>
      <c r="WMK9" s="892"/>
      <c r="WML9" s="892"/>
      <c r="WMM9" s="892"/>
      <c r="WMN9" s="892"/>
      <c r="WMO9" s="892"/>
      <c r="WMP9" s="892"/>
      <c r="WMQ9" s="892"/>
      <c r="WMR9" s="892"/>
      <c r="WMS9" s="892"/>
      <c r="WMT9" s="892"/>
      <c r="WMU9" s="892"/>
      <c r="WMV9" s="892"/>
      <c r="WMW9" s="892"/>
      <c r="WMX9" s="892"/>
      <c r="WMY9" s="892"/>
      <c r="WMZ9" s="892"/>
      <c r="WNA9" s="892"/>
      <c r="WNB9" s="892"/>
      <c r="WNC9" s="892"/>
      <c r="WND9" s="892"/>
      <c r="WNE9" s="892"/>
      <c r="WNF9" s="892"/>
      <c r="WNG9" s="892"/>
      <c r="WNH9" s="892"/>
      <c r="WNI9" s="892"/>
      <c r="WNJ9" s="892"/>
      <c r="WNK9" s="892"/>
      <c r="WNL9" s="892"/>
      <c r="WNM9" s="892"/>
      <c r="WNN9" s="892"/>
      <c r="WNO9" s="892"/>
      <c r="WNP9" s="892"/>
      <c r="WNQ9" s="892"/>
      <c r="WNR9" s="892"/>
      <c r="WNS9" s="892"/>
      <c r="WNT9" s="892"/>
      <c r="WNU9" s="892"/>
      <c r="WNV9" s="892"/>
      <c r="WNW9" s="892"/>
      <c r="WNX9" s="892"/>
      <c r="WNY9" s="892"/>
      <c r="WNZ9" s="892"/>
      <c r="WOA9" s="892"/>
      <c r="WOB9" s="892"/>
      <c r="WOC9" s="892"/>
      <c r="WOD9" s="892"/>
      <c r="WOE9" s="892"/>
      <c r="WOF9" s="892"/>
      <c r="WOG9" s="892"/>
      <c r="WOH9" s="892"/>
      <c r="WOI9" s="892"/>
      <c r="WOJ9" s="892"/>
      <c r="WOK9" s="892"/>
      <c r="WOL9" s="892"/>
      <c r="WOM9" s="892"/>
      <c r="WON9" s="892"/>
      <c r="WOO9" s="892"/>
      <c r="WOP9" s="892"/>
      <c r="WOQ9" s="892"/>
      <c r="WOR9" s="892"/>
      <c r="WOS9" s="892"/>
      <c r="WOT9" s="892"/>
      <c r="WOU9" s="892"/>
      <c r="WOV9" s="892"/>
      <c r="WOW9" s="892"/>
      <c r="WOX9" s="892"/>
      <c r="WOY9" s="892"/>
      <c r="WOZ9" s="892"/>
      <c r="WPA9" s="892"/>
      <c r="WPB9" s="892"/>
      <c r="WPC9" s="892"/>
      <c r="WPD9" s="892"/>
      <c r="WPE9" s="892"/>
      <c r="WPF9" s="892"/>
      <c r="WPG9" s="892"/>
      <c r="WPH9" s="892"/>
      <c r="WPI9" s="892"/>
      <c r="WPJ9" s="892"/>
      <c r="WPK9" s="892"/>
      <c r="WPL9" s="892"/>
      <c r="WPM9" s="892"/>
      <c r="WPN9" s="892"/>
      <c r="WPO9" s="892"/>
      <c r="WPP9" s="892"/>
      <c r="WPQ9" s="892"/>
      <c r="WPR9" s="892"/>
      <c r="WPS9" s="892"/>
      <c r="WPT9" s="892"/>
      <c r="WPU9" s="892"/>
      <c r="WPV9" s="892"/>
      <c r="WPW9" s="892"/>
      <c r="WPX9" s="892"/>
      <c r="WPY9" s="892"/>
      <c r="WPZ9" s="892"/>
      <c r="WQA9" s="892"/>
      <c r="WQB9" s="892"/>
      <c r="WQC9" s="892"/>
      <c r="WQD9" s="892"/>
      <c r="WQE9" s="892"/>
      <c r="WQF9" s="892"/>
      <c r="WQG9" s="892"/>
      <c r="WQH9" s="892"/>
      <c r="WQI9" s="892"/>
      <c r="WQJ9" s="892"/>
      <c r="WQK9" s="892"/>
      <c r="WQL9" s="892"/>
      <c r="WQM9" s="892"/>
      <c r="WQN9" s="892"/>
      <c r="WQO9" s="892"/>
      <c r="WQP9" s="892"/>
      <c r="WQQ9" s="892"/>
      <c r="WQR9" s="892"/>
      <c r="WQS9" s="892"/>
      <c r="WQT9" s="892"/>
      <c r="WQU9" s="892"/>
      <c r="WQV9" s="892"/>
      <c r="WQW9" s="892"/>
      <c r="WQX9" s="892"/>
      <c r="WQY9" s="892"/>
      <c r="WQZ9" s="892"/>
      <c r="WRA9" s="892"/>
      <c r="WRB9" s="892"/>
      <c r="WRC9" s="892"/>
      <c r="WRD9" s="892"/>
      <c r="WRE9" s="892"/>
      <c r="WRF9" s="892"/>
      <c r="WRG9" s="892"/>
      <c r="WRH9" s="892"/>
      <c r="WRI9" s="892"/>
      <c r="WRJ9" s="892"/>
      <c r="WRK9" s="892"/>
      <c r="WRL9" s="892"/>
      <c r="WRM9" s="892"/>
      <c r="WRN9" s="892"/>
      <c r="WRO9" s="892"/>
      <c r="WRP9" s="892"/>
      <c r="WRQ9" s="892"/>
      <c r="WRR9" s="892"/>
      <c r="WRS9" s="892"/>
      <c r="WRT9" s="892"/>
      <c r="WRU9" s="892"/>
      <c r="WRV9" s="892"/>
      <c r="WRW9" s="892"/>
      <c r="WRX9" s="892"/>
      <c r="WRY9" s="892"/>
      <c r="WRZ9" s="892"/>
      <c r="WSA9" s="892"/>
      <c r="WSB9" s="892"/>
      <c r="WSC9" s="892"/>
      <c r="WSD9" s="892"/>
      <c r="WSE9" s="892"/>
      <c r="WSF9" s="892"/>
      <c r="WSG9" s="892"/>
      <c r="WSH9" s="892"/>
      <c r="WSI9" s="892"/>
      <c r="WSJ9" s="892"/>
      <c r="WSK9" s="892"/>
      <c r="WSL9" s="892"/>
      <c r="WSM9" s="892"/>
      <c r="WSN9" s="892"/>
      <c r="WSO9" s="892"/>
      <c r="WSP9" s="892"/>
      <c r="WSQ9" s="892"/>
      <c r="WSR9" s="892"/>
      <c r="WSS9" s="892"/>
      <c r="WST9" s="892"/>
      <c r="WSU9" s="892"/>
      <c r="WSV9" s="892"/>
      <c r="WSW9" s="892"/>
      <c r="WSX9" s="892"/>
      <c r="WSY9" s="892"/>
      <c r="WSZ9" s="892"/>
      <c r="WTA9" s="892"/>
      <c r="WTB9" s="892"/>
      <c r="WTC9" s="892"/>
      <c r="WTD9" s="892"/>
      <c r="WTE9" s="892"/>
      <c r="WTF9" s="892"/>
      <c r="WTG9" s="892"/>
      <c r="WTH9" s="892"/>
      <c r="WTI9" s="892"/>
      <c r="WTJ9" s="892"/>
      <c r="WTK9" s="892"/>
      <c r="WTL9" s="892"/>
      <c r="WTM9" s="892"/>
      <c r="WTN9" s="892"/>
      <c r="WTO9" s="892"/>
      <c r="WTP9" s="892"/>
      <c r="WTQ9" s="892"/>
      <c r="WTR9" s="892"/>
      <c r="WTS9" s="892"/>
      <c r="WTT9" s="892"/>
      <c r="WTU9" s="892"/>
      <c r="WTV9" s="892"/>
      <c r="WTW9" s="892"/>
      <c r="WTX9" s="892"/>
      <c r="WTY9" s="892"/>
      <c r="WTZ9" s="892"/>
      <c r="WUA9" s="892"/>
      <c r="WUB9" s="892"/>
      <c r="WUC9" s="892"/>
      <c r="WUD9" s="892"/>
      <c r="WUE9" s="892"/>
      <c r="WUF9" s="892"/>
      <c r="WUG9" s="892"/>
      <c r="WUH9" s="892"/>
      <c r="WUI9" s="892"/>
      <c r="WUJ9" s="892"/>
      <c r="WUK9" s="892"/>
      <c r="WUL9" s="892"/>
      <c r="WUM9" s="892"/>
      <c r="WUN9" s="892"/>
      <c r="WUO9" s="892"/>
      <c r="WUP9" s="892"/>
      <c r="WUQ9" s="892"/>
      <c r="WUR9" s="892"/>
      <c r="WUS9" s="892"/>
      <c r="WUT9" s="892"/>
      <c r="WUU9" s="892"/>
      <c r="WUV9" s="892"/>
      <c r="WUW9" s="892"/>
      <c r="WUX9" s="892"/>
      <c r="WUY9" s="892"/>
      <c r="WUZ9" s="892"/>
      <c r="WVA9" s="892"/>
      <c r="WVB9" s="892"/>
      <c r="WVC9" s="892"/>
      <c r="WVD9" s="892"/>
      <c r="WVE9" s="892"/>
      <c r="WVF9" s="892"/>
      <c r="WVG9" s="892"/>
      <c r="WVH9" s="892"/>
      <c r="WVI9" s="892"/>
      <c r="WVJ9" s="892"/>
      <c r="WVK9" s="892"/>
      <c r="WVL9" s="892"/>
      <c r="WVM9" s="892"/>
      <c r="WVN9" s="892"/>
      <c r="WVO9" s="892"/>
      <c r="WVP9" s="892"/>
      <c r="WVQ9" s="892"/>
      <c r="WVR9" s="892"/>
      <c r="WVS9" s="892"/>
      <c r="WVT9" s="892"/>
      <c r="WVU9" s="892"/>
      <c r="WVV9" s="892"/>
      <c r="WVW9" s="892"/>
      <c r="WVX9" s="892"/>
      <c r="WVY9" s="892"/>
      <c r="WVZ9" s="892"/>
      <c r="WWA9" s="892"/>
      <c r="WWB9" s="892"/>
      <c r="WWC9" s="892"/>
      <c r="WWD9" s="892"/>
    </row>
    <row r="10" spans="1:16150" s="624" customFormat="1" x14ac:dyDescent="0.2">
      <c r="A10" s="64" t="str">
        <f t="shared" ref="A10:A122" si="0">CONCATENATE(E10,Q10)</f>
        <v>8STL GALV</v>
      </c>
      <c r="B10" s="691"/>
      <c r="C10" s="709"/>
      <c r="D10" s="77" t="s">
        <v>1837</v>
      </c>
      <c r="E10" s="65">
        <v>8</v>
      </c>
      <c r="F10" s="12" t="s">
        <v>585</v>
      </c>
      <c r="G10" s="12" t="s">
        <v>585</v>
      </c>
      <c r="H10" s="161">
        <v>0.15601000000000001</v>
      </c>
      <c r="I10" s="12" t="s">
        <v>1409</v>
      </c>
      <c r="J10" s="12" t="s">
        <v>16</v>
      </c>
      <c r="K10" s="64" t="s">
        <v>318</v>
      </c>
      <c r="L10" s="65" t="s">
        <v>1123</v>
      </c>
      <c r="M10" s="12" t="s">
        <v>1411</v>
      </c>
      <c r="N10" s="536" t="s">
        <v>586</v>
      </c>
      <c r="O10" s="12" t="s">
        <v>156</v>
      </c>
      <c r="P10" s="12" t="s">
        <v>567</v>
      </c>
      <c r="Q10" s="12" t="s">
        <v>716</v>
      </c>
      <c r="R10" s="64" t="s">
        <v>34</v>
      </c>
      <c r="S10" s="64" t="s">
        <v>1947</v>
      </c>
      <c r="T10" s="516" t="s">
        <v>1947</v>
      </c>
      <c r="U10" s="583"/>
    </row>
    <row r="11" spans="1:16150" s="624" customFormat="1" x14ac:dyDescent="0.2">
      <c r="A11" s="64" t="str">
        <f t="shared" si="0"/>
        <v>10STL GALV</v>
      </c>
      <c r="B11" s="691"/>
      <c r="C11" s="709"/>
      <c r="D11" s="77" t="s">
        <v>1837</v>
      </c>
      <c r="E11" s="65">
        <v>10</v>
      </c>
      <c r="F11" s="12" t="s">
        <v>1678</v>
      </c>
      <c r="G11" s="12" t="s">
        <v>23</v>
      </c>
      <c r="H11" s="161">
        <v>0.12601000000000001</v>
      </c>
      <c r="I11" s="12" t="s">
        <v>1404</v>
      </c>
      <c r="J11" s="12" t="s">
        <v>16</v>
      </c>
      <c r="K11" s="64" t="s">
        <v>1838</v>
      </c>
      <c r="L11" s="65" t="s">
        <v>1123</v>
      </c>
      <c r="M11" s="12" t="s">
        <v>1411</v>
      </c>
      <c r="N11" s="536" t="s">
        <v>586</v>
      </c>
      <c r="O11" s="12" t="s">
        <v>156</v>
      </c>
      <c r="P11" s="12" t="s">
        <v>567</v>
      </c>
      <c r="Q11" s="12" t="s">
        <v>716</v>
      </c>
      <c r="R11" s="64" t="s">
        <v>1543</v>
      </c>
      <c r="S11" s="64" t="s">
        <v>1947</v>
      </c>
      <c r="T11" s="516" t="s">
        <v>1947</v>
      </c>
      <c r="U11" s="583"/>
    </row>
    <row r="12" spans="1:16150" s="624" customFormat="1" x14ac:dyDescent="0.2">
      <c r="A12" s="64" t="str">
        <f t="shared" si="0"/>
        <v>12STL GALV</v>
      </c>
      <c r="B12" s="691"/>
      <c r="C12" s="709"/>
      <c r="D12" s="77" t="s">
        <v>1837</v>
      </c>
      <c r="E12" s="65">
        <v>12</v>
      </c>
      <c r="F12" s="12" t="s">
        <v>1826</v>
      </c>
      <c r="G12" s="12" t="s">
        <v>157</v>
      </c>
      <c r="H12" s="161">
        <v>9.7009999999999999E-2</v>
      </c>
      <c r="I12" s="12" t="s">
        <v>1404</v>
      </c>
      <c r="J12" s="12" t="s">
        <v>16</v>
      </c>
      <c r="K12" s="64" t="s">
        <v>840</v>
      </c>
      <c r="L12" s="65" t="s">
        <v>1123</v>
      </c>
      <c r="M12" s="12" t="s">
        <v>1411</v>
      </c>
      <c r="N12" s="536" t="s">
        <v>586</v>
      </c>
      <c r="O12" s="12" t="s">
        <v>1819</v>
      </c>
      <c r="P12" s="12" t="s">
        <v>567</v>
      </c>
      <c r="Q12" s="12" t="s">
        <v>716</v>
      </c>
      <c r="R12" s="64" t="s">
        <v>170</v>
      </c>
      <c r="S12" s="64" t="s">
        <v>1947</v>
      </c>
      <c r="T12" s="516" t="s">
        <v>1947</v>
      </c>
      <c r="U12" s="583"/>
    </row>
    <row r="13" spans="1:16150" s="624" customFormat="1" x14ac:dyDescent="0.2">
      <c r="A13" s="64" t="str">
        <f t="shared" si="0"/>
        <v>14STL GALV</v>
      </c>
      <c r="B13" s="691"/>
      <c r="C13" s="709"/>
      <c r="D13" s="77" t="s">
        <v>1837</v>
      </c>
      <c r="E13" s="65">
        <v>14</v>
      </c>
      <c r="F13" s="12" t="s">
        <v>709</v>
      </c>
      <c r="G13" s="12" t="s">
        <v>1690</v>
      </c>
      <c r="H13" s="161">
        <v>7.0010000000000003E-2</v>
      </c>
      <c r="I13" s="12" t="s">
        <v>1404</v>
      </c>
      <c r="J13" s="12" t="s">
        <v>16</v>
      </c>
      <c r="K13" s="64" t="s">
        <v>1962</v>
      </c>
      <c r="L13" s="65" t="s">
        <v>1123</v>
      </c>
      <c r="M13" s="12" t="s">
        <v>1411</v>
      </c>
      <c r="N13" s="536" t="s">
        <v>586</v>
      </c>
      <c r="O13" s="12" t="s">
        <v>1819</v>
      </c>
      <c r="P13" s="12" t="s">
        <v>567</v>
      </c>
      <c r="Q13" s="12" t="s">
        <v>716</v>
      </c>
      <c r="R13" s="64" t="s">
        <v>1700</v>
      </c>
      <c r="S13" s="64" t="s">
        <v>1947</v>
      </c>
      <c r="T13" s="516" t="s">
        <v>1947</v>
      </c>
      <c r="U13" s="583"/>
    </row>
    <row r="14" spans="1:16150" s="624" customFormat="1" x14ac:dyDescent="0.2">
      <c r="A14" s="64" t="str">
        <f t="shared" si="0"/>
        <v>16STL GALV</v>
      </c>
      <c r="B14" s="691"/>
      <c r="C14" s="709"/>
      <c r="D14" s="77" t="s">
        <v>1837</v>
      </c>
      <c r="E14" s="65">
        <v>16</v>
      </c>
      <c r="F14" s="12" t="s">
        <v>1115</v>
      </c>
      <c r="G14" s="12" t="s">
        <v>1694</v>
      </c>
      <c r="H14" s="161">
        <v>5.6009999999999997E-2</v>
      </c>
      <c r="I14" s="12" t="s">
        <v>1409</v>
      </c>
      <c r="J14" s="12" t="s">
        <v>16</v>
      </c>
      <c r="K14" s="64" t="s">
        <v>841</v>
      </c>
      <c r="L14" s="65" t="s">
        <v>1123</v>
      </c>
      <c r="M14" s="12" t="s">
        <v>1411</v>
      </c>
      <c r="N14" s="536" t="s">
        <v>586</v>
      </c>
      <c r="O14" s="12" t="s">
        <v>1819</v>
      </c>
      <c r="P14" s="12" t="s">
        <v>567</v>
      </c>
      <c r="Q14" s="12" t="s">
        <v>716</v>
      </c>
      <c r="R14" s="64" t="s">
        <v>985</v>
      </c>
      <c r="S14" s="64" t="s">
        <v>1947</v>
      </c>
      <c r="T14" s="516" t="s">
        <v>1947</v>
      </c>
      <c r="U14" s="583"/>
    </row>
    <row r="15" spans="1:16150" s="624" customFormat="1" x14ac:dyDescent="0.2">
      <c r="A15" s="64" t="str">
        <f t="shared" si="0"/>
        <v>18STL GALV</v>
      </c>
      <c r="B15" s="691"/>
      <c r="C15" s="709"/>
      <c r="D15" s="77" t="s">
        <v>1837</v>
      </c>
      <c r="E15" s="65">
        <v>18</v>
      </c>
      <c r="F15" s="12" t="s">
        <v>1116</v>
      </c>
      <c r="G15" s="12" t="s">
        <v>1696</v>
      </c>
      <c r="H15" s="161">
        <v>4.5010000000000001E-2</v>
      </c>
      <c r="I15" s="12" t="s">
        <v>1409</v>
      </c>
      <c r="J15" s="12" t="s">
        <v>16</v>
      </c>
      <c r="K15" s="64" t="s">
        <v>1964</v>
      </c>
      <c r="L15" s="65" t="s">
        <v>1123</v>
      </c>
      <c r="M15" s="12" t="s">
        <v>1411</v>
      </c>
      <c r="N15" s="536" t="s">
        <v>586</v>
      </c>
      <c r="O15" s="12" t="s">
        <v>1819</v>
      </c>
      <c r="P15" s="12" t="s">
        <v>567</v>
      </c>
      <c r="Q15" s="12" t="s">
        <v>716</v>
      </c>
      <c r="R15" s="64" t="s">
        <v>452</v>
      </c>
      <c r="S15" s="64" t="s">
        <v>1947</v>
      </c>
      <c r="T15" s="516" t="s">
        <v>1947</v>
      </c>
      <c r="U15" s="583"/>
    </row>
    <row r="16" spans="1:16150" s="624" customFormat="1" x14ac:dyDescent="0.2">
      <c r="A16" s="64" t="str">
        <f t="shared" si="0"/>
        <v>20STL GALV</v>
      </c>
      <c r="B16" s="691"/>
      <c r="C16" s="709"/>
      <c r="D16" s="77" t="s">
        <v>1837</v>
      </c>
      <c r="E16" s="65">
        <v>20</v>
      </c>
      <c r="F16" s="12" t="s">
        <v>1118</v>
      </c>
      <c r="G16" s="12" t="s">
        <v>1686</v>
      </c>
      <c r="H16" s="161">
        <v>3.4009999999999999E-2</v>
      </c>
      <c r="I16" s="12" t="s">
        <v>1409</v>
      </c>
      <c r="J16" s="12" t="s">
        <v>16</v>
      </c>
      <c r="K16" s="64" t="s">
        <v>1420</v>
      </c>
      <c r="L16" s="65" t="s">
        <v>1123</v>
      </c>
      <c r="M16" s="12" t="s">
        <v>1411</v>
      </c>
      <c r="N16" s="536" t="s">
        <v>586</v>
      </c>
      <c r="O16" s="12" t="s">
        <v>1819</v>
      </c>
      <c r="P16" s="12" t="s">
        <v>567</v>
      </c>
      <c r="Q16" s="12" t="s">
        <v>716</v>
      </c>
      <c r="R16" s="64" t="s">
        <v>1704</v>
      </c>
      <c r="S16" s="64" t="s">
        <v>1947</v>
      </c>
      <c r="T16" s="516" t="s">
        <v>1947</v>
      </c>
      <c r="U16" s="583"/>
    </row>
    <row r="17" spans="1:21" s="624" customFormat="1" x14ac:dyDescent="0.2">
      <c r="A17" s="64" t="str">
        <f t="shared" si="0"/>
        <v>22STL GALV</v>
      </c>
      <c r="B17" s="691"/>
      <c r="C17" s="709"/>
      <c r="D17" s="77" t="s">
        <v>1837</v>
      </c>
      <c r="E17" s="65" t="s">
        <v>37</v>
      </c>
      <c r="F17" s="12" t="s">
        <v>30</v>
      </c>
      <c r="G17" s="12" t="s">
        <v>30</v>
      </c>
      <c r="H17" s="161">
        <v>2.801E-2</v>
      </c>
      <c r="I17" s="12" t="s">
        <v>1404</v>
      </c>
      <c r="J17" s="12" t="s">
        <v>16</v>
      </c>
      <c r="K17" s="435" t="s">
        <v>320</v>
      </c>
      <c r="L17" s="65" t="s">
        <v>1123</v>
      </c>
      <c r="M17" s="12" t="s">
        <v>1411</v>
      </c>
      <c r="N17" s="536" t="s">
        <v>586</v>
      </c>
      <c r="O17" s="12" t="s">
        <v>1819</v>
      </c>
      <c r="P17" s="12" t="s">
        <v>567</v>
      </c>
      <c r="Q17" s="12" t="s">
        <v>716</v>
      </c>
      <c r="R17" s="64" t="s">
        <v>719</v>
      </c>
      <c r="S17" s="64" t="s">
        <v>1947</v>
      </c>
      <c r="T17" s="516" t="s">
        <v>1947</v>
      </c>
      <c r="U17" s="583"/>
    </row>
    <row r="18" spans="1:21" s="624" customFormat="1" x14ac:dyDescent="0.2">
      <c r="A18" s="64" t="str">
        <f t="shared" si="0"/>
        <v>24STL GALV</v>
      </c>
      <c r="B18" s="691"/>
      <c r="C18" s="709"/>
      <c r="D18" s="77" t="s">
        <v>1837</v>
      </c>
      <c r="E18" s="77" t="s">
        <v>1126</v>
      </c>
      <c r="F18" s="20" t="s">
        <v>988</v>
      </c>
      <c r="G18" s="20" t="s">
        <v>988</v>
      </c>
      <c r="H18" s="200">
        <v>2.2009999999999998E-2</v>
      </c>
      <c r="I18" s="20" t="s">
        <v>1409</v>
      </c>
      <c r="J18" s="12" t="s">
        <v>16</v>
      </c>
      <c r="K18" s="435" t="s">
        <v>1421</v>
      </c>
      <c r="L18" s="65" t="s">
        <v>1123</v>
      </c>
      <c r="M18" s="12" t="s">
        <v>1411</v>
      </c>
      <c r="N18" s="536" t="s">
        <v>586</v>
      </c>
      <c r="O18" s="12" t="s">
        <v>1819</v>
      </c>
      <c r="P18" s="12" t="s">
        <v>567</v>
      </c>
      <c r="Q18" s="12" t="s">
        <v>716</v>
      </c>
      <c r="R18" s="135" t="s">
        <v>1705</v>
      </c>
      <c r="S18" s="64" t="s">
        <v>1947</v>
      </c>
      <c r="T18" s="516" t="s">
        <v>1947</v>
      </c>
      <c r="U18" s="583"/>
    </row>
    <row r="19" spans="1:21" s="624" customFormat="1" x14ac:dyDescent="0.2">
      <c r="A19" s="64" t="str">
        <f t="shared" si="0"/>
        <v>16STL GALV2</v>
      </c>
      <c r="B19" s="691"/>
      <c r="C19" s="709"/>
      <c r="D19" s="65" t="s">
        <v>1124</v>
      </c>
      <c r="E19" s="65">
        <v>16</v>
      </c>
      <c r="F19" s="12" t="s">
        <v>1115</v>
      </c>
      <c r="G19" s="12" t="s">
        <v>1694</v>
      </c>
      <c r="H19" s="161">
        <v>5.6050000000000003E-2</v>
      </c>
      <c r="I19" s="12" t="s">
        <v>1404</v>
      </c>
      <c r="J19" s="12" t="s">
        <v>16</v>
      </c>
      <c r="K19" s="12" t="s">
        <v>1701</v>
      </c>
      <c r="L19" s="65" t="s">
        <v>449</v>
      </c>
      <c r="M19" s="12" t="s">
        <v>1839</v>
      </c>
      <c r="N19" s="536" t="s">
        <v>586</v>
      </c>
      <c r="O19" s="20" t="s">
        <v>319</v>
      </c>
      <c r="P19" s="20" t="s">
        <v>567</v>
      </c>
      <c r="Q19" s="12" t="s">
        <v>1702</v>
      </c>
      <c r="R19" s="64" t="s">
        <v>2075</v>
      </c>
      <c r="S19" s="64" t="s">
        <v>1947</v>
      </c>
      <c r="T19" s="516" t="s">
        <v>1947</v>
      </c>
      <c r="U19" s="583"/>
    </row>
    <row r="20" spans="1:21" s="624" customFormat="1" x14ac:dyDescent="0.2">
      <c r="A20" s="64" t="str">
        <f t="shared" si="0"/>
        <v>16STL GALV3</v>
      </c>
      <c r="B20" s="691"/>
      <c r="C20" s="709"/>
      <c r="D20" s="65" t="s">
        <v>1124</v>
      </c>
      <c r="E20" s="65">
        <v>16</v>
      </c>
      <c r="F20" s="12" t="s">
        <v>1115</v>
      </c>
      <c r="G20" s="12" t="s">
        <v>1694</v>
      </c>
      <c r="H20" s="161">
        <v>5.6059999999999999E-2</v>
      </c>
      <c r="I20" s="12" t="s">
        <v>1404</v>
      </c>
      <c r="J20" s="12" t="s">
        <v>16</v>
      </c>
      <c r="K20" s="12" t="s">
        <v>587</v>
      </c>
      <c r="L20" s="65" t="s">
        <v>171</v>
      </c>
      <c r="M20" s="12" t="s">
        <v>1839</v>
      </c>
      <c r="N20" s="536" t="s">
        <v>586</v>
      </c>
      <c r="O20" s="20" t="s">
        <v>450</v>
      </c>
      <c r="P20" s="20" t="s">
        <v>567</v>
      </c>
      <c r="Q20" s="12" t="s">
        <v>35</v>
      </c>
      <c r="R20" s="64" t="s">
        <v>451</v>
      </c>
      <c r="S20" s="64" t="s">
        <v>1947</v>
      </c>
      <c r="T20" s="516" t="s">
        <v>1947</v>
      </c>
      <c r="U20" s="583"/>
    </row>
    <row r="21" spans="1:21" s="624" customFormat="1" x14ac:dyDescent="0.2">
      <c r="A21" s="64" t="str">
        <f t="shared" si="0"/>
        <v>16STL GALV4</v>
      </c>
      <c r="B21" s="691"/>
      <c r="C21" s="709"/>
      <c r="D21" s="65" t="s">
        <v>1124</v>
      </c>
      <c r="E21" s="65">
        <v>16</v>
      </c>
      <c r="F21" s="12" t="s">
        <v>1115</v>
      </c>
      <c r="G21" s="12" t="s">
        <v>1694</v>
      </c>
      <c r="H21" s="161">
        <v>5.6070000000000002E-2</v>
      </c>
      <c r="I21" s="12" t="s">
        <v>1404</v>
      </c>
      <c r="J21" s="12" t="s">
        <v>16</v>
      </c>
      <c r="K21" s="12" t="s">
        <v>1703</v>
      </c>
      <c r="L21" s="65" t="s">
        <v>1963</v>
      </c>
      <c r="M21" s="12" t="s">
        <v>1839</v>
      </c>
      <c r="N21" s="536" t="s">
        <v>586</v>
      </c>
      <c r="O21" s="12" t="s">
        <v>588</v>
      </c>
      <c r="P21" s="20" t="s">
        <v>567</v>
      </c>
      <c r="Q21" s="12" t="s">
        <v>717</v>
      </c>
      <c r="R21" s="64" t="s">
        <v>984</v>
      </c>
      <c r="S21" s="64" t="s">
        <v>1947</v>
      </c>
      <c r="T21" s="516" t="s">
        <v>1947</v>
      </c>
      <c r="U21" s="583"/>
    </row>
    <row r="22" spans="1:21" s="624" customFormat="1" x14ac:dyDescent="0.2">
      <c r="A22" s="64" t="str">
        <f t="shared" si="0"/>
        <v>18STL GALVS</v>
      </c>
      <c r="B22" s="691"/>
      <c r="C22" s="709"/>
      <c r="D22" s="65" t="s">
        <v>1124</v>
      </c>
      <c r="E22" s="65">
        <v>18</v>
      </c>
      <c r="F22" s="12" t="s">
        <v>1116</v>
      </c>
      <c r="G22" s="12" t="s">
        <v>1696</v>
      </c>
      <c r="H22" s="161">
        <v>4.5019999999999998E-2</v>
      </c>
      <c r="I22" s="12" t="s">
        <v>1409</v>
      </c>
      <c r="J22" s="12" t="s">
        <v>1404</v>
      </c>
      <c r="K22" s="435" t="s">
        <v>842</v>
      </c>
      <c r="L22" s="65" t="s">
        <v>172</v>
      </c>
      <c r="M22" s="12" t="s">
        <v>1411</v>
      </c>
      <c r="N22" s="536" t="s">
        <v>586</v>
      </c>
      <c r="O22" s="12" t="s">
        <v>1125</v>
      </c>
      <c r="P22" s="20" t="s">
        <v>567</v>
      </c>
      <c r="Q22" s="12" t="s">
        <v>589</v>
      </c>
      <c r="R22" s="64" t="s">
        <v>987</v>
      </c>
      <c r="S22" s="64" t="s">
        <v>1947</v>
      </c>
      <c r="T22" s="516" t="s">
        <v>1947</v>
      </c>
      <c r="U22" s="583"/>
    </row>
    <row r="23" spans="1:21" s="624" customFormat="1" x14ac:dyDescent="0.2">
      <c r="A23" s="64" t="str">
        <f t="shared" si="0"/>
        <v>16STL GALVR</v>
      </c>
      <c r="B23" s="691"/>
      <c r="C23" s="709"/>
      <c r="D23" s="65" t="s">
        <v>1124</v>
      </c>
      <c r="E23" s="65">
        <v>16</v>
      </c>
      <c r="F23" s="12" t="s">
        <v>1115</v>
      </c>
      <c r="G23" s="12" t="s">
        <v>1694</v>
      </c>
      <c r="H23" s="161">
        <v>5.602E-2</v>
      </c>
      <c r="I23" s="12" t="s">
        <v>1409</v>
      </c>
      <c r="J23" s="12" t="s">
        <v>1404</v>
      </c>
      <c r="K23" s="435" t="s">
        <v>718</v>
      </c>
      <c r="L23" s="65" t="s">
        <v>986</v>
      </c>
      <c r="M23" s="12" t="s">
        <v>1411</v>
      </c>
      <c r="N23" s="536" t="s">
        <v>586</v>
      </c>
      <c r="O23" s="12" t="s">
        <v>2076</v>
      </c>
      <c r="P23" s="20" t="s">
        <v>567</v>
      </c>
      <c r="Q23" s="12" t="s">
        <v>36</v>
      </c>
      <c r="R23" s="64" t="s">
        <v>1544</v>
      </c>
      <c r="S23" s="64" t="s">
        <v>1947</v>
      </c>
      <c r="T23" s="516" t="s">
        <v>1947</v>
      </c>
      <c r="U23" s="583"/>
    </row>
    <row r="24" spans="1:21" s="624" customFormat="1" x14ac:dyDescent="0.2">
      <c r="A24" s="64" t="str">
        <f t="shared" si="0"/>
        <v>14STL GALV PPG</v>
      </c>
      <c r="B24" s="691"/>
      <c r="C24" s="709"/>
      <c r="D24" s="65" t="s">
        <v>161</v>
      </c>
      <c r="E24" s="65">
        <v>14</v>
      </c>
      <c r="F24" s="12" t="s">
        <v>709</v>
      </c>
      <c r="G24" s="12" t="s">
        <v>1690</v>
      </c>
      <c r="H24" s="161">
        <v>7.0029999999999995E-2</v>
      </c>
      <c r="I24" s="12" t="s">
        <v>1404</v>
      </c>
      <c r="J24" s="12" t="s">
        <v>16</v>
      </c>
      <c r="K24" s="12" t="s">
        <v>1271</v>
      </c>
      <c r="L24" s="65" t="s">
        <v>162</v>
      </c>
      <c r="M24" s="12" t="s">
        <v>1693</v>
      </c>
      <c r="N24" s="64" t="s">
        <v>163</v>
      </c>
      <c r="O24" s="12" t="s">
        <v>580</v>
      </c>
      <c r="P24" s="12" t="s">
        <v>567</v>
      </c>
      <c r="Q24" s="12" t="s">
        <v>1728</v>
      </c>
      <c r="R24" s="64" t="s">
        <v>443</v>
      </c>
      <c r="S24" s="12" t="s">
        <v>25</v>
      </c>
      <c r="T24" s="779" t="s">
        <v>1947</v>
      </c>
      <c r="U24" s="583"/>
    </row>
    <row r="25" spans="1:21" s="624" customFormat="1" x14ac:dyDescent="0.2">
      <c r="A25" s="64" t="str">
        <f t="shared" si="0"/>
        <v>16STL GALV PPG</v>
      </c>
      <c r="B25" s="691"/>
      <c r="C25" s="709"/>
      <c r="D25" s="65" t="s">
        <v>161</v>
      </c>
      <c r="E25" s="65">
        <v>16</v>
      </c>
      <c r="F25" s="12" t="s">
        <v>1115</v>
      </c>
      <c r="G25" s="12" t="s">
        <v>1694</v>
      </c>
      <c r="H25" s="161">
        <v>5.6030000000000003E-2</v>
      </c>
      <c r="I25" s="12" t="s">
        <v>1404</v>
      </c>
      <c r="J25" s="12" t="s">
        <v>16</v>
      </c>
      <c r="K25" s="12" t="s">
        <v>311</v>
      </c>
      <c r="L25" s="65" t="s">
        <v>2071</v>
      </c>
      <c r="M25" s="208" t="s">
        <v>1693</v>
      </c>
      <c r="N25" s="64" t="s">
        <v>163</v>
      </c>
      <c r="O25" s="12" t="s">
        <v>580</v>
      </c>
      <c r="P25" s="12" t="s">
        <v>567</v>
      </c>
      <c r="Q25" s="12" t="s">
        <v>1728</v>
      </c>
      <c r="R25" s="64" t="s">
        <v>1695</v>
      </c>
      <c r="S25" s="12" t="s">
        <v>25</v>
      </c>
      <c r="T25" s="779" t="s">
        <v>1947</v>
      </c>
      <c r="U25" s="583"/>
    </row>
    <row r="26" spans="1:21" s="624" customFormat="1" x14ac:dyDescent="0.2">
      <c r="A26" s="64" t="str">
        <f t="shared" si="0"/>
        <v>16STL GALV PPC</v>
      </c>
      <c r="B26" s="691"/>
      <c r="C26" s="709"/>
      <c r="D26" s="65" t="s">
        <v>161</v>
      </c>
      <c r="E26" s="65">
        <v>16</v>
      </c>
      <c r="F26" s="12" t="s">
        <v>1115</v>
      </c>
      <c r="G26" s="12" t="s">
        <v>1694</v>
      </c>
      <c r="H26" s="161">
        <v>5.604E-2</v>
      </c>
      <c r="I26" s="12" t="s">
        <v>1404</v>
      </c>
      <c r="J26" s="12" t="s">
        <v>16</v>
      </c>
      <c r="K26" s="12" t="s">
        <v>1416</v>
      </c>
      <c r="L26" s="65" t="s">
        <v>312</v>
      </c>
      <c r="M26" s="12" t="s">
        <v>1693</v>
      </c>
      <c r="N26" s="64" t="s">
        <v>163</v>
      </c>
      <c r="O26" s="20" t="s">
        <v>580</v>
      </c>
      <c r="P26" s="12" t="s">
        <v>567</v>
      </c>
      <c r="Q26" s="12" t="s">
        <v>1566</v>
      </c>
      <c r="R26" s="64" t="s">
        <v>26</v>
      </c>
      <c r="S26" s="12" t="s">
        <v>1272</v>
      </c>
      <c r="T26" s="779" t="s">
        <v>1947</v>
      </c>
      <c r="U26" s="583"/>
    </row>
    <row r="27" spans="1:21" s="624" customFormat="1" x14ac:dyDescent="0.2">
      <c r="A27" s="64" t="str">
        <f t="shared" si="0"/>
        <v>18STL GALV PPW</v>
      </c>
      <c r="B27" s="691"/>
      <c r="C27" s="709"/>
      <c r="D27" s="65" t="s">
        <v>161</v>
      </c>
      <c r="E27" s="65">
        <v>18</v>
      </c>
      <c r="F27" s="12" t="s">
        <v>1116</v>
      </c>
      <c r="G27" s="12" t="s">
        <v>1696</v>
      </c>
      <c r="H27" s="161">
        <v>4.5030000000000001E-2</v>
      </c>
      <c r="I27" s="12" t="s">
        <v>1404</v>
      </c>
      <c r="J27" s="12" t="s">
        <v>16</v>
      </c>
      <c r="K27" s="12" t="s">
        <v>1959</v>
      </c>
      <c r="L27" s="65" t="s">
        <v>444</v>
      </c>
      <c r="M27" s="12" t="s">
        <v>1693</v>
      </c>
      <c r="N27" s="64" t="s">
        <v>163</v>
      </c>
      <c r="O27" s="12" t="s">
        <v>580</v>
      </c>
      <c r="P27" s="12" t="s">
        <v>567</v>
      </c>
      <c r="Q27" s="12" t="s">
        <v>1865</v>
      </c>
      <c r="R27" s="64" t="s">
        <v>1117</v>
      </c>
      <c r="S27" s="12" t="s">
        <v>837</v>
      </c>
      <c r="T27" s="779" t="s">
        <v>1947</v>
      </c>
      <c r="U27" s="583"/>
    </row>
    <row r="28" spans="1:21" s="624" customFormat="1" x14ac:dyDescent="0.2">
      <c r="A28" s="64" t="str">
        <f t="shared" si="0"/>
        <v>18STL GALV PPC</v>
      </c>
      <c r="B28" s="691"/>
      <c r="C28" s="709"/>
      <c r="D28" s="65" t="s">
        <v>161</v>
      </c>
      <c r="E28" s="65">
        <v>18</v>
      </c>
      <c r="F28" s="12" t="s">
        <v>1116</v>
      </c>
      <c r="G28" s="12" t="s">
        <v>1696</v>
      </c>
      <c r="H28" s="161">
        <v>4.5039999999999997E-2</v>
      </c>
      <c r="I28" s="12" t="s">
        <v>1404</v>
      </c>
      <c r="J28" s="12" t="s">
        <v>16</v>
      </c>
      <c r="K28" s="12" t="s">
        <v>313</v>
      </c>
      <c r="L28" s="65" t="s">
        <v>314</v>
      </c>
      <c r="M28" s="12" t="s">
        <v>1693</v>
      </c>
      <c r="N28" s="64" t="s">
        <v>163</v>
      </c>
      <c r="O28" s="12" t="s">
        <v>580</v>
      </c>
      <c r="P28" s="12" t="s">
        <v>567</v>
      </c>
      <c r="Q28" s="12" t="s">
        <v>1566</v>
      </c>
      <c r="R28" s="64" t="s">
        <v>1697</v>
      </c>
      <c r="S28" s="12" t="s">
        <v>1272</v>
      </c>
      <c r="T28" s="779" t="s">
        <v>1947</v>
      </c>
      <c r="U28" s="583"/>
    </row>
    <row r="29" spans="1:21" s="624" customFormat="1" x14ac:dyDescent="0.2">
      <c r="A29" s="64" t="str">
        <f t="shared" si="0"/>
        <v>10STL HOT ROLL</v>
      </c>
      <c r="B29" s="691"/>
      <c r="C29" s="709"/>
      <c r="D29" s="77" t="s">
        <v>1415</v>
      </c>
      <c r="E29" s="77" t="s">
        <v>1683</v>
      </c>
      <c r="F29" s="242" t="s">
        <v>578</v>
      </c>
      <c r="G29" s="242" t="s">
        <v>578</v>
      </c>
      <c r="H29" s="200">
        <v>0.12701000000000001</v>
      </c>
      <c r="I29" s="20" t="s">
        <v>1404</v>
      </c>
      <c r="J29" s="12" t="s">
        <v>16</v>
      </c>
      <c r="K29" s="12" t="s">
        <v>710</v>
      </c>
      <c r="L29" s="65" t="s">
        <v>1827</v>
      </c>
      <c r="M29" s="12" t="s">
        <v>2069</v>
      </c>
      <c r="N29" s="64" t="s">
        <v>1404</v>
      </c>
      <c r="O29" s="12" t="s">
        <v>156</v>
      </c>
      <c r="P29" s="12" t="s">
        <v>567</v>
      </c>
      <c r="Q29" s="20" t="s">
        <v>525</v>
      </c>
      <c r="R29" s="135" t="s">
        <v>835</v>
      </c>
      <c r="S29" s="12" t="s">
        <v>1828</v>
      </c>
      <c r="T29" s="779" t="s">
        <v>1947</v>
      </c>
      <c r="U29" s="583"/>
    </row>
    <row r="30" spans="1:21" s="624" customFormat="1" x14ac:dyDescent="0.2">
      <c r="A30" s="64" t="str">
        <f t="shared" si="0"/>
        <v>11STL HOT ROLL</v>
      </c>
      <c r="B30" s="691"/>
      <c r="C30" s="709"/>
      <c r="D30" s="77" t="s">
        <v>1415</v>
      </c>
      <c r="E30" s="77" t="s">
        <v>18</v>
      </c>
      <c r="F30" s="242" t="s">
        <v>441</v>
      </c>
      <c r="G30" s="242" t="s">
        <v>441</v>
      </c>
      <c r="H30" s="200">
        <v>0.11201</v>
      </c>
      <c r="I30" s="20" t="s">
        <v>1404</v>
      </c>
      <c r="J30" s="12" t="s">
        <v>16</v>
      </c>
      <c r="K30" s="12" t="s">
        <v>1269</v>
      </c>
      <c r="L30" s="65" t="s">
        <v>1692</v>
      </c>
      <c r="M30" s="12" t="s">
        <v>2069</v>
      </c>
      <c r="N30" s="64" t="s">
        <v>1404</v>
      </c>
      <c r="O30" s="12" t="s">
        <v>974</v>
      </c>
      <c r="P30" s="12" t="s">
        <v>567</v>
      </c>
      <c r="Q30" s="20" t="s">
        <v>525</v>
      </c>
      <c r="R30" s="135" t="s">
        <v>158</v>
      </c>
      <c r="S30" s="12" t="s">
        <v>1828</v>
      </c>
      <c r="T30" s="779" t="s">
        <v>1947</v>
      </c>
      <c r="U30" s="583"/>
    </row>
    <row r="31" spans="1:21" s="624" customFormat="1" x14ac:dyDescent="0.2">
      <c r="A31" s="64" t="str">
        <f t="shared" si="0"/>
        <v>12STL HOT ROLL</v>
      </c>
      <c r="B31" s="691"/>
      <c r="C31" s="709"/>
      <c r="D31" s="77" t="s">
        <v>1415</v>
      </c>
      <c r="E31" s="77" t="s">
        <v>576</v>
      </c>
      <c r="F31" s="20" t="s">
        <v>157</v>
      </c>
      <c r="G31" s="20" t="s">
        <v>157</v>
      </c>
      <c r="H31" s="200">
        <v>9.7040000000000001E-2</v>
      </c>
      <c r="I31" s="20" t="s">
        <v>1404</v>
      </c>
      <c r="J31" s="12" t="s">
        <v>16</v>
      </c>
      <c r="K31" s="12" t="s">
        <v>1829</v>
      </c>
      <c r="L31" s="65" t="s">
        <v>1536</v>
      </c>
      <c r="M31" s="12" t="s">
        <v>2069</v>
      </c>
      <c r="N31" s="64" t="s">
        <v>1404</v>
      </c>
      <c r="O31" s="12" t="s">
        <v>974</v>
      </c>
      <c r="P31" s="12" t="s">
        <v>567</v>
      </c>
      <c r="Q31" s="12" t="s">
        <v>525</v>
      </c>
      <c r="R31" s="135" t="s">
        <v>2070</v>
      </c>
      <c r="S31" s="12" t="s">
        <v>1828</v>
      </c>
      <c r="T31" s="779" t="s">
        <v>1947</v>
      </c>
      <c r="U31" s="583"/>
    </row>
    <row r="32" spans="1:21" s="624" customFormat="1" x14ac:dyDescent="0.2">
      <c r="A32" s="64" t="str">
        <f t="shared" si="0"/>
        <v>14STL HOT ROLL</v>
      </c>
      <c r="B32" s="691"/>
      <c r="C32" s="709"/>
      <c r="D32" s="77" t="s">
        <v>1415</v>
      </c>
      <c r="E32" s="77" t="s">
        <v>1680</v>
      </c>
      <c r="F32" s="242" t="s">
        <v>159</v>
      </c>
      <c r="G32" s="242" t="s">
        <v>159</v>
      </c>
      <c r="H32" s="200">
        <v>6.8010000000000001E-2</v>
      </c>
      <c r="I32" s="20" t="s">
        <v>1404</v>
      </c>
      <c r="J32" s="12" t="s">
        <v>16</v>
      </c>
      <c r="K32" s="12" t="s">
        <v>836</v>
      </c>
      <c r="L32" s="65" t="s">
        <v>1270</v>
      </c>
      <c r="M32" s="12" t="s">
        <v>2069</v>
      </c>
      <c r="N32" s="64" t="s">
        <v>1404</v>
      </c>
      <c r="O32" s="12" t="s">
        <v>1109</v>
      </c>
      <c r="P32" s="12" t="s">
        <v>567</v>
      </c>
      <c r="Q32" s="20" t="s">
        <v>525</v>
      </c>
      <c r="R32" s="135" t="s">
        <v>442</v>
      </c>
      <c r="S32" s="12" t="s">
        <v>1828</v>
      </c>
      <c r="T32" s="779" t="s">
        <v>1947</v>
      </c>
      <c r="U32" s="583"/>
    </row>
    <row r="33" spans="1:21" s="624" customFormat="1" x14ac:dyDescent="0.2">
      <c r="A33" s="64" t="str">
        <f t="shared" si="0"/>
        <v>20ALM SHT</v>
      </c>
      <c r="B33" s="691"/>
      <c r="C33" s="709"/>
      <c r="D33" s="65" t="s">
        <v>1823</v>
      </c>
      <c r="E33" s="65" t="s">
        <v>1113</v>
      </c>
      <c r="F33" s="12" t="s">
        <v>1114</v>
      </c>
      <c r="G33" s="12" t="s">
        <v>1114</v>
      </c>
      <c r="H33" s="161">
        <v>4.0009999999999997E-2</v>
      </c>
      <c r="I33" s="12" t="s">
        <v>1404</v>
      </c>
      <c r="J33" s="12" t="s">
        <v>16</v>
      </c>
      <c r="K33" s="199" t="s">
        <v>574</v>
      </c>
      <c r="L33" s="410" t="s">
        <v>702</v>
      </c>
      <c r="M33" s="12" t="s">
        <v>148</v>
      </c>
      <c r="N33" s="64" t="s">
        <v>526</v>
      </c>
      <c r="O33" s="12" t="s">
        <v>1107</v>
      </c>
      <c r="P33" s="20" t="s">
        <v>567</v>
      </c>
      <c r="Q33" s="12" t="s">
        <v>2167</v>
      </c>
      <c r="R33" s="12" t="s">
        <v>1534</v>
      </c>
      <c r="S33" s="12" t="s">
        <v>1947</v>
      </c>
      <c r="T33" s="779" t="s">
        <v>1947</v>
      </c>
      <c r="U33" s="583"/>
    </row>
    <row r="34" spans="1:21" s="624" customFormat="1" x14ac:dyDescent="0.2">
      <c r="A34" s="64" t="str">
        <f t="shared" si="0"/>
        <v>18ALM SHT</v>
      </c>
      <c r="B34" s="691"/>
      <c r="C34" s="709"/>
      <c r="D34" s="65" t="s">
        <v>1823</v>
      </c>
      <c r="E34" s="65" t="s">
        <v>1822</v>
      </c>
      <c r="F34" s="12" t="s">
        <v>573</v>
      </c>
      <c r="G34" s="12" t="s">
        <v>573</v>
      </c>
      <c r="H34" s="161">
        <v>5.0029999999999998E-2</v>
      </c>
      <c r="I34" s="12" t="s">
        <v>1404</v>
      </c>
      <c r="J34" s="12" t="s">
        <v>16</v>
      </c>
      <c r="K34" s="199" t="s">
        <v>22</v>
      </c>
      <c r="L34" s="410" t="s">
        <v>1533</v>
      </c>
      <c r="M34" s="12" t="s">
        <v>148</v>
      </c>
      <c r="N34" s="64" t="s">
        <v>526</v>
      </c>
      <c r="O34" s="12" t="s">
        <v>1107</v>
      </c>
      <c r="P34" s="20" t="s">
        <v>567</v>
      </c>
      <c r="Q34" s="12" t="s">
        <v>2167</v>
      </c>
      <c r="R34" s="12" t="s">
        <v>435</v>
      </c>
      <c r="S34" s="12" t="s">
        <v>1947</v>
      </c>
      <c r="T34" s="779" t="s">
        <v>1947</v>
      </c>
      <c r="U34" s="583"/>
    </row>
    <row r="35" spans="1:21" s="624" customFormat="1" x14ac:dyDescent="0.2">
      <c r="A35" s="64" t="str">
        <f t="shared" si="0"/>
        <v>16ALM SHT</v>
      </c>
      <c r="B35" s="691"/>
      <c r="C35" s="709"/>
      <c r="D35" s="65" t="s">
        <v>1823</v>
      </c>
      <c r="E35" s="65" t="s">
        <v>569</v>
      </c>
      <c r="F35" s="12" t="s">
        <v>1681</v>
      </c>
      <c r="G35" s="12" t="s">
        <v>1681</v>
      </c>
      <c r="H35" s="161">
        <v>6.3009999999999997E-2</v>
      </c>
      <c r="I35" s="12" t="s">
        <v>1404</v>
      </c>
      <c r="J35" s="12" t="s">
        <v>16</v>
      </c>
      <c r="K35" s="199" t="s">
        <v>1264</v>
      </c>
      <c r="L35" s="410" t="s">
        <v>1952</v>
      </c>
      <c r="M35" s="12" t="s">
        <v>148</v>
      </c>
      <c r="N35" s="64" t="s">
        <v>526</v>
      </c>
      <c r="O35" s="12" t="s">
        <v>1107</v>
      </c>
      <c r="P35" s="12" t="s">
        <v>567</v>
      </c>
      <c r="Q35" s="12" t="s">
        <v>2167</v>
      </c>
      <c r="R35" s="12" t="s">
        <v>2065</v>
      </c>
      <c r="S35" s="12" t="s">
        <v>1947</v>
      </c>
      <c r="T35" s="779" t="s">
        <v>1947</v>
      </c>
      <c r="U35" s="583"/>
    </row>
    <row r="36" spans="1:21" s="624" customFormat="1" x14ac:dyDescent="0.2">
      <c r="A36" s="64" t="str">
        <f t="shared" si="0"/>
        <v>14ALM SHT</v>
      </c>
      <c r="B36" s="691"/>
      <c r="C36" s="709"/>
      <c r="D36" s="65" t="s">
        <v>1823</v>
      </c>
      <c r="E36" s="65" t="s">
        <v>1680</v>
      </c>
      <c r="F36" s="12" t="s">
        <v>1110</v>
      </c>
      <c r="G36" s="12" t="s">
        <v>1110</v>
      </c>
      <c r="H36" s="161">
        <v>8.0009999999999998E-2</v>
      </c>
      <c r="I36" s="12" t="s">
        <v>1404</v>
      </c>
      <c r="J36" s="12" t="s">
        <v>16</v>
      </c>
      <c r="K36" s="199" t="s">
        <v>701</v>
      </c>
      <c r="L36" s="410" t="s">
        <v>1684</v>
      </c>
      <c r="M36" s="12" t="s">
        <v>148</v>
      </c>
      <c r="N36" s="64" t="s">
        <v>526</v>
      </c>
      <c r="O36" s="12" t="s">
        <v>1107</v>
      </c>
      <c r="P36" s="12" t="s">
        <v>567</v>
      </c>
      <c r="Q36" s="12" t="s">
        <v>2167</v>
      </c>
      <c r="R36" s="12" t="s">
        <v>1532</v>
      </c>
      <c r="S36" s="12" t="s">
        <v>1947</v>
      </c>
      <c r="T36" s="779" t="s">
        <v>1947</v>
      </c>
      <c r="U36" s="583"/>
    </row>
    <row r="37" spans="1:21" s="624" customFormat="1" x14ac:dyDescent="0.2">
      <c r="A37" s="64" t="str">
        <f t="shared" si="0"/>
        <v>10ALM SHT</v>
      </c>
      <c r="B37" s="691"/>
      <c r="C37" s="709"/>
      <c r="D37" s="65" t="s">
        <v>1823</v>
      </c>
      <c r="E37" s="65" t="s">
        <v>1683</v>
      </c>
      <c r="F37" s="12" t="s">
        <v>1678</v>
      </c>
      <c r="G37" s="12" t="s">
        <v>1678</v>
      </c>
      <c r="H37" s="161">
        <v>0.12501000000000001</v>
      </c>
      <c r="I37" s="12" t="s">
        <v>1404</v>
      </c>
      <c r="J37" s="12" t="s">
        <v>16</v>
      </c>
      <c r="K37" s="199" t="s">
        <v>1112</v>
      </c>
      <c r="L37" s="410" t="s">
        <v>153</v>
      </c>
      <c r="M37" s="12" t="s">
        <v>148</v>
      </c>
      <c r="N37" s="64" t="s">
        <v>526</v>
      </c>
      <c r="O37" s="12" t="s">
        <v>1107</v>
      </c>
      <c r="P37" s="12" t="s">
        <v>567</v>
      </c>
      <c r="Q37" s="12" t="s">
        <v>2167</v>
      </c>
      <c r="R37" s="12" t="s">
        <v>834</v>
      </c>
      <c r="S37" s="12" t="s">
        <v>1947</v>
      </c>
      <c r="T37" s="779" t="s">
        <v>1947</v>
      </c>
      <c r="U37" s="583"/>
    </row>
    <row r="38" spans="1:21" s="624" customFormat="1" x14ac:dyDescent="0.2">
      <c r="A38" s="64" t="str">
        <f t="shared" si="0"/>
        <v>8ALM SHT</v>
      </c>
      <c r="B38" s="691"/>
      <c r="C38" s="709"/>
      <c r="D38" s="65" t="s">
        <v>1823</v>
      </c>
      <c r="E38" s="65" t="s">
        <v>971</v>
      </c>
      <c r="F38" s="12" t="s">
        <v>1685</v>
      </c>
      <c r="G38" s="12" t="s">
        <v>1685</v>
      </c>
      <c r="H38" s="161">
        <v>0.19001000000000001</v>
      </c>
      <c r="I38" s="12" t="s">
        <v>1404</v>
      </c>
      <c r="J38" s="12" t="s">
        <v>16</v>
      </c>
      <c r="K38" s="199" t="s">
        <v>1265</v>
      </c>
      <c r="L38" s="410" t="s">
        <v>1953</v>
      </c>
      <c r="M38" s="12" t="s">
        <v>148</v>
      </c>
      <c r="N38" s="64" t="s">
        <v>526</v>
      </c>
      <c r="O38" s="12" t="s">
        <v>1107</v>
      </c>
      <c r="P38" s="12" t="s">
        <v>567</v>
      </c>
      <c r="Q38" s="12" t="s">
        <v>2167</v>
      </c>
      <c r="R38" s="12" t="s">
        <v>306</v>
      </c>
      <c r="S38" s="12" t="s">
        <v>1947</v>
      </c>
      <c r="T38" s="779" t="s">
        <v>1947</v>
      </c>
      <c r="U38" s="583"/>
    </row>
    <row r="39" spans="1:21" s="624" customFormat="1" x14ac:dyDescent="0.2">
      <c r="A39" s="64" t="str">
        <f t="shared" si="0"/>
        <v>8SST304</v>
      </c>
      <c r="B39" s="691"/>
      <c r="C39" s="709"/>
      <c r="D39" s="65" t="s">
        <v>1965</v>
      </c>
      <c r="E39" s="65" t="s">
        <v>971</v>
      </c>
      <c r="F39" s="12" t="s">
        <v>1713</v>
      </c>
      <c r="G39" s="12" t="s">
        <v>1713</v>
      </c>
      <c r="H39" s="161">
        <v>0.16500999999999999</v>
      </c>
      <c r="I39" s="12" t="s">
        <v>1947</v>
      </c>
      <c r="J39" s="12" t="s">
        <v>1947</v>
      </c>
      <c r="K39" s="64" t="s">
        <v>180</v>
      </c>
      <c r="L39" s="65" t="s">
        <v>1127</v>
      </c>
      <c r="M39" s="12" t="s">
        <v>1706</v>
      </c>
      <c r="N39" s="435" t="s">
        <v>1422</v>
      </c>
      <c r="O39" s="12" t="s">
        <v>156</v>
      </c>
      <c r="P39" s="12" t="s">
        <v>567</v>
      </c>
      <c r="Q39" s="12" t="s">
        <v>1841</v>
      </c>
      <c r="R39" s="64" t="s">
        <v>724</v>
      </c>
      <c r="S39" s="64" t="s">
        <v>1947</v>
      </c>
      <c r="T39" s="516" t="s">
        <v>1947</v>
      </c>
      <c r="U39" s="583"/>
    </row>
    <row r="40" spans="1:21" s="624" customFormat="1" x14ac:dyDescent="0.2">
      <c r="A40" s="64" t="str">
        <f t="shared" si="0"/>
        <v>10SST304</v>
      </c>
      <c r="B40" s="691"/>
      <c r="C40" s="709"/>
      <c r="D40" s="77" t="s">
        <v>1965</v>
      </c>
      <c r="E40" s="65" t="s">
        <v>1683</v>
      </c>
      <c r="F40" s="12" t="s">
        <v>1132</v>
      </c>
      <c r="G40" s="12" t="s">
        <v>1132</v>
      </c>
      <c r="H40" s="161">
        <v>0.13500999999999999</v>
      </c>
      <c r="I40" s="12" t="s">
        <v>1409</v>
      </c>
      <c r="J40" s="12" t="s">
        <v>16</v>
      </c>
      <c r="K40" s="64" t="s">
        <v>1709</v>
      </c>
      <c r="L40" s="65" t="s">
        <v>1127</v>
      </c>
      <c r="M40" s="12" t="s">
        <v>1706</v>
      </c>
      <c r="N40" s="435" t="s">
        <v>1422</v>
      </c>
      <c r="O40" s="12" t="s">
        <v>156</v>
      </c>
      <c r="P40" s="12" t="s">
        <v>567</v>
      </c>
      <c r="Q40" s="12" t="s">
        <v>1841</v>
      </c>
      <c r="R40" s="64" t="s">
        <v>1846</v>
      </c>
      <c r="S40" s="64" t="s">
        <v>1947</v>
      </c>
      <c r="T40" s="516" t="s">
        <v>1947</v>
      </c>
      <c r="U40" s="583"/>
    </row>
    <row r="41" spans="1:21" s="624" customFormat="1" x14ac:dyDescent="0.2">
      <c r="A41" s="64" t="str">
        <f t="shared" si="0"/>
        <v>12SST304</v>
      </c>
      <c r="B41" s="691"/>
      <c r="C41" s="709"/>
      <c r="D41" s="77" t="s">
        <v>1965</v>
      </c>
      <c r="E41" s="65" t="s">
        <v>576</v>
      </c>
      <c r="F41" s="12" t="s">
        <v>453</v>
      </c>
      <c r="G41" s="12" t="s">
        <v>453</v>
      </c>
      <c r="H41" s="161">
        <v>0.10501000000000001</v>
      </c>
      <c r="I41" s="12" t="s">
        <v>1409</v>
      </c>
      <c r="J41" s="12" t="s">
        <v>16</v>
      </c>
      <c r="K41" s="64" t="s">
        <v>590</v>
      </c>
      <c r="L41" s="65" t="s">
        <v>1127</v>
      </c>
      <c r="M41" s="12" t="s">
        <v>1706</v>
      </c>
      <c r="N41" s="435" t="s">
        <v>1422</v>
      </c>
      <c r="O41" s="12" t="s">
        <v>1819</v>
      </c>
      <c r="P41" s="12" t="s">
        <v>567</v>
      </c>
      <c r="Q41" s="12" t="s">
        <v>1841</v>
      </c>
      <c r="R41" s="64" t="s">
        <v>722</v>
      </c>
      <c r="S41" s="64" t="s">
        <v>1947</v>
      </c>
      <c r="T41" s="516" t="s">
        <v>1947</v>
      </c>
      <c r="U41" s="583"/>
    </row>
    <row r="42" spans="1:21" s="624" customFormat="1" x14ac:dyDescent="0.2">
      <c r="A42" s="64" t="str">
        <f t="shared" si="0"/>
        <v>14SST304</v>
      </c>
      <c r="B42" s="691"/>
      <c r="C42" s="709"/>
      <c r="D42" s="77" t="s">
        <v>1965</v>
      </c>
      <c r="E42" s="65">
        <v>14</v>
      </c>
      <c r="F42" s="12" t="s">
        <v>173</v>
      </c>
      <c r="G42" s="12" t="s">
        <v>173</v>
      </c>
      <c r="H42" s="161">
        <v>7.5009999999999993E-2</v>
      </c>
      <c r="I42" s="12" t="s">
        <v>1409</v>
      </c>
      <c r="J42" s="12" t="s">
        <v>16</v>
      </c>
      <c r="K42" s="64" t="s">
        <v>1840</v>
      </c>
      <c r="L42" s="65" t="s">
        <v>1127</v>
      </c>
      <c r="M42" s="12" t="s">
        <v>1706</v>
      </c>
      <c r="N42" s="435" t="s">
        <v>1422</v>
      </c>
      <c r="O42" s="12" t="s">
        <v>1819</v>
      </c>
      <c r="P42" s="12" t="s">
        <v>567</v>
      </c>
      <c r="Q42" s="12" t="s">
        <v>1841</v>
      </c>
      <c r="R42" s="64" t="s">
        <v>1966</v>
      </c>
      <c r="S42" s="64" t="s">
        <v>1947</v>
      </c>
      <c r="T42" s="516" t="s">
        <v>1947</v>
      </c>
      <c r="U42" s="583"/>
    </row>
    <row r="43" spans="1:21" s="624" customFormat="1" x14ac:dyDescent="0.2">
      <c r="A43" s="64" t="str">
        <f t="shared" si="0"/>
        <v>16SST304</v>
      </c>
      <c r="B43" s="691"/>
      <c r="C43" s="709"/>
      <c r="D43" s="77" t="s">
        <v>1965</v>
      </c>
      <c r="E43" s="65">
        <v>16</v>
      </c>
      <c r="F43" s="12" t="s">
        <v>19</v>
      </c>
      <c r="G43" s="12" t="s">
        <v>19</v>
      </c>
      <c r="H43" s="161">
        <v>6.0010000000000001E-2</v>
      </c>
      <c r="I43" s="12" t="s">
        <v>1409</v>
      </c>
      <c r="J43" s="12" t="s">
        <v>16</v>
      </c>
      <c r="K43" s="64" t="s">
        <v>720</v>
      </c>
      <c r="L43" s="65" t="s">
        <v>1127</v>
      </c>
      <c r="M43" s="12" t="s">
        <v>1706</v>
      </c>
      <c r="N43" s="435" t="s">
        <v>1422</v>
      </c>
      <c r="O43" s="12" t="s">
        <v>1819</v>
      </c>
      <c r="P43" s="12" t="s">
        <v>567</v>
      </c>
      <c r="Q43" s="12" t="s">
        <v>1841</v>
      </c>
      <c r="R43" s="64" t="s">
        <v>1275</v>
      </c>
      <c r="S43" s="64" t="s">
        <v>1947</v>
      </c>
      <c r="T43" s="516" t="s">
        <v>1947</v>
      </c>
      <c r="U43" s="583"/>
    </row>
    <row r="44" spans="1:21" s="624" customFormat="1" x14ac:dyDescent="0.2">
      <c r="A44" s="64" t="str">
        <f t="shared" si="0"/>
        <v>18SST304</v>
      </c>
      <c r="B44" s="691"/>
      <c r="C44" s="709"/>
      <c r="D44" s="77" t="s">
        <v>1965</v>
      </c>
      <c r="E44" s="65">
        <v>18</v>
      </c>
      <c r="F44" s="12" t="s">
        <v>1128</v>
      </c>
      <c r="G44" s="12" t="s">
        <v>1128</v>
      </c>
      <c r="H44" s="161">
        <v>4.8009999999999997E-2</v>
      </c>
      <c r="I44" s="12" t="s">
        <v>1409</v>
      </c>
      <c r="J44" s="12" t="s">
        <v>16</v>
      </c>
      <c r="K44" s="64" t="s">
        <v>1842</v>
      </c>
      <c r="L44" s="65" t="s">
        <v>1127</v>
      </c>
      <c r="M44" s="12" t="s">
        <v>1706</v>
      </c>
      <c r="N44" s="435" t="s">
        <v>1422</v>
      </c>
      <c r="O44" s="12" t="s">
        <v>1819</v>
      </c>
      <c r="P44" s="12" t="s">
        <v>567</v>
      </c>
      <c r="Q44" s="12" t="s">
        <v>1841</v>
      </c>
      <c r="R44" s="64" t="s">
        <v>1423</v>
      </c>
      <c r="S44" s="64" t="s">
        <v>1947</v>
      </c>
      <c r="T44" s="516" t="s">
        <v>1947</v>
      </c>
      <c r="U44" s="583"/>
    </row>
    <row r="45" spans="1:21" s="624" customFormat="1" x14ac:dyDescent="0.2">
      <c r="A45" s="64" t="str">
        <f t="shared" si="0"/>
        <v>20SST304</v>
      </c>
      <c r="B45" s="691"/>
      <c r="C45" s="709"/>
      <c r="D45" s="77" t="s">
        <v>1965</v>
      </c>
      <c r="E45" s="65">
        <v>20</v>
      </c>
      <c r="F45" s="12" t="s">
        <v>38</v>
      </c>
      <c r="G45" s="12" t="s">
        <v>38</v>
      </c>
      <c r="H45" s="161">
        <v>3.5009999999999999E-2</v>
      </c>
      <c r="I45" s="12" t="s">
        <v>1409</v>
      </c>
      <c r="J45" s="12" t="s">
        <v>16</v>
      </c>
      <c r="K45" s="64" t="s">
        <v>1129</v>
      </c>
      <c r="L45" s="65" t="s">
        <v>1127</v>
      </c>
      <c r="M45" s="12" t="s">
        <v>1706</v>
      </c>
      <c r="N45" s="435" t="s">
        <v>1422</v>
      </c>
      <c r="O45" s="12" t="s">
        <v>1819</v>
      </c>
      <c r="P45" s="12" t="s">
        <v>567</v>
      </c>
      <c r="Q45" s="12" t="s">
        <v>1841</v>
      </c>
      <c r="R45" s="64" t="s">
        <v>1967</v>
      </c>
      <c r="S45" s="64" t="s">
        <v>1947</v>
      </c>
      <c r="T45" s="516" t="s">
        <v>1947</v>
      </c>
      <c r="U45" s="583"/>
    </row>
    <row r="46" spans="1:21" s="624" customFormat="1" x14ac:dyDescent="0.2">
      <c r="A46" s="64" t="str">
        <f t="shared" si="0"/>
        <v>22SST304</v>
      </c>
      <c r="B46" s="691"/>
      <c r="C46" s="709"/>
      <c r="D46" s="77" t="s">
        <v>1965</v>
      </c>
      <c r="E46" s="65" t="s">
        <v>37</v>
      </c>
      <c r="F46" s="12" t="s">
        <v>594</v>
      </c>
      <c r="G46" s="12" t="s">
        <v>594</v>
      </c>
      <c r="H46" s="161">
        <v>2.9010000000000001E-2</v>
      </c>
      <c r="I46" s="12" t="s">
        <v>1404</v>
      </c>
      <c r="J46" s="12" t="s">
        <v>16</v>
      </c>
      <c r="K46" s="64" t="s">
        <v>178</v>
      </c>
      <c r="L46" s="65" t="s">
        <v>1127</v>
      </c>
      <c r="M46" s="12" t="s">
        <v>1706</v>
      </c>
      <c r="N46" s="435" t="s">
        <v>1422</v>
      </c>
      <c r="O46" s="12" t="s">
        <v>1819</v>
      </c>
      <c r="P46" s="12" t="s">
        <v>567</v>
      </c>
      <c r="Q46" s="12" t="s">
        <v>1841</v>
      </c>
      <c r="R46" s="64" t="s">
        <v>844</v>
      </c>
      <c r="S46" s="64" t="s">
        <v>1947</v>
      </c>
      <c r="T46" s="516" t="s">
        <v>1947</v>
      </c>
      <c r="U46" s="583"/>
    </row>
    <row r="47" spans="1:21" s="624" customFormat="1" x14ac:dyDescent="0.2">
      <c r="A47" s="64" t="str">
        <f t="shared" si="0"/>
        <v>24SST304</v>
      </c>
      <c r="B47" s="691"/>
      <c r="C47" s="709"/>
      <c r="D47" s="77" t="s">
        <v>1965</v>
      </c>
      <c r="E47" s="65" t="s">
        <v>1126</v>
      </c>
      <c r="F47" s="12" t="s">
        <v>41</v>
      </c>
      <c r="G47" s="12" t="s">
        <v>41</v>
      </c>
      <c r="H47" s="161">
        <v>2.401E-2</v>
      </c>
      <c r="I47" s="12" t="s">
        <v>1947</v>
      </c>
      <c r="J47" s="12" t="s">
        <v>1947</v>
      </c>
      <c r="K47" s="64" t="s">
        <v>1279</v>
      </c>
      <c r="L47" s="65" t="s">
        <v>1127</v>
      </c>
      <c r="M47" s="12" t="s">
        <v>1706</v>
      </c>
      <c r="N47" s="435" t="s">
        <v>1422</v>
      </c>
      <c r="O47" s="12" t="s">
        <v>1819</v>
      </c>
      <c r="P47" s="12" t="s">
        <v>567</v>
      </c>
      <c r="Q47" s="12" t="s">
        <v>1841</v>
      </c>
      <c r="R47" s="64" t="s">
        <v>1428</v>
      </c>
      <c r="S47" s="64" t="s">
        <v>1947</v>
      </c>
      <c r="T47" s="516" t="s">
        <v>1947</v>
      </c>
      <c r="U47" s="583"/>
    </row>
    <row r="48" spans="1:21" s="624" customFormat="1" x14ac:dyDescent="0.2">
      <c r="A48" s="64" t="str">
        <f t="shared" si="0"/>
        <v>12SST304L</v>
      </c>
      <c r="B48" s="691"/>
      <c r="C48" s="709"/>
      <c r="D48" s="77" t="s">
        <v>1965</v>
      </c>
      <c r="E48" s="65" t="s">
        <v>576</v>
      </c>
      <c r="F48" s="12" t="s">
        <v>453</v>
      </c>
      <c r="G48" s="12" t="s">
        <v>453</v>
      </c>
      <c r="H48" s="161">
        <v>0.10502</v>
      </c>
      <c r="I48" s="12" t="s">
        <v>1404</v>
      </c>
      <c r="J48" s="12" t="s">
        <v>16</v>
      </c>
      <c r="K48" s="12" t="s">
        <v>42</v>
      </c>
      <c r="L48" s="65" t="s">
        <v>1281</v>
      </c>
      <c r="M48" s="12" t="s">
        <v>725</v>
      </c>
      <c r="N48" s="435" t="s">
        <v>1422</v>
      </c>
      <c r="O48" s="12" t="s">
        <v>1819</v>
      </c>
      <c r="P48" s="12" t="s">
        <v>567</v>
      </c>
      <c r="Q48" s="12" t="s">
        <v>2079</v>
      </c>
      <c r="R48" s="64" t="s">
        <v>1969</v>
      </c>
      <c r="S48" s="64" t="s">
        <v>1947</v>
      </c>
      <c r="T48" s="516" t="s">
        <v>1947</v>
      </c>
      <c r="U48" s="583"/>
    </row>
    <row r="49" spans="1:21" s="624" customFormat="1" x14ac:dyDescent="0.2">
      <c r="A49" s="64" t="str">
        <f t="shared" si="0"/>
        <v>16SST304L</v>
      </c>
      <c r="B49" s="691"/>
      <c r="C49" s="709"/>
      <c r="D49" s="77" t="s">
        <v>1965</v>
      </c>
      <c r="E49" s="65" t="s">
        <v>569</v>
      </c>
      <c r="F49" s="12" t="s">
        <v>19</v>
      </c>
      <c r="G49" s="12" t="s">
        <v>19</v>
      </c>
      <c r="H49" s="161">
        <v>6.0019999999999997E-2</v>
      </c>
      <c r="I49" s="12" t="s">
        <v>1404</v>
      </c>
      <c r="J49" s="12" t="s">
        <v>16</v>
      </c>
      <c r="K49" s="12" t="s">
        <v>182</v>
      </c>
      <c r="L49" s="65" t="s">
        <v>726</v>
      </c>
      <c r="M49" s="12" t="s">
        <v>725</v>
      </c>
      <c r="N49" s="435" t="s">
        <v>1422</v>
      </c>
      <c r="O49" s="12" t="s">
        <v>1819</v>
      </c>
      <c r="P49" s="12" t="s">
        <v>567</v>
      </c>
      <c r="Q49" s="12" t="s">
        <v>2079</v>
      </c>
      <c r="R49" s="64" t="s">
        <v>322</v>
      </c>
      <c r="S49" s="64" t="s">
        <v>1947</v>
      </c>
      <c r="T49" s="516" t="s">
        <v>1947</v>
      </c>
      <c r="U49" s="583"/>
    </row>
    <row r="50" spans="1:21" x14ac:dyDescent="0.2">
      <c r="A50" s="64" t="str">
        <f t="shared" si="0"/>
        <v>10SST316L</v>
      </c>
      <c r="B50" s="482"/>
      <c r="C50" s="255"/>
      <c r="D50" s="77" t="s">
        <v>1965</v>
      </c>
      <c r="E50" s="65" t="s">
        <v>1683</v>
      </c>
      <c r="F50" s="12" t="s">
        <v>1132</v>
      </c>
      <c r="G50" s="12" t="s">
        <v>1132</v>
      </c>
      <c r="H50" s="161">
        <v>0.13502</v>
      </c>
      <c r="I50" s="12" t="s">
        <v>1404</v>
      </c>
      <c r="J50" s="12" t="s">
        <v>16</v>
      </c>
      <c r="K50" s="199" t="s">
        <v>989</v>
      </c>
      <c r="L50" s="625" t="s">
        <v>1135</v>
      </c>
      <c r="M50" s="12" t="s">
        <v>727</v>
      </c>
      <c r="N50" s="435" t="s">
        <v>1422</v>
      </c>
      <c r="O50" s="12" t="s">
        <v>1819</v>
      </c>
      <c r="P50" s="12" t="s">
        <v>567</v>
      </c>
      <c r="Q50" s="12" t="s">
        <v>2080</v>
      </c>
      <c r="R50" s="64" t="s">
        <v>456</v>
      </c>
      <c r="S50" s="64" t="s">
        <v>1947</v>
      </c>
      <c r="T50" s="516" t="s">
        <v>1947</v>
      </c>
      <c r="U50" s="450"/>
    </row>
    <row r="51" spans="1:21" x14ac:dyDescent="0.2">
      <c r="A51" s="64" t="str">
        <f t="shared" si="0"/>
        <v>12SST316L</v>
      </c>
      <c r="B51" s="482"/>
      <c r="C51" s="255"/>
      <c r="D51" s="65" t="s">
        <v>1965</v>
      </c>
      <c r="E51" s="65" t="s">
        <v>576</v>
      </c>
      <c r="F51" s="12" t="s">
        <v>453</v>
      </c>
      <c r="G51" s="12" t="s">
        <v>453</v>
      </c>
      <c r="H51" s="161">
        <v>0.10503</v>
      </c>
      <c r="I51" s="12" t="s">
        <v>1404</v>
      </c>
      <c r="J51" s="12" t="s">
        <v>16</v>
      </c>
      <c r="K51" s="199" t="s">
        <v>2081</v>
      </c>
      <c r="L51" s="625" t="s">
        <v>847</v>
      </c>
      <c r="M51" s="12" t="s">
        <v>727</v>
      </c>
      <c r="N51" s="435" t="s">
        <v>1422</v>
      </c>
      <c r="O51" s="12" t="s">
        <v>1819</v>
      </c>
      <c r="P51" s="12" t="s">
        <v>567</v>
      </c>
      <c r="Q51" s="12" t="s">
        <v>2080</v>
      </c>
      <c r="R51" s="64" t="s">
        <v>1547</v>
      </c>
      <c r="S51" s="64" t="s">
        <v>1947</v>
      </c>
      <c r="T51" s="516" t="s">
        <v>1947</v>
      </c>
      <c r="U51" s="450"/>
    </row>
    <row r="52" spans="1:21" x14ac:dyDescent="0.2">
      <c r="A52" s="64" t="str">
        <f t="shared" si="0"/>
        <v>14SST316L</v>
      </c>
      <c r="B52" s="482"/>
      <c r="C52" s="255"/>
      <c r="D52" s="65" t="s">
        <v>1965</v>
      </c>
      <c r="E52" s="65" t="s">
        <v>1680</v>
      </c>
      <c r="F52" s="12" t="s">
        <v>173</v>
      </c>
      <c r="G52" s="12" t="s">
        <v>173</v>
      </c>
      <c r="H52" s="161">
        <v>7.5020000000000003E-2</v>
      </c>
      <c r="I52" s="12" t="s">
        <v>1404</v>
      </c>
      <c r="J52" s="12" t="s">
        <v>16</v>
      </c>
      <c r="K52" s="199" t="s">
        <v>990</v>
      </c>
      <c r="L52" s="625" t="s">
        <v>595</v>
      </c>
      <c r="M52" s="12" t="s">
        <v>727</v>
      </c>
      <c r="N52" s="435" t="s">
        <v>1422</v>
      </c>
      <c r="O52" s="12" t="s">
        <v>1819</v>
      </c>
      <c r="P52" s="12" t="s">
        <v>567</v>
      </c>
      <c r="Q52" s="12" t="s">
        <v>2080</v>
      </c>
      <c r="R52" s="64" t="s">
        <v>596</v>
      </c>
      <c r="S52" s="64" t="s">
        <v>1947</v>
      </c>
      <c r="T52" s="516" t="s">
        <v>1947</v>
      </c>
      <c r="U52" s="450"/>
    </row>
    <row r="53" spans="1:21" x14ac:dyDescent="0.2">
      <c r="A53" s="64" t="str">
        <f t="shared" si="0"/>
        <v>16SST316L</v>
      </c>
      <c r="B53" s="482"/>
      <c r="C53" s="255"/>
      <c r="D53" s="77" t="s">
        <v>1965</v>
      </c>
      <c r="E53" s="65" t="s">
        <v>569</v>
      </c>
      <c r="F53" s="12" t="s">
        <v>19</v>
      </c>
      <c r="G53" s="12" t="s">
        <v>19</v>
      </c>
      <c r="H53" s="161">
        <v>6.003E-2</v>
      </c>
      <c r="I53" s="12" t="s">
        <v>1409</v>
      </c>
      <c r="J53" s="12" t="s">
        <v>16</v>
      </c>
      <c r="K53" s="12" t="s">
        <v>2082</v>
      </c>
      <c r="L53" s="65" t="s">
        <v>1970</v>
      </c>
      <c r="M53" s="12" t="s">
        <v>727</v>
      </c>
      <c r="N53" s="435" t="s">
        <v>1422</v>
      </c>
      <c r="O53" s="12" t="s">
        <v>1819</v>
      </c>
      <c r="P53" s="12" t="s">
        <v>567</v>
      </c>
      <c r="Q53" s="12" t="s">
        <v>2080</v>
      </c>
      <c r="R53" s="64" t="s">
        <v>2083</v>
      </c>
      <c r="S53" s="64" t="s">
        <v>1947</v>
      </c>
      <c r="T53" s="516" t="s">
        <v>1947</v>
      </c>
      <c r="U53" s="450"/>
    </row>
    <row r="54" spans="1:21" x14ac:dyDescent="0.2">
      <c r="A54" s="64" t="str">
        <f t="shared" si="0"/>
        <v>18SST316L</v>
      </c>
      <c r="B54" s="482"/>
      <c r="C54" s="255"/>
      <c r="D54" s="77" t="s">
        <v>1965</v>
      </c>
      <c r="E54" s="65" t="s">
        <v>1822</v>
      </c>
      <c r="F54" s="12" t="s">
        <v>1128</v>
      </c>
      <c r="G54" s="12" t="s">
        <v>1128</v>
      </c>
      <c r="H54" s="161">
        <v>4.802E-2</v>
      </c>
      <c r="I54" s="12" t="s">
        <v>1409</v>
      </c>
      <c r="J54" s="12" t="s">
        <v>16</v>
      </c>
      <c r="K54" s="64" t="s">
        <v>1136</v>
      </c>
      <c r="L54" s="65" t="s">
        <v>1971</v>
      </c>
      <c r="M54" s="12" t="s">
        <v>727</v>
      </c>
      <c r="N54" s="435" t="s">
        <v>1422</v>
      </c>
      <c r="O54" s="12" t="s">
        <v>1819</v>
      </c>
      <c r="P54" s="12" t="s">
        <v>567</v>
      </c>
      <c r="Q54" s="12" t="s">
        <v>2080</v>
      </c>
      <c r="R54" s="64" t="s">
        <v>43</v>
      </c>
      <c r="S54" s="64" t="s">
        <v>1947</v>
      </c>
      <c r="T54" s="516" t="s">
        <v>1947</v>
      </c>
      <c r="U54" s="450"/>
    </row>
    <row r="55" spans="1:21" x14ac:dyDescent="0.2">
      <c r="A55" s="669" t="str">
        <f t="shared" si="0"/>
        <v>20SST316L</v>
      </c>
      <c r="B55" s="482"/>
      <c r="C55" s="255"/>
      <c r="D55" s="77" t="s">
        <v>1965</v>
      </c>
      <c r="E55" s="65" t="s">
        <v>1113</v>
      </c>
      <c r="F55" s="12" t="s">
        <v>38</v>
      </c>
      <c r="G55" s="12" t="s">
        <v>38</v>
      </c>
      <c r="H55" s="161">
        <v>3.5020000000000003E-2</v>
      </c>
      <c r="I55" s="12" t="s">
        <v>1409</v>
      </c>
      <c r="J55" s="12" t="s">
        <v>16</v>
      </c>
      <c r="K55" s="64" t="s">
        <v>457</v>
      </c>
      <c r="L55" s="65" t="s">
        <v>1850</v>
      </c>
      <c r="M55" s="12" t="s">
        <v>727</v>
      </c>
      <c r="N55" s="435" t="s">
        <v>1422</v>
      </c>
      <c r="O55" s="12" t="s">
        <v>1819</v>
      </c>
      <c r="P55" s="12" t="s">
        <v>567</v>
      </c>
      <c r="Q55" s="12" t="s">
        <v>2080</v>
      </c>
      <c r="R55" s="64" t="s">
        <v>597</v>
      </c>
      <c r="S55" s="64" t="s">
        <v>1947</v>
      </c>
      <c r="T55" s="516" t="s">
        <v>1947</v>
      </c>
      <c r="U55" s="450"/>
    </row>
    <row r="56" spans="1:21" ht="13.5" thickBot="1" x14ac:dyDescent="0.25">
      <c r="A56" s="179" t="str">
        <f t="shared" si="0"/>
        <v>22SST316L</v>
      </c>
      <c r="B56" s="482"/>
      <c r="C56" s="609"/>
      <c r="D56" s="119" t="s">
        <v>1965</v>
      </c>
      <c r="E56" s="119" t="s">
        <v>37</v>
      </c>
      <c r="F56" s="28" t="s">
        <v>594</v>
      </c>
      <c r="G56" s="28" t="s">
        <v>594</v>
      </c>
      <c r="H56" s="281">
        <v>2.9020000000000001E-2</v>
      </c>
      <c r="I56" s="28" t="s">
        <v>1404</v>
      </c>
      <c r="J56" s="28" t="s">
        <v>16</v>
      </c>
      <c r="K56" s="685" t="s">
        <v>1548</v>
      </c>
      <c r="L56" s="561" t="s">
        <v>728</v>
      </c>
      <c r="M56" s="28" t="s">
        <v>727</v>
      </c>
      <c r="N56" s="726" t="s">
        <v>1422</v>
      </c>
      <c r="O56" s="28" t="s">
        <v>1819</v>
      </c>
      <c r="P56" s="28" t="s">
        <v>567</v>
      </c>
      <c r="Q56" s="28" t="s">
        <v>2080</v>
      </c>
      <c r="R56" s="179" t="s">
        <v>1851</v>
      </c>
      <c r="S56" s="179" t="s">
        <v>1947</v>
      </c>
      <c r="T56" s="553" t="s">
        <v>1947</v>
      </c>
      <c r="U56" s="450"/>
    </row>
    <row r="57" spans="1:21" ht="17.25" customHeight="1" thickTop="1" thickBot="1" x14ac:dyDescent="0.25">
      <c r="A57" s="229" t="str">
        <f t="shared" si="0"/>
        <v/>
      </c>
      <c r="B57" s="482"/>
      <c r="C57" s="224"/>
      <c r="D57" s="17"/>
      <c r="E57" s="17"/>
      <c r="F57" s="17"/>
      <c r="G57" s="17"/>
      <c r="H57" s="17"/>
      <c r="I57" s="17"/>
      <c r="J57" s="17"/>
      <c r="K57" s="17"/>
      <c r="L57" s="17"/>
      <c r="M57" s="51"/>
      <c r="N57" s="51"/>
      <c r="O57" s="51"/>
      <c r="P57" s="51"/>
      <c r="Q57" s="51"/>
      <c r="R57" s="51"/>
      <c r="S57" s="51"/>
      <c r="T57" s="51"/>
      <c r="U57" s="450"/>
    </row>
    <row r="58" spans="1:21" ht="17.25" thickTop="1" thickBot="1" x14ac:dyDescent="0.25">
      <c r="A58" s="229" t="str">
        <f t="shared" si="0"/>
        <v/>
      </c>
      <c r="B58" s="482"/>
      <c r="C58" s="658" t="s">
        <v>338</v>
      </c>
      <c r="D58" s="15"/>
      <c r="E58" s="15"/>
      <c r="F58" s="15"/>
      <c r="G58" s="15"/>
      <c r="H58" s="15"/>
      <c r="I58" s="15"/>
      <c r="J58" s="15"/>
      <c r="K58" s="15"/>
      <c r="L58" s="15"/>
      <c r="M58" s="23"/>
      <c r="N58" s="23"/>
      <c r="O58" s="23"/>
      <c r="P58" s="23"/>
      <c r="Q58" s="23"/>
      <c r="R58" s="23"/>
      <c r="S58" s="23"/>
      <c r="T58" s="23"/>
      <c r="U58" s="450"/>
    </row>
    <row r="59" spans="1:21" ht="13.5" thickTop="1" x14ac:dyDescent="0.2">
      <c r="A59" s="182" t="str">
        <f t="shared" si="0"/>
        <v>10STRUCT GALV</v>
      </c>
      <c r="B59" s="482"/>
      <c r="C59" s="255"/>
      <c r="D59" s="140" t="s">
        <v>169</v>
      </c>
      <c r="E59" s="140" t="s">
        <v>1683</v>
      </c>
      <c r="F59" s="46" t="s">
        <v>1678</v>
      </c>
      <c r="G59" s="46" t="s">
        <v>23</v>
      </c>
      <c r="H59" s="264">
        <v>0.12601999999999999</v>
      </c>
      <c r="I59" s="46" t="s">
        <v>1409</v>
      </c>
      <c r="J59" s="46" t="s">
        <v>1404</v>
      </c>
      <c r="K59" s="182" t="s">
        <v>714</v>
      </c>
      <c r="L59" s="140" t="s">
        <v>316</v>
      </c>
      <c r="M59" s="46" t="s">
        <v>1411</v>
      </c>
      <c r="N59" s="767" t="s">
        <v>1419</v>
      </c>
      <c r="O59" s="46" t="s">
        <v>156</v>
      </c>
      <c r="P59" s="46" t="s">
        <v>567</v>
      </c>
      <c r="Q59" s="46" t="s">
        <v>981</v>
      </c>
      <c r="R59" s="182" t="s">
        <v>1119</v>
      </c>
      <c r="S59" s="504" t="s">
        <v>1947</v>
      </c>
      <c r="T59" s="504" t="s">
        <v>1947</v>
      </c>
      <c r="U59" s="450"/>
    </row>
    <row r="60" spans="1:21" x14ac:dyDescent="0.2">
      <c r="A60" s="64" t="str">
        <f t="shared" si="0"/>
        <v>12STRUCT GALV</v>
      </c>
      <c r="B60" s="482"/>
      <c r="C60" s="255"/>
      <c r="D60" s="65" t="s">
        <v>169</v>
      </c>
      <c r="E60" s="77" t="s">
        <v>576</v>
      </c>
      <c r="F60" s="20" t="s">
        <v>1826</v>
      </c>
      <c r="G60" s="20" t="s">
        <v>157</v>
      </c>
      <c r="H60" s="200">
        <v>9.7019999999999995E-2</v>
      </c>
      <c r="I60" s="20" t="s">
        <v>1409</v>
      </c>
      <c r="J60" s="12" t="s">
        <v>1404</v>
      </c>
      <c r="K60" s="64" t="s">
        <v>1834</v>
      </c>
      <c r="L60" s="65" t="s">
        <v>316</v>
      </c>
      <c r="M60" s="12" t="s">
        <v>1411</v>
      </c>
      <c r="N60" s="536" t="s">
        <v>1419</v>
      </c>
      <c r="O60" s="12" t="s">
        <v>1819</v>
      </c>
      <c r="P60" s="12" t="s">
        <v>567</v>
      </c>
      <c r="Q60" s="12" t="s">
        <v>981</v>
      </c>
      <c r="R60" s="64" t="s">
        <v>1835</v>
      </c>
      <c r="S60" s="64" t="s">
        <v>1947</v>
      </c>
      <c r="T60" s="64" t="s">
        <v>1947</v>
      </c>
      <c r="U60" s="450"/>
    </row>
    <row r="61" spans="1:21" ht="38.25" customHeight="1" thickBot="1" x14ac:dyDescent="0.25">
      <c r="A61" s="179" t="str">
        <f t="shared" si="0"/>
        <v>14STRUCT GALV</v>
      </c>
      <c r="B61" s="482"/>
      <c r="C61" s="255"/>
      <c r="D61" s="119" t="s">
        <v>169</v>
      </c>
      <c r="E61" s="639" t="s">
        <v>1680</v>
      </c>
      <c r="F61" s="248" t="s">
        <v>709</v>
      </c>
      <c r="G61" s="248" t="s">
        <v>1690</v>
      </c>
      <c r="H61" s="621">
        <v>7.0019999999999999E-2</v>
      </c>
      <c r="I61" s="248" t="s">
        <v>1409</v>
      </c>
      <c r="J61" s="28" t="s">
        <v>1404</v>
      </c>
      <c r="K61" s="179" t="s">
        <v>838</v>
      </c>
      <c r="L61" s="119" t="s">
        <v>316</v>
      </c>
      <c r="M61" s="28" t="s">
        <v>1411</v>
      </c>
      <c r="N61" s="560" t="s">
        <v>1419</v>
      </c>
      <c r="O61" s="28" t="s">
        <v>1819</v>
      </c>
      <c r="P61" s="28" t="s">
        <v>567</v>
      </c>
      <c r="Q61" s="28" t="s">
        <v>981</v>
      </c>
      <c r="R61" s="179" t="s">
        <v>1120</v>
      </c>
      <c r="S61" s="179" t="s">
        <v>1947</v>
      </c>
      <c r="T61" s="179" t="s">
        <v>1947</v>
      </c>
      <c r="U61" s="450"/>
    </row>
    <row r="62" spans="1:21" ht="17.25" customHeight="1" thickTop="1" thickBot="1" x14ac:dyDescent="0.25">
      <c r="A62" s="229" t="str">
        <f t="shared" si="0"/>
        <v/>
      </c>
      <c r="B62" s="482"/>
      <c r="C62" s="224"/>
      <c r="D62" s="146"/>
      <c r="E62" s="146"/>
      <c r="F62" s="146"/>
      <c r="G62" s="146"/>
      <c r="H62" s="146"/>
      <c r="I62" s="146"/>
      <c r="J62" s="146"/>
      <c r="K62" s="146"/>
      <c r="L62" s="146"/>
      <c r="M62" s="198"/>
      <c r="N62" s="198"/>
      <c r="O62" s="198"/>
      <c r="P62" s="198"/>
      <c r="Q62" s="198"/>
      <c r="R62" s="198"/>
      <c r="S62" s="198"/>
      <c r="T62" s="607"/>
      <c r="U62" s="450"/>
    </row>
    <row r="63" spans="1:21" ht="17.25" thickTop="1" thickBot="1" x14ac:dyDescent="0.25">
      <c r="A63" s="229" t="str">
        <f t="shared" si="0"/>
        <v/>
      </c>
      <c r="B63" s="482"/>
      <c r="C63" s="649" t="s">
        <v>1729</v>
      </c>
      <c r="D63" s="15"/>
      <c r="E63" s="15"/>
      <c r="F63" s="15"/>
      <c r="G63" s="15"/>
      <c r="H63" s="15"/>
      <c r="I63" s="15"/>
      <c r="J63" s="15"/>
      <c r="K63" s="15"/>
      <c r="L63" s="15"/>
      <c r="M63" s="23"/>
      <c r="N63" s="23"/>
      <c r="O63" s="23"/>
      <c r="P63" s="23"/>
      <c r="Q63" s="23"/>
      <c r="R63" s="23"/>
      <c r="S63" s="23"/>
      <c r="T63" s="23"/>
      <c r="U63" s="450"/>
    </row>
    <row r="64" spans="1:21" ht="13.5" thickTop="1" x14ac:dyDescent="0.2">
      <c r="A64" s="182" t="str">
        <f t="shared" si="0"/>
        <v>20GALV PRFA</v>
      </c>
      <c r="B64" s="482"/>
      <c r="C64" s="255"/>
      <c r="D64" s="140" t="s">
        <v>712</v>
      </c>
      <c r="E64" s="140">
        <v>20</v>
      </c>
      <c r="F64" s="46" t="s">
        <v>27</v>
      </c>
      <c r="G64" s="46" t="s">
        <v>27</v>
      </c>
      <c r="H64" s="264">
        <v>3.9010000000000003E-2</v>
      </c>
      <c r="I64" s="46" t="s">
        <v>1409</v>
      </c>
      <c r="J64" s="46" t="s">
        <v>1404</v>
      </c>
      <c r="K64" s="46" t="s">
        <v>164</v>
      </c>
      <c r="L64" s="140" t="s">
        <v>1960</v>
      </c>
      <c r="M64" s="46" t="s">
        <v>1411</v>
      </c>
      <c r="N64" s="182" t="s">
        <v>1417</v>
      </c>
      <c r="O64" s="46" t="s">
        <v>1109</v>
      </c>
      <c r="P64" s="46" t="s">
        <v>567</v>
      </c>
      <c r="Q64" s="46" t="s">
        <v>264</v>
      </c>
      <c r="R64" s="182" t="s">
        <v>2072</v>
      </c>
      <c r="S64" s="46" t="s">
        <v>1688</v>
      </c>
      <c r="T64" s="46" t="s">
        <v>154</v>
      </c>
      <c r="U64" s="450"/>
    </row>
    <row r="65" spans="1:21" x14ac:dyDescent="0.2">
      <c r="A65" s="64" t="str">
        <f t="shared" si="0"/>
        <v>20GALV PRFD</v>
      </c>
      <c r="B65" s="482"/>
      <c r="C65" s="255"/>
      <c r="D65" s="77" t="s">
        <v>712</v>
      </c>
      <c r="E65" s="77">
        <v>20</v>
      </c>
      <c r="F65" s="20" t="s">
        <v>27</v>
      </c>
      <c r="G65" s="20" t="s">
        <v>27</v>
      </c>
      <c r="H65" s="200">
        <v>3.9019999999999999E-2</v>
      </c>
      <c r="I65" s="20" t="s">
        <v>1409</v>
      </c>
      <c r="J65" s="12" t="s">
        <v>1404</v>
      </c>
      <c r="K65" s="12" t="s">
        <v>1537</v>
      </c>
      <c r="L65" s="65" t="s">
        <v>1960</v>
      </c>
      <c r="M65" s="12" t="s">
        <v>1411</v>
      </c>
      <c r="N65" s="64" t="s">
        <v>1417</v>
      </c>
      <c r="O65" s="12" t="s">
        <v>1109</v>
      </c>
      <c r="P65" s="12" t="s">
        <v>567</v>
      </c>
      <c r="Q65" s="20" t="s">
        <v>1918</v>
      </c>
      <c r="R65" s="135" t="s">
        <v>1698</v>
      </c>
      <c r="S65" s="12" t="s">
        <v>15</v>
      </c>
      <c r="T65" s="12" t="s">
        <v>154</v>
      </c>
      <c r="U65" s="450"/>
    </row>
    <row r="66" spans="1:21" x14ac:dyDescent="0.2">
      <c r="A66" s="64" t="str">
        <f t="shared" si="0"/>
        <v>20GALV PRFE</v>
      </c>
      <c r="B66" s="482"/>
      <c r="C66" s="255"/>
      <c r="D66" s="77" t="s">
        <v>712</v>
      </c>
      <c r="E66" s="77" t="s">
        <v>1113</v>
      </c>
      <c r="F66" s="242" t="s">
        <v>27</v>
      </c>
      <c r="G66" s="20" t="s">
        <v>27</v>
      </c>
      <c r="H66" s="563">
        <v>3.9030000000000002E-2</v>
      </c>
      <c r="I66" s="20" t="s">
        <v>1409</v>
      </c>
      <c r="J66" s="12" t="s">
        <v>1404</v>
      </c>
      <c r="K66" s="12" t="s">
        <v>28</v>
      </c>
      <c r="L66" s="65" t="s">
        <v>1960</v>
      </c>
      <c r="M66" s="12" t="s">
        <v>1411</v>
      </c>
      <c r="N66" s="64" t="s">
        <v>1417</v>
      </c>
      <c r="O66" s="12" t="s">
        <v>1109</v>
      </c>
      <c r="P66" s="12" t="s">
        <v>567</v>
      </c>
      <c r="Q66" s="20" t="s">
        <v>265</v>
      </c>
      <c r="R66" s="135" t="s">
        <v>29</v>
      </c>
      <c r="S66" s="12" t="s">
        <v>165</v>
      </c>
      <c r="T66" s="12" t="s">
        <v>1273</v>
      </c>
      <c r="U66" s="450"/>
    </row>
    <row r="67" spans="1:21" x14ac:dyDescent="0.2">
      <c r="A67" s="64" t="str">
        <f t="shared" si="0"/>
        <v>16GALV PRFG</v>
      </c>
      <c r="B67" s="482"/>
      <c r="C67" s="255"/>
      <c r="D67" s="77" t="s">
        <v>712</v>
      </c>
      <c r="E67" s="77" t="s">
        <v>569</v>
      </c>
      <c r="F67" s="20" t="s">
        <v>1115</v>
      </c>
      <c r="G67" s="20" t="s">
        <v>1115</v>
      </c>
      <c r="H67" s="200">
        <v>5.5010000000000003E-2</v>
      </c>
      <c r="I67" s="20" t="s">
        <v>1404</v>
      </c>
      <c r="J67" s="12" t="s">
        <v>16</v>
      </c>
      <c r="K67" s="12" t="s">
        <v>1539</v>
      </c>
      <c r="L67" s="65" t="s">
        <v>1832</v>
      </c>
      <c r="M67" s="12" t="s">
        <v>1411</v>
      </c>
      <c r="N67" s="64" t="s">
        <v>1417</v>
      </c>
      <c r="O67" s="12" t="s">
        <v>978</v>
      </c>
      <c r="P67" s="12" t="s">
        <v>567</v>
      </c>
      <c r="Q67" s="20" t="s">
        <v>1374</v>
      </c>
      <c r="R67" s="20" t="s">
        <v>2073</v>
      </c>
      <c r="S67" s="12" t="s">
        <v>1678</v>
      </c>
      <c r="T67" s="12" t="s">
        <v>150</v>
      </c>
      <c r="U67" s="450"/>
    </row>
    <row r="68" spans="1:21" x14ac:dyDescent="0.2">
      <c r="A68" s="64" t="str">
        <f t="shared" si="0"/>
        <v>18GALV PRFG</v>
      </c>
      <c r="B68" s="482"/>
      <c r="C68" s="255"/>
      <c r="D68" s="77" t="s">
        <v>712</v>
      </c>
      <c r="E68" s="77" t="s">
        <v>1822</v>
      </c>
      <c r="F68" s="20" t="s">
        <v>1116</v>
      </c>
      <c r="G68" s="20" t="s">
        <v>1116</v>
      </c>
      <c r="H68" s="200">
        <v>4.505E-2</v>
      </c>
      <c r="I68" s="20" t="s">
        <v>1404</v>
      </c>
      <c r="J68" s="12" t="s">
        <v>16</v>
      </c>
      <c r="K68" s="12" t="s">
        <v>581</v>
      </c>
      <c r="L68" s="65" t="s">
        <v>1540</v>
      </c>
      <c r="M68" s="12" t="s">
        <v>1411</v>
      </c>
      <c r="N68" s="64" t="s">
        <v>1417</v>
      </c>
      <c r="O68" s="12" t="s">
        <v>1109</v>
      </c>
      <c r="P68" s="12" t="s">
        <v>567</v>
      </c>
      <c r="Q68" s="20" t="s">
        <v>1374</v>
      </c>
      <c r="R68" s="20" t="s">
        <v>979</v>
      </c>
      <c r="S68" s="12" t="s">
        <v>1678</v>
      </c>
      <c r="T68" s="12" t="s">
        <v>150</v>
      </c>
      <c r="U68" s="450"/>
    </row>
    <row r="69" spans="1:21" x14ac:dyDescent="0.2">
      <c r="A69" s="64" t="str">
        <f t="shared" si="0"/>
        <v>20GALV PRFG</v>
      </c>
      <c r="B69" s="482"/>
      <c r="C69" s="255"/>
      <c r="D69" s="77" t="s">
        <v>712</v>
      </c>
      <c r="E69" s="77" t="s">
        <v>1113</v>
      </c>
      <c r="F69" s="20" t="s">
        <v>1118</v>
      </c>
      <c r="G69" s="20" t="s">
        <v>1686</v>
      </c>
      <c r="H69" s="200">
        <v>3.4020000000000002E-2</v>
      </c>
      <c r="I69" s="20" t="s">
        <v>1404</v>
      </c>
      <c r="J69" s="12" t="s">
        <v>16</v>
      </c>
      <c r="K69" s="12" t="s">
        <v>2074</v>
      </c>
      <c r="L69" s="65" t="s">
        <v>445</v>
      </c>
      <c r="M69" s="12" t="s">
        <v>1411</v>
      </c>
      <c r="N69" s="64" t="s">
        <v>1417</v>
      </c>
      <c r="O69" s="12" t="s">
        <v>156</v>
      </c>
      <c r="P69" s="12" t="s">
        <v>567</v>
      </c>
      <c r="Q69" s="20" t="s">
        <v>1374</v>
      </c>
      <c r="R69" s="20" t="s">
        <v>315</v>
      </c>
      <c r="S69" s="12" t="s">
        <v>1678</v>
      </c>
      <c r="T69" s="12" t="s">
        <v>150</v>
      </c>
      <c r="U69" s="450"/>
    </row>
    <row r="70" spans="1:21" x14ac:dyDescent="0.2">
      <c r="A70" s="64" t="str">
        <f t="shared" si="0"/>
        <v>22GALV PRFF</v>
      </c>
      <c r="B70" s="482"/>
      <c r="C70" s="255"/>
      <c r="D70" s="77" t="s">
        <v>712</v>
      </c>
      <c r="E70" s="755">
        <v>22</v>
      </c>
      <c r="F70" s="20" t="s">
        <v>30</v>
      </c>
      <c r="G70" s="20" t="s">
        <v>30</v>
      </c>
      <c r="H70" s="200">
        <v>2.802E-2</v>
      </c>
      <c r="I70" s="20" t="s">
        <v>1409</v>
      </c>
      <c r="J70" s="12" t="s">
        <v>16</v>
      </c>
      <c r="K70" s="12" t="s">
        <v>977</v>
      </c>
      <c r="L70" s="65" t="s">
        <v>166</v>
      </c>
      <c r="M70" s="12" t="s">
        <v>1411</v>
      </c>
      <c r="N70" s="64" t="s">
        <v>1417</v>
      </c>
      <c r="O70" s="12" t="s">
        <v>1819</v>
      </c>
      <c r="P70" s="12" t="s">
        <v>567</v>
      </c>
      <c r="Q70" s="20" t="s">
        <v>802</v>
      </c>
      <c r="R70" s="135" t="s">
        <v>1538</v>
      </c>
      <c r="S70" s="12" t="s">
        <v>1678</v>
      </c>
      <c r="T70" s="12" t="s">
        <v>150</v>
      </c>
      <c r="U70" s="450"/>
    </row>
    <row r="71" spans="1:21" x14ac:dyDescent="0.2">
      <c r="A71" s="64" t="str">
        <f t="shared" si="0"/>
        <v>18GALV PRFH</v>
      </c>
      <c r="B71" s="482"/>
      <c r="C71" s="255"/>
      <c r="D71" s="77" t="s">
        <v>712</v>
      </c>
      <c r="E71" s="77" t="s">
        <v>1822</v>
      </c>
      <c r="F71" s="20" t="s">
        <v>1116</v>
      </c>
      <c r="G71" s="20" t="s">
        <v>1116</v>
      </c>
      <c r="H71" s="200">
        <v>4.3999999999999997E-2</v>
      </c>
      <c r="I71" s="20" t="s">
        <v>1404</v>
      </c>
      <c r="J71" s="12" t="s">
        <v>16</v>
      </c>
      <c r="K71" s="12" t="s">
        <v>31</v>
      </c>
      <c r="L71" s="65" t="s">
        <v>713</v>
      </c>
      <c r="M71" s="12" t="s">
        <v>1411</v>
      </c>
      <c r="N71" s="64" t="s">
        <v>1417</v>
      </c>
      <c r="O71" s="12" t="s">
        <v>1109</v>
      </c>
      <c r="P71" s="12" t="s">
        <v>567</v>
      </c>
      <c r="Q71" s="20" t="s">
        <v>1919</v>
      </c>
      <c r="R71" s="20" t="s">
        <v>1961</v>
      </c>
      <c r="S71" s="12" t="s">
        <v>21</v>
      </c>
      <c r="T71" s="12" t="s">
        <v>1263</v>
      </c>
      <c r="U71" s="450"/>
    </row>
    <row r="72" spans="1:21" x14ac:dyDescent="0.2">
      <c r="A72" s="64" t="str">
        <f t="shared" si="0"/>
        <v>18ALM PRF</v>
      </c>
      <c r="B72" s="482"/>
      <c r="C72" s="255"/>
      <c r="D72" s="77" t="s">
        <v>151</v>
      </c>
      <c r="E72" s="77">
        <v>18</v>
      </c>
      <c r="F72" s="20" t="s">
        <v>573</v>
      </c>
      <c r="G72" s="20" t="s">
        <v>573</v>
      </c>
      <c r="H72" s="200">
        <v>5.0009999999999999E-2</v>
      </c>
      <c r="I72" s="20" t="s">
        <v>1409</v>
      </c>
      <c r="J72" s="12" t="s">
        <v>1404</v>
      </c>
      <c r="K72" s="12" t="s">
        <v>1833</v>
      </c>
      <c r="L72" s="65" t="s">
        <v>1418</v>
      </c>
      <c r="M72" s="12" t="s">
        <v>148</v>
      </c>
      <c r="N72" s="64" t="s">
        <v>167</v>
      </c>
      <c r="O72" s="12" t="s">
        <v>1819</v>
      </c>
      <c r="P72" s="12" t="s">
        <v>567</v>
      </c>
      <c r="Q72" s="20" t="s">
        <v>1067</v>
      </c>
      <c r="R72" s="135" t="s">
        <v>980</v>
      </c>
      <c r="S72" s="12" t="s">
        <v>17</v>
      </c>
      <c r="T72" s="12" t="s">
        <v>168</v>
      </c>
      <c r="U72" s="450"/>
    </row>
    <row r="73" spans="1:21" x14ac:dyDescent="0.2">
      <c r="A73" s="64" t="str">
        <f t="shared" si="0"/>
        <v>18ALM PRFA</v>
      </c>
      <c r="B73" s="482"/>
      <c r="C73" s="255"/>
      <c r="D73" s="77" t="s">
        <v>151</v>
      </c>
      <c r="E73" s="77" t="s">
        <v>1822</v>
      </c>
      <c r="F73" s="20" t="s">
        <v>573</v>
      </c>
      <c r="G73" s="20" t="s">
        <v>573</v>
      </c>
      <c r="H73" s="200">
        <v>5.0020000000000002E-2</v>
      </c>
      <c r="I73" s="20" t="s">
        <v>1404</v>
      </c>
      <c r="J73" s="12" t="s">
        <v>16</v>
      </c>
      <c r="K73" s="199" t="s">
        <v>1682</v>
      </c>
      <c r="L73" s="410" t="s">
        <v>833</v>
      </c>
      <c r="M73" s="12" t="s">
        <v>148</v>
      </c>
      <c r="N73" s="64" t="s">
        <v>1404</v>
      </c>
      <c r="O73" s="12" t="s">
        <v>1107</v>
      </c>
      <c r="P73" s="12" t="s">
        <v>567</v>
      </c>
      <c r="Q73" s="20" t="s">
        <v>1492</v>
      </c>
      <c r="R73" s="20" t="s">
        <v>1531</v>
      </c>
      <c r="S73" s="12" t="s">
        <v>1678</v>
      </c>
      <c r="T73" s="12" t="s">
        <v>150</v>
      </c>
      <c r="U73" s="450"/>
    </row>
    <row r="74" spans="1:21" x14ac:dyDescent="0.2">
      <c r="A74" s="64" t="str">
        <f t="shared" si="0"/>
        <v>16ALM PRFA</v>
      </c>
      <c r="B74" s="482"/>
      <c r="C74" s="255"/>
      <c r="D74" s="77" t="s">
        <v>151</v>
      </c>
      <c r="E74" s="77" t="s">
        <v>569</v>
      </c>
      <c r="F74" s="20" t="s">
        <v>1681</v>
      </c>
      <c r="G74" s="20" t="s">
        <v>1681</v>
      </c>
      <c r="H74" s="200">
        <v>6.3020000000000007E-2</v>
      </c>
      <c r="I74" s="20" t="s">
        <v>1404</v>
      </c>
      <c r="J74" s="12" t="s">
        <v>16</v>
      </c>
      <c r="K74" s="12" t="s">
        <v>700</v>
      </c>
      <c r="L74" s="65" t="s">
        <v>1111</v>
      </c>
      <c r="M74" s="12" t="s">
        <v>148</v>
      </c>
      <c r="N74" s="12" t="s">
        <v>1404</v>
      </c>
      <c r="O74" s="12" t="s">
        <v>1107</v>
      </c>
      <c r="P74" s="12" t="s">
        <v>567</v>
      </c>
      <c r="Q74" s="20" t="s">
        <v>1492</v>
      </c>
      <c r="R74" s="20" t="s">
        <v>434</v>
      </c>
      <c r="S74" s="12" t="s">
        <v>1678</v>
      </c>
      <c r="T74" s="12" t="s">
        <v>150</v>
      </c>
      <c r="U74" s="450"/>
    </row>
    <row r="75" spans="1:21" x14ac:dyDescent="0.2">
      <c r="A75" s="64" t="str">
        <f t="shared" si="0"/>
        <v>14ALM PRFA</v>
      </c>
      <c r="B75" s="482"/>
      <c r="C75" s="255"/>
      <c r="D75" s="77" t="s">
        <v>151</v>
      </c>
      <c r="E75" s="77" t="s">
        <v>1680</v>
      </c>
      <c r="F75" s="20" t="s">
        <v>1110</v>
      </c>
      <c r="G75" s="20" t="s">
        <v>1110</v>
      </c>
      <c r="H75" s="200">
        <v>8.0030000000000004E-2</v>
      </c>
      <c r="I75" s="20" t="s">
        <v>1404</v>
      </c>
      <c r="J75" s="12" t="s">
        <v>16</v>
      </c>
      <c r="K75" s="12" t="s">
        <v>152</v>
      </c>
      <c r="L75" s="65" t="s">
        <v>1262</v>
      </c>
      <c r="M75" s="12" t="s">
        <v>148</v>
      </c>
      <c r="N75" s="12" t="s">
        <v>1404</v>
      </c>
      <c r="O75" s="12" t="s">
        <v>1107</v>
      </c>
      <c r="P75" s="12" t="s">
        <v>567</v>
      </c>
      <c r="Q75" s="20" t="s">
        <v>1492</v>
      </c>
      <c r="R75" s="20" t="s">
        <v>2063</v>
      </c>
      <c r="S75" s="12" t="s">
        <v>1678</v>
      </c>
      <c r="T75" s="12" t="s">
        <v>150</v>
      </c>
      <c r="U75" s="450"/>
    </row>
    <row r="76" spans="1:21" x14ac:dyDescent="0.2">
      <c r="A76" s="64" t="str">
        <f t="shared" si="0"/>
        <v>14ALM PRFB</v>
      </c>
      <c r="B76" s="482"/>
      <c r="C76" s="255"/>
      <c r="D76" s="77" t="s">
        <v>151</v>
      </c>
      <c r="E76" s="77" t="s">
        <v>1680</v>
      </c>
      <c r="F76" s="20" t="s">
        <v>1110</v>
      </c>
      <c r="G76" s="20" t="s">
        <v>1110</v>
      </c>
      <c r="H76" s="200">
        <v>8.004E-2</v>
      </c>
      <c r="I76" s="20" t="s">
        <v>1404</v>
      </c>
      <c r="J76" s="12" t="s">
        <v>16</v>
      </c>
      <c r="K76" s="12" t="s">
        <v>2064</v>
      </c>
      <c r="L76" s="65" t="s">
        <v>20</v>
      </c>
      <c r="M76" s="12" t="s">
        <v>148</v>
      </c>
      <c r="N76" s="12" t="s">
        <v>1404</v>
      </c>
      <c r="O76" s="12" t="s">
        <v>1107</v>
      </c>
      <c r="P76" s="12" t="s">
        <v>567</v>
      </c>
      <c r="Q76" s="20" t="s">
        <v>2035</v>
      </c>
      <c r="R76" s="20" t="s">
        <v>433</v>
      </c>
      <c r="S76" s="12" t="s">
        <v>21</v>
      </c>
      <c r="T76" s="12" t="s">
        <v>1263</v>
      </c>
      <c r="U76" s="450"/>
    </row>
    <row r="77" spans="1:21" x14ac:dyDescent="0.2">
      <c r="A77" s="64" t="str">
        <f t="shared" si="0"/>
        <v>16SST304PA</v>
      </c>
      <c r="B77" s="482"/>
      <c r="C77" s="255"/>
      <c r="D77" s="77" t="s">
        <v>591</v>
      </c>
      <c r="E77" s="77" t="s">
        <v>569</v>
      </c>
      <c r="F77" s="20" t="s">
        <v>19</v>
      </c>
      <c r="G77" s="20" t="s">
        <v>19</v>
      </c>
      <c r="H77" s="200">
        <v>6.0040000000000003E-2</v>
      </c>
      <c r="I77" s="20" t="s">
        <v>1404</v>
      </c>
      <c r="J77" s="12" t="s">
        <v>16</v>
      </c>
      <c r="K77" s="12" t="s">
        <v>1847</v>
      </c>
      <c r="L77" s="65" t="s">
        <v>1546</v>
      </c>
      <c r="M77" s="12" t="s">
        <v>1706</v>
      </c>
      <c r="N77" s="64" t="s">
        <v>1422</v>
      </c>
      <c r="O77" s="12" t="s">
        <v>1819</v>
      </c>
      <c r="P77" s="12" t="s">
        <v>567</v>
      </c>
      <c r="Q77" s="20" t="s">
        <v>1277</v>
      </c>
      <c r="R77" s="20" t="s">
        <v>2078</v>
      </c>
      <c r="S77" s="12" t="s">
        <v>1678</v>
      </c>
      <c r="T77" s="12" t="s">
        <v>150</v>
      </c>
      <c r="U77" s="450"/>
    </row>
    <row r="78" spans="1:21" x14ac:dyDescent="0.2">
      <c r="A78" s="64" t="str">
        <f t="shared" si="0"/>
        <v>18SST304PA</v>
      </c>
      <c r="B78" s="482"/>
      <c r="C78" s="205"/>
      <c r="D78" s="77" t="s">
        <v>591</v>
      </c>
      <c r="E78" s="77" t="s">
        <v>1822</v>
      </c>
      <c r="F78" s="20" t="s">
        <v>1128</v>
      </c>
      <c r="G78" s="20" t="s">
        <v>1128</v>
      </c>
      <c r="H78" s="200">
        <v>4.8030000000000003E-2</v>
      </c>
      <c r="I78" s="20" t="s">
        <v>1404</v>
      </c>
      <c r="J78" s="12" t="s">
        <v>16</v>
      </c>
      <c r="K78" s="12" t="s">
        <v>723</v>
      </c>
      <c r="L78" s="65" t="s">
        <v>1133</v>
      </c>
      <c r="M78" s="12" t="s">
        <v>1706</v>
      </c>
      <c r="N78" s="64" t="s">
        <v>1422</v>
      </c>
      <c r="O78" s="12" t="s">
        <v>1819</v>
      </c>
      <c r="P78" s="12" t="s">
        <v>567</v>
      </c>
      <c r="Q78" s="20" t="s">
        <v>1277</v>
      </c>
      <c r="R78" s="20" t="s">
        <v>592</v>
      </c>
      <c r="S78" s="12" t="s">
        <v>1678</v>
      </c>
      <c r="T78" s="12" t="s">
        <v>150</v>
      </c>
      <c r="U78" s="450"/>
    </row>
    <row r="79" spans="1:21" x14ac:dyDescent="0.2">
      <c r="A79" s="64" t="str">
        <f t="shared" si="0"/>
        <v>20SST304PA</v>
      </c>
      <c r="B79" s="482"/>
      <c r="C79" s="205"/>
      <c r="D79" s="77" t="s">
        <v>591</v>
      </c>
      <c r="E79" s="77" t="s">
        <v>1113</v>
      </c>
      <c r="F79" s="20" t="s">
        <v>38</v>
      </c>
      <c r="G79" s="20" t="s">
        <v>38</v>
      </c>
      <c r="H79" s="200">
        <v>3.5029999999999999E-2</v>
      </c>
      <c r="I79" s="20" t="s">
        <v>1404</v>
      </c>
      <c r="J79" s="20" t="s">
        <v>16</v>
      </c>
      <c r="K79" s="20" t="s">
        <v>39</v>
      </c>
      <c r="L79" s="77" t="s">
        <v>40</v>
      </c>
      <c r="M79" s="20" t="s">
        <v>1706</v>
      </c>
      <c r="N79" s="64" t="s">
        <v>1422</v>
      </c>
      <c r="O79" s="20" t="s">
        <v>1819</v>
      </c>
      <c r="P79" s="20" t="s">
        <v>567</v>
      </c>
      <c r="Q79" s="20" t="s">
        <v>1277</v>
      </c>
      <c r="R79" s="20" t="s">
        <v>593</v>
      </c>
      <c r="S79" s="20" t="s">
        <v>1678</v>
      </c>
      <c r="T79" s="20" t="s">
        <v>150</v>
      </c>
      <c r="U79" s="450"/>
    </row>
    <row r="80" spans="1:21" x14ac:dyDescent="0.2">
      <c r="A80" s="64" t="str">
        <f t="shared" si="0"/>
        <v>16SST304PC</v>
      </c>
      <c r="B80" s="482"/>
      <c r="C80" s="205"/>
      <c r="D80" s="77" t="s">
        <v>591</v>
      </c>
      <c r="E80" s="65" t="s">
        <v>569</v>
      </c>
      <c r="F80" s="12" t="s">
        <v>19</v>
      </c>
      <c r="G80" s="12" t="s">
        <v>19</v>
      </c>
      <c r="H80" s="161">
        <v>6.0049999999999999E-2</v>
      </c>
      <c r="I80" s="12" t="s">
        <v>1404</v>
      </c>
      <c r="J80" s="12" t="s">
        <v>16</v>
      </c>
      <c r="K80" s="12" t="s">
        <v>1427</v>
      </c>
      <c r="L80" s="65" t="s">
        <v>1848</v>
      </c>
      <c r="M80" s="12" t="s">
        <v>1706</v>
      </c>
      <c r="N80" s="64" t="s">
        <v>1422</v>
      </c>
      <c r="O80" s="20" t="s">
        <v>1819</v>
      </c>
      <c r="P80" s="12" t="s">
        <v>567</v>
      </c>
      <c r="Q80" s="20" t="s">
        <v>175</v>
      </c>
      <c r="R80" s="12" t="s">
        <v>454</v>
      </c>
      <c r="S80" s="12" t="s">
        <v>150</v>
      </c>
      <c r="T80" s="12" t="s">
        <v>176</v>
      </c>
      <c r="U80" s="450"/>
    </row>
    <row r="81" spans="1:21" ht="13.5" thickBot="1" x14ac:dyDescent="0.25">
      <c r="A81" s="179" t="str">
        <f t="shared" si="0"/>
        <v>18SST304PB</v>
      </c>
      <c r="B81" s="482"/>
      <c r="C81" s="205"/>
      <c r="D81" s="119" t="s">
        <v>591</v>
      </c>
      <c r="E81" s="119" t="s">
        <v>1822</v>
      </c>
      <c r="F81" s="28" t="s">
        <v>1128</v>
      </c>
      <c r="G81" s="28" t="s">
        <v>1128</v>
      </c>
      <c r="H81" s="281">
        <v>4.8039999999999999E-2</v>
      </c>
      <c r="I81" s="28" t="s">
        <v>1404</v>
      </c>
      <c r="J81" s="28" t="s">
        <v>16</v>
      </c>
      <c r="K81" s="28" t="s">
        <v>177</v>
      </c>
      <c r="L81" s="119" t="s">
        <v>1134</v>
      </c>
      <c r="M81" s="28" t="s">
        <v>1706</v>
      </c>
      <c r="N81" s="179" t="s">
        <v>1422</v>
      </c>
      <c r="O81" s="28" t="s">
        <v>1819</v>
      </c>
      <c r="P81" s="28" t="s">
        <v>567</v>
      </c>
      <c r="Q81" s="28" t="s">
        <v>1849</v>
      </c>
      <c r="R81" s="28" t="s">
        <v>1278</v>
      </c>
      <c r="S81" s="28" t="s">
        <v>21</v>
      </c>
      <c r="T81" s="28" t="s">
        <v>1263</v>
      </c>
      <c r="U81" s="450"/>
    </row>
    <row r="82" spans="1:21" ht="17.25" customHeight="1" thickTop="1" thickBot="1" x14ac:dyDescent="0.25">
      <c r="A82" s="229" t="str">
        <f t="shared" si="0"/>
        <v/>
      </c>
      <c r="B82" s="482"/>
      <c r="C82" s="224"/>
      <c r="D82" s="17"/>
      <c r="E82" s="17"/>
      <c r="F82" s="17"/>
      <c r="G82" s="17"/>
      <c r="H82" s="17"/>
      <c r="I82" s="17"/>
      <c r="J82" s="17"/>
      <c r="K82" s="17"/>
      <c r="L82" s="17"/>
      <c r="M82" s="51"/>
      <c r="N82" s="51"/>
      <c r="O82" s="51"/>
      <c r="P82" s="51"/>
      <c r="Q82" s="51"/>
      <c r="R82" s="51"/>
      <c r="S82" s="51"/>
      <c r="T82" s="380"/>
      <c r="U82" s="450"/>
    </row>
    <row r="83" spans="1:21" ht="17.25" customHeight="1" thickTop="1" thickBot="1" x14ac:dyDescent="0.25">
      <c r="A83" s="229" t="str">
        <f t="shared" si="0"/>
        <v/>
      </c>
      <c r="B83" s="482"/>
      <c r="C83" s="283" t="s">
        <v>803</v>
      </c>
      <c r="D83" s="15"/>
      <c r="E83" s="15"/>
      <c r="F83" s="15"/>
      <c r="G83" s="15"/>
      <c r="H83" s="15"/>
      <c r="I83" s="15"/>
      <c r="J83" s="15"/>
      <c r="K83" s="15"/>
      <c r="L83" s="15"/>
      <c r="M83" s="23"/>
      <c r="N83" s="23"/>
      <c r="O83" s="23"/>
      <c r="P83" s="23"/>
      <c r="Q83" s="23"/>
      <c r="R83" s="23"/>
      <c r="S83" s="23"/>
      <c r="T83" s="23"/>
      <c r="U83" s="450"/>
    </row>
    <row r="84" spans="1:21" ht="13.5" thickTop="1" x14ac:dyDescent="0.2">
      <c r="A84" s="182" t="str">
        <f t="shared" si="0"/>
        <v>9GALV EXPA</v>
      </c>
      <c r="B84" s="482"/>
      <c r="C84" s="205"/>
      <c r="D84" s="140" t="s">
        <v>839</v>
      </c>
      <c r="E84" s="140" t="s">
        <v>1541</v>
      </c>
      <c r="F84" s="46" t="s">
        <v>1121</v>
      </c>
      <c r="G84" s="46" t="s">
        <v>1121</v>
      </c>
      <c r="H84" s="264">
        <v>0.14602000000000001</v>
      </c>
      <c r="I84" s="46" t="s">
        <v>1409</v>
      </c>
      <c r="J84" s="46" t="s">
        <v>1404</v>
      </c>
      <c r="K84" s="46" t="s">
        <v>715</v>
      </c>
      <c r="L84" s="140" t="s">
        <v>1274</v>
      </c>
      <c r="M84" s="46" t="s">
        <v>1411</v>
      </c>
      <c r="N84" s="182" t="s">
        <v>32</v>
      </c>
      <c r="O84" s="46" t="s">
        <v>2067</v>
      </c>
      <c r="P84" s="46" t="s">
        <v>567</v>
      </c>
      <c r="Q84" s="46" t="s">
        <v>1068</v>
      </c>
      <c r="R84" s="182" t="s">
        <v>33</v>
      </c>
      <c r="S84" s="46" t="s">
        <v>1699</v>
      </c>
      <c r="T84" s="46" t="s">
        <v>1951</v>
      </c>
      <c r="U84" s="450"/>
    </row>
    <row r="85" spans="1:21" x14ac:dyDescent="0.2">
      <c r="A85" s="64" t="str">
        <f t="shared" si="0"/>
        <v>9GALV EXPB</v>
      </c>
      <c r="B85" s="482"/>
      <c r="C85" s="205"/>
      <c r="D85" s="77" t="s">
        <v>839</v>
      </c>
      <c r="E85" s="77" t="s">
        <v>1541</v>
      </c>
      <c r="F85" s="20" t="s">
        <v>1121</v>
      </c>
      <c r="G85" s="20" t="s">
        <v>1121</v>
      </c>
      <c r="H85" s="161">
        <v>0.14601</v>
      </c>
      <c r="I85" s="20" t="s">
        <v>1409</v>
      </c>
      <c r="J85" s="20" t="s">
        <v>1404</v>
      </c>
      <c r="K85" s="20" t="s">
        <v>1542</v>
      </c>
      <c r="L85" s="77" t="s">
        <v>1836</v>
      </c>
      <c r="M85" s="20" t="s">
        <v>1411</v>
      </c>
      <c r="N85" s="135" t="s">
        <v>32</v>
      </c>
      <c r="O85" s="20" t="s">
        <v>2067</v>
      </c>
      <c r="P85" s="20" t="s">
        <v>567</v>
      </c>
      <c r="Q85" s="20" t="s">
        <v>1643</v>
      </c>
      <c r="R85" s="135" t="s">
        <v>584</v>
      </c>
      <c r="S85" s="20" t="s">
        <v>446</v>
      </c>
      <c r="T85" s="20" t="s">
        <v>1951</v>
      </c>
      <c r="U85" s="450"/>
    </row>
    <row r="86" spans="1:21" x14ac:dyDescent="0.2">
      <c r="A86" s="64" t="str">
        <f t="shared" si="0"/>
        <v>9GALV EXPBY</v>
      </c>
      <c r="B86" s="482"/>
      <c r="C86" s="205"/>
      <c r="D86" s="77" t="s">
        <v>839</v>
      </c>
      <c r="E86" s="65" t="s">
        <v>1541</v>
      </c>
      <c r="F86" s="12" t="s">
        <v>1121</v>
      </c>
      <c r="G86" s="12" t="s">
        <v>1121</v>
      </c>
      <c r="H86" s="200">
        <v>0.14604</v>
      </c>
      <c r="I86" s="12" t="s">
        <v>1404</v>
      </c>
      <c r="J86" s="12" t="s">
        <v>16</v>
      </c>
      <c r="K86" s="12" t="s">
        <v>447</v>
      </c>
      <c r="L86" s="65" t="s">
        <v>983</v>
      </c>
      <c r="M86" s="12" t="s">
        <v>1411</v>
      </c>
      <c r="N86" s="64" t="s">
        <v>32</v>
      </c>
      <c r="O86" s="12" t="s">
        <v>448</v>
      </c>
      <c r="P86" s="12" t="s">
        <v>567</v>
      </c>
      <c r="Q86" s="12" t="s">
        <v>661</v>
      </c>
      <c r="R86" s="64" t="s">
        <v>1122</v>
      </c>
      <c r="S86" s="12" t="s">
        <v>446</v>
      </c>
      <c r="T86" s="12" t="s">
        <v>1951</v>
      </c>
      <c r="U86" s="450"/>
    </row>
    <row r="87" spans="1:21" x14ac:dyDescent="0.2">
      <c r="A87" s="64" t="str">
        <f t="shared" si="0"/>
        <v>11GALV EXPA</v>
      </c>
      <c r="B87" s="482"/>
      <c r="C87" s="255"/>
      <c r="D87" s="77" t="s">
        <v>839</v>
      </c>
      <c r="E87" s="65" t="s">
        <v>18</v>
      </c>
      <c r="F87" s="12" t="s">
        <v>982</v>
      </c>
      <c r="G87" s="12" t="s">
        <v>982</v>
      </c>
      <c r="H87" s="161">
        <v>0.12001000000000001</v>
      </c>
      <c r="I87" s="12" t="s">
        <v>1404</v>
      </c>
      <c r="J87" s="12" t="s">
        <v>16</v>
      </c>
      <c r="K87" s="12" t="s">
        <v>582</v>
      </c>
      <c r="L87" s="65" t="s">
        <v>317</v>
      </c>
      <c r="M87" s="12" t="s">
        <v>1411</v>
      </c>
      <c r="N87" s="64" t="s">
        <v>32</v>
      </c>
      <c r="O87" s="12" t="s">
        <v>2067</v>
      </c>
      <c r="P87" s="12" t="s">
        <v>567</v>
      </c>
      <c r="Q87" s="12" t="s">
        <v>1068</v>
      </c>
      <c r="R87" s="64" t="s">
        <v>583</v>
      </c>
      <c r="S87" s="12" t="s">
        <v>1699</v>
      </c>
      <c r="T87" s="12" t="s">
        <v>1951</v>
      </c>
      <c r="U87" s="450"/>
    </row>
    <row r="88" spans="1:21" x14ac:dyDescent="0.2">
      <c r="A88" s="64" t="str">
        <f t="shared" si="0"/>
        <v>16ALM EXP</v>
      </c>
      <c r="B88" s="482"/>
      <c r="C88" s="255"/>
      <c r="D88" s="77" t="s">
        <v>568</v>
      </c>
      <c r="E88" s="65" t="s">
        <v>569</v>
      </c>
      <c r="F88" s="12" t="s">
        <v>19</v>
      </c>
      <c r="G88" s="12" t="s">
        <v>19</v>
      </c>
      <c r="H88" s="161">
        <v>6.0060000000000002E-2</v>
      </c>
      <c r="I88" s="12" t="s">
        <v>1409</v>
      </c>
      <c r="J88" s="12" t="s">
        <v>1404</v>
      </c>
      <c r="K88" s="12" t="s">
        <v>570</v>
      </c>
      <c r="L88" s="65" t="s">
        <v>571</v>
      </c>
      <c r="M88" s="12" t="s">
        <v>148</v>
      </c>
      <c r="N88" s="64" t="s">
        <v>1404</v>
      </c>
      <c r="O88" s="12" t="s">
        <v>1109</v>
      </c>
      <c r="P88" s="12" t="s">
        <v>567</v>
      </c>
      <c r="Q88" s="12" t="s">
        <v>266</v>
      </c>
      <c r="R88" s="64" t="s">
        <v>1821</v>
      </c>
      <c r="S88" s="12" t="s">
        <v>572</v>
      </c>
      <c r="T88" s="12" t="s">
        <v>1951</v>
      </c>
      <c r="U88" s="450"/>
    </row>
    <row r="89" spans="1:21" x14ac:dyDescent="0.2">
      <c r="A89" s="64" t="str">
        <f t="shared" si="0"/>
        <v>9SST304E</v>
      </c>
      <c r="B89" s="482"/>
      <c r="C89" s="255"/>
      <c r="D89" s="77" t="s">
        <v>1710</v>
      </c>
      <c r="E89" s="65" t="s">
        <v>1541</v>
      </c>
      <c r="F89" s="12" t="s">
        <v>1121</v>
      </c>
      <c r="G89" s="12" t="s">
        <v>1121</v>
      </c>
      <c r="H89" s="161">
        <v>0.14602999999999999</v>
      </c>
      <c r="I89" s="12" t="s">
        <v>1404</v>
      </c>
      <c r="J89" s="12" t="s">
        <v>16</v>
      </c>
      <c r="K89" s="12" t="s">
        <v>181</v>
      </c>
      <c r="L89" s="65" t="s">
        <v>846</v>
      </c>
      <c r="M89" s="199">
        <v>304</v>
      </c>
      <c r="N89" s="64" t="s">
        <v>1422</v>
      </c>
      <c r="O89" s="12" t="s">
        <v>448</v>
      </c>
      <c r="P89" s="12" t="s">
        <v>567</v>
      </c>
      <c r="Q89" s="12" t="s">
        <v>321</v>
      </c>
      <c r="R89" s="64" t="s">
        <v>455</v>
      </c>
      <c r="S89" s="12" t="s">
        <v>446</v>
      </c>
      <c r="T89" s="12" t="s">
        <v>1951</v>
      </c>
      <c r="U89" s="450"/>
    </row>
    <row r="90" spans="1:21" x14ac:dyDescent="0.2">
      <c r="A90" s="64" t="str">
        <f t="shared" si="0"/>
        <v>11SST304E</v>
      </c>
      <c r="B90" s="482"/>
      <c r="C90" s="255"/>
      <c r="D90" s="77" t="s">
        <v>1710</v>
      </c>
      <c r="E90" s="65" t="s">
        <v>18</v>
      </c>
      <c r="F90" s="12" t="s">
        <v>982</v>
      </c>
      <c r="G90" s="12" t="s">
        <v>982</v>
      </c>
      <c r="H90" s="161">
        <v>0.12002</v>
      </c>
      <c r="I90" s="12" t="s">
        <v>1404</v>
      </c>
      <c r="J90" s="12" t="s">
        <v>16</v>
      </c>
      <c r="K90" s="12" t="s">
        <v>1425</v>
      </c>
      <c r="L90" s="65" t="s">
        <v>1545</v>
      </c>
      <c r="M90" s="12" t="s">
        <v>1706</v>
      </c>
      <c r="N90" s="64" t="s">
        <v>1422</v>
      </c>
      <c r="O90" s="12" t="s">
        <v>1819</v>
      </c>
      <c r="P90" s="12" t="s">
        <v>567</v>
      </c>
      <c r="Q90" s="12" t="s">
        <v>321</v>
      </c>
      <c r="R90" s="12" t="s">
        <v>1426</v>
      </c>
      <c r="S90" s="12" t="s">
        <v>1699</v>
      </c>
      <c r="T90" s="12" t="s">
        <v>1951</v>
      </c>
      <c r="U90" s="450"/>
    </row>
    <row r="91" spans="1:21" x14ac:dyDescent="0.2">
      <c r="A91" s="64" t="str">
        <f t="shared" si="0"/>
        <v>20ALM EMB</v>
      </c>
      <c r="B91" s="482"/>
      <c r="C91" s="255"/>
      <c r="D91" s="65" t="s">
        <v>1714</v>
      </c>
      <c r="E91" s="65" t="s">
        <v>1113</v>
      </c>
      <c r="F91" s="12" t="s">
        <v>1114</v>
      </c>
      <c r="G91" s="12" t="s">
        <v>1114</v>
      </c>
      <c r="H91" s="161">
        <v>4.002E-2</v>
      </c>
      <c r="I91" s="12" t="s">
        <v>1404</v>
      </c>
      <c r="J91" s="12" t="s">
        <v>16</v>
      </c>
      <c r="K91" s="12" t="s">
        <v>729</v>
      </c>
      <c r="L91" s="65" t="s">
        <v>1137</v>
      </c>
      <c r="M91" s="12" t="s">
        <v>148</v>
      </c>
      <c r="N91" s="64" t="s">
        <v>598</v>
      </c>
      <c r="O91" s="12" t="s">
        <v>1107</v>
      </c>
      <c r="P91" s="12" t="s">
        <v>567</v>
      </c>
      <c r="Q91" s="12" t="s">
        <v>267</v>
      </c>
      <c r="R91" s="12" t="s">
        <v>1853</v>
      </c>
      <c r="S91" s="12" t="s">
        <v>1549</v>
      </c>
      <c r="T91" s="12" t="s">
        <v>1947</v>
      </c>
      <c r="U91" s="450"/>
    </row>
    <row r="92" spans="1:21" x14ac:dyDescent="0.2">
      <c r="A92" s="64" t="str">
        <f t="shared" si="0"/>
        <v>14ALM EMB</v>
      </c>
      <c r="B92" s="482"/>
      <c r="C92" s="205"/>
      <c r="D92" s="65" t="s">
        <v>1714</v>
      </c>
      <c r="E92" s="65" t="s">
        <v>1680</v>
      </c>
      <c r="F92" s="12" t="s">
        <v>1110</v>
      </c>
      <c r="G92" s="12" t="s">
        <v>1110</v>
      </c>
      <c r="H92" s="161">
        <v>8.0019999999999994E-2</v>
      </c>
      <c r="I92" s="12" t="s">
        <v>1404</v>
      </c>
      <c r="J92" s="12" t="s">
        <v>16</v>
      </c>
      <c r="K92" s="199" t="s">
        <v>458</v>
      </c>
      <c r="L92" s="410" t="s">
        <v>848</v>
      </c>
      <c r="M92" s="199" t="s">
        <v>148</v>
      </c>
      <c r="N92" s="64" t="s">
        <v>598</v>
      </c>
      <c r="O92" s="12" t="s">
        <v>1107</v>
      </c>
      <c r="P92" s="12" t="s">
        <v>567</v>
      </c>
      <c r="Q92" s="12" t="s">
        <v>267</v>
      </c>
      <c r="R92" s="12" t="s">
        <v>1852</v>
      </c>
      <c r="S92" s="12" t="s">
        <v>1549</v>
      </c>
      <c r="T92" s="12" t="s">
        <v>1947</v>
      </c>
      <c r="U92" s="450"/>
    </row>
    <row r="93" spans="1:21" x14ac:dyDescent="0.2">
      <c r="A93" s="64" t="str">
        <f t="shared" si="0"/>
        <v>1SST304G</v>
      </c>
      <c r="B93" s="482"/>
      <c r="C93" s="205"/>
      <c r="D93" s="77" t="s">
        <v>699</v>
      </c>
      <c r="E93" s="77" t="s">
        <v>1410</v>
      </c>
      <c r="F93" s="20" t="s">
        <v>1530</v>
      </c>
      <c r="G93" s="20" t="s">
        <v>1530</v>
      </c>
      <c r="H93" s="200">
        <v>1.0000199999999999</v>
      </c>
      <c r="I93" s="20" t="s">
        <v>1404</v>
      </c>
      <c r="J93" s="20" t="s">
        <v>16</v>
      </c>
      <c r="K93" s="433" t="s">
        <v>1130</v>
      </c>
      <c r="L93" s="77" t="s">
        <v>843</v>
      </c>
      <c r="M93" s="20" t="s">
        <v>1706</v>
      </c>
      <c r="N93" s="433" t="s">
        <v>1422</v>
      </c>
      <c r="O93" s="20" t="s">
        <v>432</v>
      </c>
      <c r="P93" s="20" t="s">
        <v>567</v>
      </c>
      <c r="Q93" s="20" t="s">
        <v>1424</v>
      </c>
      <c r="R93" s="135" t="s">
        <v>1276</v>
      </c>
      <c r="S93" s="135" t="s">
        <v>1843</v>
      </c>
      <c r="T93" s="135" t="s">
        <v>1947</v>
      </c>
      <c r="U93" s="450"/>
    </row>
    <row r="94" spans="1:21" x14ac:dyDescent="0.2">
      <c r="A94" s="64" t="str">
        <f t="shared" si="0"/>
        <v>1ALM GRATE</v>
      </c>
      <c r="B94" s="482"/>
      <c r="C94" s="205"/>
      <c r="D94" s="65" t="s">
        <v>699</v>
      </c>
      <c r="E94" s="65" t="s">
        <v>1410</v>
      </c>
      <c r="F94" s="12" t="s">
        <v>1530</v>
      </c>
      <c r="G94" s="12" t="s">
        <v>1530</v>
      </c>
      <c r="H94" s="161">
        <v>1.00003</v>
      </c>
      <c r="I94" s="12" t="s">
        <v>1404</v>
      </c>
      <c r="J94" s="12" t="s">
        <v>16</v>
      </c>
      <c r="K94" s="12" t="s">
        <v>970</v>
      </c>
      <c r="L94" s="65" t="s">
        <v>2062</v>
      </c>
      <c r="M94" s="12" t="s">
        <v>148</v>
      </c>
      <c r="N94" s="135" t="s">
        <v>1404</v>
      </c>
      <c r="O94" s="20" t="s">
        <v>432</v>
      </c>
      <c r="P94" s="20" t="s">
        <v>567</v>
      </c>
      <c r="Q94" s="12" t="s">
        <v>933</v>
      </c>
      <c r="R94" s="64" t="s">
        <v>1261</v>
      </c>
      <c r="S94" s="12" t="s">
        <v>832</v>
      </c>
      <c r="T94" s="12" t="s">
        <v>1947</v>
      </c>
      <c r="U94" s="450"/>
    </row>
    <row r="95" spans="1:21" x14ac:dyDescent="0.2">
      <c r="A95" s="64" t="str">
        <f t="shared" si="0"/>
        <v>1GALV GRATE</v>
      </c>
      <c r="B95" s="482"/>
      <c r="C95" s="205"/>
      <c r="D95" s="65" t="s">
        <v>699</v>
      </c>
      <c r="E95" s="65" t="s">
        <v>1410</v>
      </c>
      <c r="F95" s="12" t="s">
        <v>1530</v>
      </c>
      <c r="G95" s="12" t="s">
        <v>1530</v>
      </c>
      <c r="H95" s="161">
        <v>1.0000100000000001</v>
      </c>
      <c r="I95" s="12" t="s">
        <v>1404</v>
      </c>
      <c r="J95" s="12" t="s">
        <v>16</v>
      </c>
      <c r="K95" s="12" t="s">
        <v>711</v>
      </c>
      <c r="L95" s="65" t="s">
        <v>160</v>
      </c>
      <c r="M95" s="12" t="s">
        <v>1411</v>
      </c>
      <c r="N95" s="64" t="s">
        <v>1830</v>
      </c>
      <c r="O95" s="12" t="s">
        <v>432</v>
      </c>
      <c r="P95" s="12" t="s">
        <v>567</v>
      </c>
      <c r="Q95" s="12" t="s">
        <v>1221</v>
      </c>
      <c r="R95" s="64" t="s">
        <v>579</v>
      </c>
      <c r="S95" s="12" t="s">
        <v>1831</v>
      </c>
      <c r="T95" s="12" t="s">
        <v>1947</v>
      </c>
      <c r="U95" s="450"/>
    </row>
    <row r="96" spans="1:21" ht="18" customHeight="1" thickBot="1" x14ac:dyDescent="0.25">
      <c r="A96" s="179" t="str">
        <f t="shared" si="0"/>
        <v>19GALV CLOTH</v>
      </c>
      <c r="B96" s="482"/>
      <c r="C96" s="205"/>
      <c r="D96" s="119" t="s">
        <v>1069</v>
      </c>
      <c r="E96" s="119" t="s">
        <v>268</v>
      </c>
      <c r="F96" s="28" t="s">
        <v>662</v>
      </c>
      <c r="G96" s="28" t="s">
        <v>662</v>
      </c>
      <c r="H96" s="281">
        <v>4.0030000000000003E-2</v>
      </c>
      <c r="I96" s="28" t="s">
        <v>1404</v>
      </c>
      <c r="J96" s="28" t="s">
        <v>16</v>
      </c>
      <c r="K96" s="28" t="s">
        <v>2168</v>
      </c>
      <c r="L96" s="119" t="s">
        <v>1644</v>
      </c>
      <c r="M96" s="28" t="s">
        <v>1411</v>
      </c>
      <c r="N96" s="179" t="s">
        <v>2036</v>
      </c>
      <c r="O96" s="28" t="s">
        <v>2067</v>
      </c>
      <c r="P96" s="28" t="s">
        <v>567</v>
      </c>
      <c r="Q96" s="28" t="s">
        <v>269</v>
      </c>
      <c r="R96" s="179" t="s">
        <v>1493</v>
      </c>
      <c r="S96" s="28" t="s">
        <v>1947</v>
      </c>
      <c r="T96" s="28" t="s">
        <v>1947</v>
      </c>
      <c r="U96" s="450"/>
    </row>
    <row r="97" spans="1:21" ht="18" customHeight="1" thickTop="1" thickBot="1" x14ac:dyDescent="0.25">
      <c r="A97" s="229" t="str">
        <f t="shared" si="0"/>
        <v/>
      </c>
      <c r="B97" s="482"/>
      <c r="C97" s="693"/>
      <c r="D97" s="159"/>
      <c r="E97" s="159"/>
      <c r="F97" s="159"/>
      <c r="G97" s="159"/>
      <c r="H97" s="159"/>
      <c r="I97" s="159"/>
      <c r="J97" s="159"/>
      <c r="K97" s="159"/>
      <c r="L97" s="159"/>
      <c r="M97" s="206"/>
      <c r="N97" s="206"/>
      <c r="O97" s="206"/>
      <c r="P97" s="206"/>
      <c r="Q97" s="206"/>
      <c r="R97" s="206"/>
      <c r="S97" s="206"/>
      <c r="T97" s="731"/>
      <c r="U97" s="450"/>
    </row>
    <row r="98" spans="1:21" ht="17.25" thickTop="1" thickBot="1" x14ac:dyDescent="0.25">
      <c r="A98" s="229" t="str">
        <f t="shared" si="0"/>
        <v/>
      </c>
      <c r="B98" s="482"/>
      <c r="C98" s="283" t="s">
        <v>1730</v>
      </c>
      <c r="D98" s="15"/>
      <c r="E98" s="15"/>
      <c r="F98" s="15"/>
      <c r="G98" s="15"/>
      <c r="H98" s="15"/>
      <c r="I98" s="15"/>
      <c r="J98" s="15"/>
      <c r="K98" s="15"/>
      <c r="L98" s="15"/>
      <c r="M98" s="23"/>
      <c r="N98" s="23"/>
      <c r="O98" s="23"/>
      <c r="P98" s="23"/>
      <c r="Q98" s="23"/>
      <c r="R98" s="23"/>
      <c r="S98" s="23"/>
      <c r="T98" s="23"/>
      <c r="U98" s="450"/>
    </row>
    <row r="99" spans="1:21" ht="13.5" thickTop="1" x14ac:dyDescent="0.2">
      <c r="A99" s="182" t="str">
        <f t="shared" si="0"/>
        <v>12STL DIA HR</v>
      </c>
      <c r="B99" s="482"/>
      <c r="C99" s="205"/>
      <c r="D99" s="427" t="s">
        <v>708</v>
      </c>
      <c r="E99" s="427" t="s">
        <v>576</v>
      </c>
      <c r="F99" s="134" t="s">
        <v>1826</v>
      </c>
      <c r="G99" s="134" t="s">
        <v>157</v>
      </c>
      <c r="H99" s="642">
        <v>9.7030000000000005E-2</v>
      </c>
      <c r="I99" s="134" t="s">
        <v>1404</v>
      </c>
      <c r="J99" s="134" t="s">
        <v>16</v>
      </c>
      <c r="K99" s="134" t="s">
        <v>1414</v>
      </c>
      <c r="L99" s="427" t="s">
        <v>1957</v>
      </c>
      <c r="M99" s="134" t="s">
        <v>2069</v>
      </c>
      <c r="N99" s="506" t="s">
        <v>1404</v>
      </c>
      <c r="O99" s="134" t="s">
        <v>974</v>
      </c>
      <c r="P99" s="134" t="s">
        <v>567</v>
      </c>
      <c r="Q99" s="134" t="s">
        <v>1494</v>
      </c>
      <c r="R99" s="506" t="s">
        <v>577</v>
      </c>
      <c r="S99" s="134" t="s">
        <v>1258</v>
      </c>
      <c r="T99" s="134" t="s">
        <v>1947</v>
      </c>
      <c r="U99" s="450"/>
    </row>
    <row r="100" spans="1:21" x14ac:dyDescent="0.2">
      <c r="A100" s="64" t="str">
        <f t="shared" si="0"/>
        <v>14STL DIA HR</v>
      </c>
      <c r="B100" s="482"/>
      <c r="C100" s="205"/>
      <c r="D100" s="278" t="s">
        <v>708</v>
      </c>
      <c r="E100" s="278" t="s">
        <v>1680</v>
      </c>
      <c r="F100" s="97" t="s">
        <v>709</v>
      </c>
      <c r="G100" s="97" t="s">
        <v>1690</v>
      </c>
      <c r="H100" s="725">
        <v>7.0040000000000005E-2</v>
      </c>
      <c r="I100" s="97" t="s">
        <v>1404</v>
      </c>
      <c r="J100" s="97" t="s">
        <v>16</v>
      </c>
      <c r="K100" s="97" t="s">
        <v>310</v>
      </c>
      <c r="L100" s="278" t="s">
        <v>1691</v>
      </c>
      <c r="M100" s="97" t="s">
        <v>2069</v>
      </c>
      <c r="N100" s="641" t="s">
        <v>1404</v>
      </c>
      <c r="O100" s="517" t="s">
        <v>1109</v>
      </c>
      <c r="P100" s="517" t="s">
        <v>567</v>
      </c>
      <c r="Q100" s="97" t="s">
        <v>1494</v>
      </c>
      <c r="R100" s="240" t="s">
        <v>1958</v>
      </c>
      <c r="S100" s="97" t="s">
        <v>1258</v>
      </c>
      <c r="T100" s="97" t="s">
        <v>1947</v>
      </c>
      <c r="U100" s="450"/>
    </row>
    <row r="101" spans="1:21" x14ac:dyDescent="0.2">
      <c r="A101" s="64" t="str">
        <f t="shared" si="0"/>
        <v>10STL DIA HR</v>
      </c>
      <c r="B101" s="482"/>
      <c r="C101" s="205"/>
      <c r="D101" s="278" t="s">
        <v>708</v>
      </c>
      <c r="E101" s="278" t="s">
        <v>1683</v>
      </c>
      <c r="F101" s="97" t="s">
        <v>1678</v>
      </c>
      <c r="G101" s="97" t="s">
        <v>23</v>
      </c>
      <c r="H101" s="725">
        <v>0.12603</v>
      </c>
      <c r="I101" s="97" t="s">
        <v>1404</v>
      </c>
      <c r="J101" s="97" t="s">
        <v>16</v>
      </c>
      <c r="K101" s="97" t="s">
        <v>1413</v>
      </c>
      <c r="L101" s="278" t="s">
        <v>309</v>
      </c>
      <c r="M101" s="97" t="s">
        <v>2069</v>
      </c>
      <c r="N101" s="641" t="s">
        <v>1404</v>
      </c>
      <c r="O101" s="517" t="s">
        <v>156</v>
      </c>
      <c r="P101" s="517" t="s">
        <v>567</v>
      </c>
      <c r="Q101" s="97" t="s">
        <v>1494</v>
      </c>
      <c r="R101" s="240" t="s">
        <v>1956</v>
      </c>
      <c r="S101" s="97" t="s">
        <v>1258</v>
      </c>
      <c r="T101" s="97" t="s">
        <v>1947</v>
      </c>
      <c r="U101" s="450"/>
    </row>
    <row r="102" spans="1:21" x14ac:dyDescent="0.2">
      <c r="A102" s="64" t="str">
        <f t="shared" si="0"/>
        <v>7STL DIA HR</v>
      </c>
      <c r="B102" s="482"/>
      <c r="C102" s="205"/>
      <c r="D102" s="278" t="s">
        <v>708</v>
      </c>
      <c r="E102" s="278" t="s">
        <v>440</v>
      </c>
      <c r="F102" s="97" t="s">
        <v>150</v>
      </c>
      <c r="G102" s="97" t="s">
        <v>150</v>
      </c>
      <c r="H102" s="725">
        <v>0.18801000000000001</v>
      </c>
      <c r="I102" s="97" t="s">
        <v>1404</v>
      </c>
      <c r="J102" s="97" t="s">
        <v>16</v>
      </c>
      <c r="K102" s="97" t="s">
        <v>24</v>
      </c>
      <c r="L102" s="278" t="s">
        <v>975</v>
      </c>
      <c r="M102" s="97" t="s">
        <v>2069</v>
      </c>
      <c r="N102" s="641" t="s">
        <v>1404</v>
      </c>
      <c r="O102" s="517" t="s">
        <v>1109</v>
      </c>
      <c r="P102" s="517" t="s">
        <v>567</v>
      </c>
      <c r="Q102" s="97" t="s">
        <v>1494</v>
      </c>
      <c r="R102" s="240" t="s">
        <v>976</v>
      </c>
      <c r="S102" s="97" t="s">
        <v>1258</v>
      </c>
      <c r="T102" s="97" t="s">
        <v>1947</v>
      </c>
      <c r="U102" s="450"/>
    </row>
    <row r="103" spans="1:21" x14ac:dyDescent="0.2">
      <c r="A103" s="64" t="str">
        <f t="shared" si="0"/>
        <v>11ALM DIA</v>
      </c>
      <c r="B103" s="482"/>
      <c r="C103" s="205"/>
      <c r="D103" s="278" t="s">
        <v>969</v>
      </c>
      <c r="E103" s="278" t="s">
        <v>18</v>
      </c>
      <c r="F103" s="97" t="s">
        <v>2060</v>
      </c>
      <c r="G103" s="97" t="s">
        <v>2060</v>
      </c>
      <c r="H103" s="725">
        <v>0.10001</v>
      </c>
      <c r="I103" s="97" t="s">
        <v>1404</v>
      </c>
      <c r="J103" s="97" t="s">
        <v>16</v>
      </c>
      <c r="K103" s="442" t="s">
        <v>1260</v>
      </c>
      <c r="L103" s="754" t="s">
        <v>1679</v>
      </c>
      <c r="M103" s="97" t="s">
        <v>148</v>
      </c>
      <c r="N103" s="641" t="s">
        <v>1404</v>
      </c>
      <c r="O103" s="517" t="s">
        <v>1107</v>
      </c>
      <c r="P103" s="517" t="s">
        <v>567</v>
      </c>
      <c r="Q103" s="97" t="s">
        <v>663</v>
      </c>
      <c r="R103" s="97" t="s">
        <v>1820</v>
      </c>
      <c r="S103" s="97" t="s">
        <v>1258</v>
      </c>
      <c r="T103" s="97" t="s">
        <v>1947</v>
      </c>
      <c r="U103" s="450"/>
    </row>
    <row r="104" spans="1:21" x14ac:dyDescent="0.2">
      <c r="A104" s="64" t="str">
        <f t="shared" si="0"/>
        <v>1/8ALM DIA</v>
      </c>
      <c r="B104" s="482"/>
      <c r="C104" s="205"/>
      <c r="D104" s="278" t="s">
        <v>969</v>
      </c>
      <c r="E104" s="278" t="s">
        <v>17</v>
      </c>
      <c r="F104" s="97" t="s">
        <v>1678</v>
      </c>
      <c r="G104" s="97" t="s">
        <v>1678</v>
      </c>
      <c r="H104" s="725">
        <v>0.12503</v>
      </c>
      <c r="I104" s="97" t="s">
        <v>1409</v>
      </c>
      <c r="J104" s="97" t="s">
        <v>16</v>
      </c>
      <c r="K104" s="97" t="s">
        <v>830</v>
      </c>
      <c r="L104" s="754" t="s">
        <v>303</v>
      </c>
      <c r="M104" s="97" t="s">
        <v>148</v>
      </c>
      <c r="N104" s="641" t="s">
        <v>1404</v>
      </c>
      <c r="O104" s="517" t="s">
        <v>1819</v>
      </c>
      <c r="P104" s="517" t="s">
        <v>567</v>
      </c>
      <c r="Q104" s="97" t="s">
        <v>663</v>
      </c>
      <c r="R104" s="240" t="s">
        <v>1259</v>
      </c>
      <c r="S104" s="97" t="s">
        <v>1258</v>
      </c>
      <c r="T104" s="97" t="s">
        <v>1947</v>
      </c>
      <c r="U104" s="450"/>
    </row>
    <row r="105" spans="1:21" x14ac:dyDescent="0.2">
      <c r="A105" s="64" t="str">
        <f t="shared" si="0"/>
        <v>3/16ALM DIA</v>
      </c>
      <c r="B105" s="482"/>
      <c r="C105" s="205"/>
      <c r="D105" s="278" t="s">
        <v>969</v>
      </c>
      <c r="E105" s="278" t="s">
        <v>1949</v>
      </c>
      <c r="F105" s="97" t="s">
        <v>150</v>
      </c>
      <c r="G105" s="97" t="s">
        <v>150</v>
      </c>
      <c r="H105" s="725">
        <v>0.18801999999999999</v>
      </c>
      <c r="I105" s="97" t="s">
        <v>1404</v>
      </c>
      <c r="J105" s="97" t="s">
        <v>16</v>
      </c>
      <c r="K105" s="442" t="s">
        <v>1529</v>
      </c>
      <c r="L105" s="754" t="s">
        <v>431</v>
      </c>
      <c r="M105" s="97" t="s">
        <v>148</v>
      </c>
      <c r="N105" s="641" t="s">
        <v>1404</v>
      </c>
      <c r="O105" s="517" t="s">
        <v>1107</v>
      </c>
      <c r="P105" s="517" t="s">
        <v>567</v>
      </c>
      <c r="Q105" s="97" t="s">
        <v>663</v>
      </c>
      <c r="R105" s="97" t="s">
        <v>1950</v>
      </c>
      <c r="S105" s="97" t="s">
        <v>1258</v>
      </c>
      <c r="T105" s="97" t="s">
        <v>1947</v>
      </c>
      <c r="U105" s="450"/>
    </row>
    <row r="106" spans="1:21" x14ac:dyDescent="0.2">
      <c r="A106" s="64" t="str">
        <f t="shared" si="0"/>
        <v>1/8ALMB DIA</v>
      </c>
      <c r="B106" s="482"/>
      <c r="C106" s="205"/>
      <c r="D106" s="278" t="s">
        <v>969</v>
      </c>
      <c r="E106" s="278" t="s">
        <v>17</v>
      </c>
      <c r="F106" s="97" t="s">
        <v>1678</v>
      </c>
      <c r="G106" s="556" t="s">
        <v>1678</v>
      </c>
      <c r="H106" s="725">
        <v>0.12504000000000001</v>
      </c>
      <c r="I106" s="97" t="s">
        <v>1404</v>
      </c>
      <c r="J106" s="97" t="s">
        <v>16</v>
      </c>
      <c r="K106" s="97" t="s">
        <v>304</v>
      </c>
      <c r="L106" s="278" t="s">
        <v>149</v>
      </c>
      <c r="M106" s="97" t="s">
        <v>148</v>
      </c>
      <c r="N106" s="641" t="s">
        <v>1404</v>
      </c>
      <c r="O106" s="517" t="s">
        <v>1107</v>
      </c>
      <c r="P106" s="517" t="s">
        <v>567</v>
      </c>
      <c r="Q106" s="97" t="s">
        <v>1375</v>
      </c>
      <c r="R106" s="97" t="s">
        <v>1948</v>
      </c>
      <c r="S106" s="97" t="s">
        <v>1258</v>
      </c>
      <c r="T106" s="97" t="s">
        <v>1947</v>
      </c>
      <c r="U106" s="450"/>
    </row>
    <row r="107" spans="1:21" x14ac:dyDescent="0.2">
      <c r="A107" s="64" t="str">
        <f t="shared" si="0"/>
        <v>3/16ALMB DIA</v>
      </c>
      <c r="B107" s="482"/>
      <c r="C107" s="205"/>
      <c r="D107" s="278" t="s">
        <v>969</v>
      </c>
      <c r="E107" s="278" t="s">
        <v>1949</v>
      </c>
      <c r="F107" s="97" t="s">
        <v>150</v>
      </c>
      <c r="G107" s="556" t="s">
        <v>150</v>
      </c>
      <c r="H107" s="725">
        <v>0.18804000000000001</v>
      </c>
      <c r="I107" s="97" t="s">
        <v>1404</v>
      </c>
      <c r="J107" s="97" t="s">
        <v>16</v>
      </c>
      <c r="K107" s="97" t="s">
        <v>831</v>
      </c>
      <c r="L107" s="278" t="s">
        <v>2061</v>
      </c>
      <c r="M107" s="97" t="s">
        <v>148</v>
      </c>
      <c r="N107" s="641" t="s">
        <v>1404</v>
      </c>
      <c r="O107" s="517" t="s">
        <v>1107</v>
      </c>
      <c r="P107" s="517" t="s">
        <v>567</v>
      </c>
      <c r="Q107" s="97" t="s">
        <v>1375</v>
      </c>
      <c r="R107" s="97" t="s">
        <v>305</v>
      </c>
      <c r="S107" s="97" t="s">
        <v>1258</v>
      </c>
      <c r="T107" s="97" t="s">
        <v>1947</v>
      </c>
      <c r="U107" s="450"/>
    </row>
    <row r="108" spans="1:21" x14ac:dyDescent="0.2">
      <c r="A108" s="64" t="str">
        <f t="shared" si="0"/>
        <v>1/4ALMB DIA</v>
      </c>
      <c r="B108" s="482"/>
      <c r="C108" s="205"/>
      <c r="D108" s="278" t="s">
        <v>969</v>
      </c>
      <c r="E108" s="278" t="s">
        <v>15</v>
      </c>
      <c r="F108" s="97" t="s">
        <v>566</v>
      </c>
      <c r="G108" s="97" t="s">
        <v>566</v>
      </c>
      <c r="H108" s="725">
        <v>0.25002999999999997</v>
      </c>
      <c r="I108" s="97" t="s">
        <v>1404</v>
      </c>
      <c r="J108" s="97" t="s">
        <v>16</v>
      </c>
      <c r="K108" s="97" t="s">
        <v>1408</v>
      </c>
      <c r="L108" s="278" t="s">
        <v>1257</v>
      </c>
      <c r="M108" s="97" t="s">
        <v>148</v>
      </c>
      <c r="N108" s="641" t="s">
        <v>1404</v>
      </c>
      <c r="O108" s="517" t="s">
        <v>1107</v>
      </c>
      <c r="P108" s="517" t="s">
        <v>567</v>
      </c>
      <c r="Q108" s="97" t="s">
        <v>1375</v>
      </c>
      <c r="R108" s="97" t="s">
        <v>1108</v>
      </c>
      <c r="S108" s="97" t="s">
        <v>1258</v>
      </c>
      <c r="T108" s="97" t="s">
        <v>1947</v>
      </c>
      <c r="U108" s="450"/>
    </row>
    <row r="109" spans="1:21" x14ac:dyDescent="0.2">
      <c r="A109" s="64" t="str">
        <f t="shared" si="0"/>
        <v>1/8SST304D</v>
      </c>
      <c r="B109" s="482"/>
      <c r="C109" s="205"/>
      <c r="D109" s="278" t="s">
        <v>721</v>
      </c>
      <c r="E109" s="622" t="s">
        <v>17</v>
      </c>
      <c r="F109" s="493" t="s">
        <v>1678</v>
      </c>
      <c r="G109" s="493" t="s">
        <v>1678</v>
      </c>
      <c r="H109" s="778">
        <v>0.12501999999999999</v>
      </c>
      <c r="I109" s="240" t="s">
        <v>1404</v>
      </c>
      <c r="J109" s="97" t="s">
        <v>16</v>
      </c>
      <c r="K109" s="97" t="s">
        <v>1708</v>
      </c>
      <c r="L109" s="278" t="s">
        <v>174</v>
      </c>
      <c r="M109" s="97">
        <v>304</v>
      </c>
      <c r="N109" s="641" t="s">
        <v>1422</v>
      </c>
      <c r="O109" s="517" t="s">
        <v>1109</v>
      </c>
      <c r="P109" s="517" t="s">
        <v>567</v>
      </c>
      <c r="Q109" s="97" t="s">
        <v>1968</v>
      </c>
      <c r="R109" s="240" t="s">
        <v>1131</v>
      </c>
      <c r="S109" s="240" t="s">
        <v>1258</v>
      </c>
      <c r="T109" s="97" t="s">
        <v>1947</v>
      </c>
      <c r="U109" s="450"/>
    </row>
    <row r="110" spans="1:21" ht="18" customHeight="1" thickBot="1" x14ac:dyDescent="0.25">
      <c r="A110" s="179" t="str">
        <f t="shared" si="0"/>
        <v>3/16SST304D</v>
      </c>
      <c r="B110" s="482"/>
      <c r="C110" s="205"/>
      <c r="D110" s="501" t="s">
        <v>721</v>
      </c>
      <c r="E110" s="558" t="s">
        <v>1949</v>
      </c>
      <c r="F110" s="476" t="s">
        <v>150</v>
      </c>
      <c r="G110" s="476" t="s">
        <v>150</v>
      </c>
      <c r="H110" s="638">
        <v>0.18804999999999999</v>
      </c>
      <c r="I110" s="397" t="s">
        <v>1404</v>
      </c>
      <c r="J110" s="228" t="s">
        <v>16</v>
      </c>
      <c r="K110" s="228" t="s">
        <v>179</v>
      </c>
      <c r="L110" s="501" t="s">
        <v>845</v>
      </c>
      <c r="M110" s="228">
        <v>304</v>
      </c>
      <c r="N110" s="689" t="s">
        <v>1422</v>
      </c>
      <c r="O110" s="683" t="s">
        <v>1109</v>
      </c>
      <c r="P110" s="228" t="s">
        <v>567</v>
      </c>
      <c r="Q110" s="228" t="s">
        <v>1968</v>
      </c>
      <c r="R110" s="397" t="s">
        <v>1711</v>
      </c>
      <c r="S110" s="397" t="s">
        <v>1258</v>
      </c>
      <c r="T110" s="228" t="s">
        <v>1947</v>
      </c>
      <c r="U110" s="450"/>
    </row>
    <row r="111" spans="1:21" ht="18" customHeight="1" thickTop="1" thickBot="1" x14ac:dyDescent="0.25">
      <c r="A111" s="229" t="str">
        <f t="shared" si="0"/>
        <v/>
      </c>
      <c r="B111" s="482"/>
      <c r="C111" s="224"/>
      <c r="D111" s="17"/>
      <c r="E111" s="17"/>
      <c r="F111" s="17"/>
      <c r="G111" s="17"/>
      <c r="H111" s="17"/>
      <c r="I111" s="17"/>
      <c r="J111" s="17"/>
      <c r="K111" s="17"/>
      <c r="L111" s="17"/>
      <c r="M111" s="51"/>
      <c r="N111" s="51"/>
      <c r="O111" s="51"/>
      <c r="P111" s="51"/>
      <c r="Q111" s="51"/>
      <c r="R111" s="51"/>
      <c r="S111" s="51"/>
      <c r="T111" s="380"/>
      <c r="U111" s="450"/>
    </row>
    <row r="112" spans="1:21" ht="17.25" thickTop="1" thickBot="1" x14ac:dyDescent="0.25">
      <c r="A112" s="229" t="str">
        <f t="shared" si="0"/>
        <v/>
      </c>
      <c r="B112" s="482"/>
      <c r="C112" s="283" t="s">
        <v>867</v>
      </c>
      <c r="D112" s="15"/>
      <c r="E112" s="15"/>
      <c r="F112" s="15"/>
      <c r="G112" s="15"/>
      <c r="H112" s="15"/>
      <c r="I112" s="15"/>
      <c r="J112" s="15"/>
      <c r="K112" s="15"/>
      <c r="L112" s="15"/>
      <c r="M112" s="23"/>
      <c r="N112" s="23"/>
      <c r="O112" s="23"/>
      <c r="P112" s="23"/>
      <c r="Q112" s="23"/>
      <c r="R112" s="23"/>
      <c r="S112" s="23"/>
      <c r="T112" s="23"/>
      <c r="U112" s="450"/>
    </row>
    <row r="113" spans="1:21" ht="18" customHeight="1" thickTop="1" thickBot="1" x14ac:dyDescent="0.25">
      <c r="A113" s="494" t="str">
        <f t="shared" si="0"/>
        <v>20GALV CORA</v>
      </c>
      <c r="B113" s="482"/>
      <c r="C113" s="205"/>
      <c r="D113" s="334" t="s">
        <v>703</v>
      </c>
      <c r="E113" s="334">
        <v>20</v>
      </c>
      <c r="F113" s="148" t="s">
        <v>1686</v>
      </c>
      <c r="G113" s="148" t="s">
        <v>1686</v>
      </c>
      <c r="H113" s="576">
        <v>3.4029999999999998E-2</v>
      </c>
      <c r="I113" s="148" t="s">
        <v>1409</v>
      </c>
      <c r="J113" s="148" t="s">
        <v>1404</v>
      </c>
      <c r="K113" s="774" t="s">
        <v>436</v>
      </c>
      <c r="L113" s="334" t="s">
        <v>704</v>
      </c>
      <c r="M113" s="148" t="s">
        <v>1411</v>
      </c>
      <c r="N113" s="494" t="s">
        <v>1404</v>
      </c>
      <c r="O113" s="148" t="s">
        <v>1824</v>
      </c>
      <c r="P113" s="148" t="s">
        <v>567</v>
      </c>
      <c r="Q113" s="148" t="s">
        <v>1376</v>
      </c>
      <c r="R113" s="494" t="s">
        <v>437</v>
      </c>
      <c r="S113" s="148" t="s">
        <v>1535</v>
      </c>
      <c r="T113" s="148" t="s">
        <v>1947</v>
      </c>
      <c r="U113" s="450"/>
    </row>
    <row r="114" spans="1:21" ht="18" customHeight="1" thickTop="1" thickBot="1" x14ac:dyDescent="0.25">
      <c r="A114" s="229" t="str">
        <f t="shared" si="0"/>
        <v/>
      </c>
      <c r="B114" s="482"/>
      <c r="C114" s="224"/>
      <c r="D114" s="17"/>
      <c r="E114" s="17"/>
      <c r="F114" s="17"/>
      <c r="G114" s="17"/>
      <c r="H114" s="17"/>
      <c r="I114" s="17"/>
      <c r="J114" s="17"/>
      <c r="K114" s="17"/>
      <c r="L114" s="17"/>
      <c r="M114" s="51"/>
      <c r="N114" s="51"/>
      <c r="O114" s="51"/>
      <c r="P114" s="51"/>
      <c r="Q114" s="51"/>
      <c r="R114" s="51"/>
      <c r="S114" s="51"/>
      <c r="T114" s="380"/>
      <c r="U114" s="450"/>
    </row>
    <row r="115" spans="1:21" ht="17.25" thickTop="1" thickBot="1" x14ac:dyDescent="0.25">
      <c r="A115" s="229" t="str">
        <f t="shared" si="0"/>
        <v/>
      </c>
      <c r="B115" s="482"/>
      <c r="C115" s="283" t="s">
        <v>1731</v>
      </c>
      <c r="D115" s="15"/>
      <c r="E115" s="15"/>
      <c r="F115" s="15"/>
      <c r="G115" s="15"/>
      <c r="H115" s="15"/>
      <c r="I115" s="15"/>
      <c r="J115" s="15"/>
      <c r="K115" s="15"/>
      <c r="L115" s="15"/>
      <c r="M115" s="23"/>
      <c r="N115" s="23"/>
      <c r="O115" s="23"/>
      <c r="P115" s="23"/>
      <c r="Q115" s="23"/>
      <c r="R115" s="23"/>
      <c r="S115" s="23"/>
      <c r="T115" s="23"/>
      <c r="U115" s="450"/>
    </row>
    <row r="116" spans="1:21" ht="13.5" thickTop="1" x14ac:dyDescent="0.2">
      <c r="A116" s="182" t="str">
        <f t="shared" si="0"/>
        <v>7SST304</v>
      </c>
      <c r="B116" s="482"/>
      <c r="C116" s="205"/>
      <c r="D116" s="140" t="s">
        <v>1707</v>
      </c>
      <c r="E116" s="140" t="s">
        <v>440</v>
      </c>
      <c r="F116" s="46" t="s">
        <v>150</v>
      </c>
      <c r="G116" s="46" t="s">
        <v>150</v>
      </c>
      <c r="H116" s="264">
        <v>0.18803</v>
      </c>
      <c r="I116" s="46" t="s">
        <v>1404</v>
      </c>
      <c r="J116" s="46" t="s">
        <v>16</v>
      </c>
      <c r="K116" s="783" t="s">
        <v>1429</v>
      </c>
      <c r="L116" s="792" t="s">
        <v>1712</v>
      </c>
      <c r="M116" s="46" t="s">
        <v>1706</v>
      </c>
      <c r="N116" s="646" t="s">
        <v>1422</v>
      </c>
      <c r="O116" s="46" t="s">
        <v>1819</v>
      </c>
      <c r="P116" s="46" t="s">
        <v>567</v>
      </c>
      <c r="Q116" s="46" t="s">
        <v>1841</v>
      </c>
      <c r="R116" s="182" t="s">
        <v>1280</v>
      </c>
      <c r="S116" s="182" t="s">
        <v>1947</v>
      </c>
      <c r="T116" s="182" t="s">
        <v>1947</v>
      </c>
      <c r="U116" s="450"/>
    </row>
    <row r="117" spans="1:21" x14ac:dyDescent="0.2">
      <c r="A117" s="64" t="str">
        <f t="shared" si="0"/>
        <v>3SST304</v>
      </c>
      <c r="B117" s="482"/>
      <c r="C117" s="205"/>
      <c r="D117" s="65" t="s">
        <v>1707</v>
      </c>
      <c r="E117" s="65" t="s">
        <v>2257</v>
      </c>
      <c r="F117" s="12" t="s">
        <v>566</v>
      </c>
      <c r="G117" s="12" t="s">
        <v>566</v>
      </c>
      <c r="H117" s="161">
        <v>0.25002000000000002</v>
      </c>
      <c r="I117" s="12" t="s">
        <v>1404</v>
      </c>
      <c r="J117" s="12" t="s">
        <v>16</v>
      </c>
      <c r="K117" s="199" t="s">
        <v>1844</v>
      </c>
      <c r="L117" s="410" t="s">
        <v>1845</v>
      </c>
      <c r="M117" s="12" t="s">
        <v>1706</v>
      </c>
      <c r="N117" s="433" t="s">
        <v>1422</v>
      </c>
      <c r="O117" s="20" t="s">
        <v>1819</v>
      </c>
      <c r="P117" s="20" t="s">
        <v>567</v>
      </c>
      <c r="Q117" s="12" t="s">
        <v>1841</v>
      </c>
      <c r="R117" s="64" t="s">
        <v>2077</v>
      </c>
      <c r="S117" s="64" t="s">
        <v>1947</v>
      </c>
      <c r="T117" s="64" t="s">
        <v>1947</v>
      </c>
      <c r="U117" s="450"/>
    </row>
    <row r="118" spans="1:21" x14ac:dyDescent="0.2">
      <c r="A118" s="64" t="str">
        <f t="shared" si="0"/>
        <v>7STL PLATE</v>
      </c>
      <c r="B118" s="482"/>
      <c r="C118" s="205"/>
      <c r="D118" s="77" t="s">
        <v>705</v>
      </c>
      <c r="E118" s="65" t="s">
        <v>440</v>
      </c>
      <c r="F118" s="12" t="s">
        <v>150</v>
      </c>
      <c r="G118" s="525" t="s">
        <v>150</v>
      </c>
      <c r="H118" s="769">
        <v>0.18806</v>
      </c>
      <c r="I118" s="12" t="s">
        <v>1404</v>
      </c>
      <c r="J118" s="12" t="s">
        <v>16</v>
      </c>
      <c r="K118" s="20" t="s">
        <v>1687</v>
      </c>
      <c r="L118" s="77" t="s">
        <v>438</v>
      </c>
      <c r="M118" s="12" t="s">
        <v>1825</v>
      </c>
      <c r="N118" s="12" t="s">
        <v>1404</v>
      </c>
      <c r="O118" s="12" t="s">
        <v>2067</v>
      </c>
      <c r="P118" s="12" t="s">
        <v>567</v>
      </c>
      <c r="Q118" s="12" t="s">
        <v>307</v>
      </c>
      <c r="R118" s="12" t="s">
        <v>575</v>
      </c>
      <c r="S118" s="12" t="s">
        <v>1947</v>
      </c>
      <c r="T118" s="12" t="s">
        <v>1947</v>
      </c>
      <c r="U118" s="450"/>
    </row>
    <row r="119" spans="1:21" x14ac:dyDescent="0.2">
      <c r="A119" s="64" t="str">
        <f t="shared" si="0"/>
        <v>3STL PLATE</v>
      </c>
      <c r="B119" s="482"/>
      <c r="C119" s="205"/>
      <c r="D119" s="77" t="s">
        <v>705</v>
      </c>
      <c r="E119" s="65" t="s">
        <v>2257</v>
      </c>
      <c r="F119" s="12" t="s">
        <v>566</v>
      </c>
      <c r="G119" s="12" t="s">
        <v>566</v>
      </c>
      <c r="H119" s="769">
        <v>0.25001000000000001</v>
      </c>
      <c r="I119" s="12" t="s">
        <v>1404</v>
      </c>
      <c r="J119" s="12" t="s">
        <v>16</v>
      </c>
      <c r="K119" s="20" t="s">
        <v>1955</v>
      </c>
      <c r="L119" s="77" t="s">
        <v>972</v>
      </c>
      <c r="M119" s="12" t="s">
        <v>1825</v>
      </c>
      <c r="N119" s="12" t="s">
        <v>1404</v>
      </c>
      <c r="O119" s="12" t="s">
        <v>2067</v>
      </c>
      <c r="P119" s="12" t="s">
        <v>567</v>
      </c>
      <c r="Q119" s="12" t="s">
        <v>307</v>
      </c>
      <c r="R119" s="12" t="s">
        <v>1266</v>
      </c>
      <c r="S119" s="12" t="s">
        <v>1947</v>
      </c>
      <c r="T119" s="12" t="s">
        <v>1947</v>
      </c>
      <c r="U119" s="450"/>
    </row>
    <row r="120" spans="1:21" x14ac:dyDescent="0.2">
      <c r="A120" s="64" t="str">
        <f t="shared" si="0"/>
        <v>0STL PLATE</v>
      </c>
      <c r="B120" s="482"/>
      <c r="C120" s="205"/>
      <c r="D120" s="65" t="s">
        <v>705</v>
      </c>
      <c r="E120" s="65" t="s">
        <v>2258</v>
      </c>
      <c r="F120" s="12" t="s">
        <v>973</v>
      </c>
      <c r="G120" s="12" t="s">
        <v>973</v>
      </c>
      <c r="H120" s="161">
        <v>0.31301000000000001</v>
      </c>
      <c r="I120" s="12" t="s">
        <v>1404</v>
      </c>
      <c r="J120" s="12" t="s">
        <v>16</v>
      </c>
      <c r="K120" s="12" t="s">
        <v>308</v>
      </c>
      <c r="L120" s="65" t="s">
        <v>1268</v>
      </c>
      <c r="M120" s="12" t="s">
        <v>1825</v>
      </c>
      <c r="N120" s="12" t="s">
        <v>1404</v>
      </c>
      <c r="O120" s="20" t="s">
        <v>2068</v>
      </c>
      <c r="P120" s="20" t="s">
        <v>567</v>
      </c>
      <c r="Q120" s="12" t="s">
        <v>307</v>
      </c>
      <c r="R120" s="12" t="s">
        <v>1689</v>
      </c>
      <c r="S120" s="12" t="s">
        <v>1947</v>
      </c>
      <c r="T120" s="12" t="s">
        <v>1947</v>
      </c>
      <c r="U120" s="450"/>
    </row>
    <row r="121" spans="1:21" x14ac:dyDescent="0.2">
      <c r="A121" s="64" t="str">
        <f t="shared" si="0"/>
        <v>000STL PLATE</v>
      </c>
      <c r="B121" s="482"/>
      <c r="C121" s="205"/>
      <c r="D121" s="65" t="s">
        <v>705</v>
      </c>
      <c r="E121" s="65" t="s">
        <v>2259</v>
      </c>
      <c r="F121" s="12" t="s">
        <v>1267</v>
      </c>
      <c r="G121" s="525" t="s">
        <v>1267</v>
      </c>
      <c r="H121" s="161">
        <v>0.37501000000000001</v>
      </c>
      <c r="I121" s="12" t="s">
        <v>1404</v>
      </c>
      <c r="J121" s="12" t="s">
        <v>16</v>
      </c>
      <c r="K121" s="12" t="s">
        <v>439</v>
      </c>
      <c r="L121" s="65" t="s">
        <v>155</v>
      </c>
      <c r="M121" s="12" t="s">
        <v>1825</v>
      </c>
      <c r="N121" s="12" t="s">
        <v>1404</v>
      </c>
      <c r="O121" s="20" t="s">
        <v>2067</v>
      </c>
      <c r="P121" s="20" t="s">
        <v>567</v>
      </c>
      <c r="Q121" s="12" t="s">
        <v>307</v>
      </c>
      <c r="R121" s="12" t="s">
        <v>707</v>
      </c>
      <c r="S121" s="12" t="s">
        <v>1947</v>
      </c>
      <c r="T121" s="12" t="s">
        <v>1947</v>
      </c>
      <c r="U121" s="450"/>
    </row>
    <row r="122" spans="1:21" ht="18" customHeight="1" thickBot="1" x14ac:dyDescent="0.25">
      <c r="A122" s="179" t="str">
        <f t="shared" si="0"/>
        <v>0000000STL PLATE</v>
      </c>
      <c r="B122" s="482"/>
      <c r="C122" s="255"/>
      <c r="D122" s="119" t="s">
        <v>705</v>
      </c>
      <c r="E122" s="794" t="s">
        <v>2260</v>
      </c>
      <c r="F122" s="28" t="s">
        <v>2066</v>
      </c>
      <c r="G122" s="28" t="s">
        <v>2066</v>
      </c>
      <c r="H122" s="281">
        <v>0.5</v>
      </c>
      <c r="I122" s="28" t="s">
        <v>1404</v>
      </c>
      <c r="J122" s="28" t="s">
        <v>16</v>
      </c>
      <c r="K122" s="28" t="s">
        <v>1412</v>
      </c>
      <c r="L122" s="119" t="s">
        <v>706</v>
      </c>
      <c r="M122" s="28" t="s">
        <v>1825</v>
      </c>
      <c r="N122" s="28" t="s">
        <v>1404</v>
      </c>
      <c r="O122" s="248" t="s">
        <v>2067</v>
      </c>
      <c r="P122" s="248" t="s">
        <v>567</v>
      </c>
      <c r="Q122" s="28" t="s">
        <v>307</v>
      </c>
      <c r="R122" s="28" t="s">
        <v>1954</v>
      </c>
      <c r="S122" s="28" t="s">
        <v>1947</v>
      </c>
      <c r="T122" s="28" t="s">
        <v>1947</v>
      </c>
      <c r="U122" s="450"/>
    </row>
    <row r="123" spans="1:21" ht="18" customHeight="1" thickTop="1" thickBot="1" x14ac:dyDescent="0.25">
      <c r="A123" s="613"/>
      <c r="B123" s="482"/>
      <c r="C123" s="224"/>
      <c r="D123" s="146"/>
      <c r="E123" s="17"/>
      <c r="F123" s="17"/>
      <c r="G123" s="17"/>
      <c r="H123" s="17"/>
      <c r="I123" s="17"/>
      <c r="J123" s="17"/>
      <c r="K123" s="17"/>
      <c r="L123" s="17"/>
      <c r="M123" s="17"/>
      <c r="N123" s="17"/>
      <c r="O123" s="17"/>
      <c r="P123" s="17"/>
      <c r="Q123" s="17"/>
      <c r="R123" s="17"/>
      <c r="S123" s="17"/>
      <c r="T123" s="773"/>
      <c r="U123" s="450"/>
    </row>
    <row r="124" spans="1:21" ht="13.5" thickTop="1" x14ac:dyDescent="0.2">
      <c r="A124" s="482"/>
      <c r="B124" s="482"/>
      <c r="C124" s="205"/>
      <c r="D124" s="15"/>
      <c r="E124" s="15"/>
      <c r="F124" s="15"/>
      <c r="G124" s="15"/>
      <c r="H124" s="15"/>
      <c r="I124" s="15"/>
      <c r="J124" s="15"/>
      <c r="K124" s="15"/>
      <c r="L124" s="15"/>
      <c r="M124" s="15"/>
      <c r="N124" s="15"/>
      <c r="O124" s="15"/>
      <c r="P124" s="15"/>
      <c r="Q124" s="15"/>
      <c r="R124" s="15"/>
      <c r="S124" s="15"/>
      <c r="T124" s="15"/>
      <c r="U124" s="450"/>
    </row>
    <row r="125" spans="1:21" x14ac:dyDescent="0.2">
      <c r="A125" s="482"/>
      <c r="B125" s="482"/>
      <c r="C125" s="562"/>
      <c r="D125" s="557" t="s">
        <v>1854</v>
      </c>
      <c r="E125" s="15"/>
      <c r="F125" s="139"/>
      <c r="G125" s="139"/>
      <c r="H125" s="514"/>
      <c r="I125" s="139"/>
      <c r="J125" s="139"/>
      <c r="K125" s="139"/>
      <c r="L125" s="152"/>
      <c r="M125" s="152"/>
      <c r="N125" s="152"/>
      <c r="O125" s="152"/>
      <c r="P125" s="139"/>
      <c r="Q125" s="152"/>
      <c r="R125" s="152"/>
      <c r="S125" s="152"/>
      <c r="T125" s="152"/>
      <c r="U125" s="450"/>
    </row>
    <row r="126" spans="1:21" x14ac:dyDescent="0.2">
      <c r="A126" s="482"/>
      <c r="B126" s="482"/>
      <c r="C126" s="490"/>
      <c r="D126" s="150" t="s">
        <v>849</v>
      </c>
      <c r="E126" s="15"/>
      <c r="F126" s="208"/>
      <c r="G126" s="208"/>
      <c r="H126" s="787"/>
      <c r="I126" s="208"/>
      <c r="J126" s="208"/>
      <c r="K126" s="208"/>
      <c r="L126" s="150"/>
      <c r="M126" s="150"/>
      <c r="N126" s="150"/>
      <c r="O126" s="150"/>
      <c r="P126" s="208"/>
      <c r="Q126" s="150"/>
      <c r="R126" s="150"/>
      <c r="S126" s="150"/>
      <c r="T126" s="150"/>
      <c r="U126" s="450"/>
    </row>
    <row r="127" spans="1:21" x14ac:dyDescent="0.2">
      <c r="A127" s="482"/>
      <c r="B127" s="482"/>
      <c r="C127" s="686"/>
      <c r="D127" s="15" t="s">
        <v>1855</v>
      </c>
      <c r="E127" s="15"/>
      <c r="F127" s="208"/>
      <c r="G127" s="208"/>
      <c r="H127" s="787"/>
      <c r="I127" s="208"/>
      <c r="J127" s="208"/>
      <c r="K127" s="208"/>
      <c r="L127" s="150"/>
      <c r="M127" s="150"/>
      <c r="N127" s="150"/>
      <c r="O127" s="150"/>
      <c r="P127" s="208"/>
      <c r="Q127" s="150"/>
      <c r="R127" s="150"/>
      <c r="S127" s="150"/>
      <c r="T127" s="150"/>
      <c r="U127" s="450"/>
    </row>
    <row r="128" spans="1:21" x14ac:dyDescent="0.2">
      <c r="A128" s="482"/>
      <c r="B128" s="482"/>
      <c r="C128" s="490"/>
      <c r="D128" s="150" t="s">
        <v>599</v>
      </c>
      <c r="E128" s="15"/>
      <c r="F128" s="208"/>
      <c r="G128" s="208"/>
      <c r="H128" s="787"/>
      <c r="I128" s="208"/>
      <c r="J128" s="208"/>
      <c r="K128" s="208"/>
      <c r="L128" s="150"/>
      <c r="M128" s="150"/>
      <c r="N128" s="150"/>
      <c r="O128" s="150"/>
      <c r="P128" s="208"/>
      <c r="Q128" s="150"/>
      <c r="R128" s="150"/>
      <c r="S128" s="150"/>
      <c r="T128" s="150"/>
      <c r="U128" s="450"/>
    </row>
    <row r="129" spans="1:21" ht="18" customHeight="1" x14ac:dyDescent="0.2">
      <c r="A129" s="482"/>
      <c r="B129" s="482"/>
      <c r="C129" s="490"/>
      <c r="D129" s="152" t="s">
        <v>44</v>
      </c>
      <c r="E129" s="15"/>
      <c r="F129" s="139"/>
      <c r="G129" s="139"/>
      <c r="H129" s="514"/>
      <c r="I129" s="139"/>
      <c r="J129" s="139"/>
      <c r="K129" s="139"/>
      <c r="L129" s="152"/>
      <c r="M129" s="150"/>
      <c r="N129" s="150"/>
      <c r="O129" s="150"/>
      <c r="P129" s="208"/>
      <c r="Q129" s="150"/>
      <c r="R129" s="150"/>
      <c r="S129" s="150"/>
      <c r="T129" s="150"/>
      <c r="U129" s="450"/>
    </row>
    <row r="130" spans="1:21" ht="13.5" thickBot="1" x14ac:dyDescent="0.25">
      <c r="A130" s="509"/>
      <c r="B130" s="509"/>
      <c r="C130" s="579"/>
      <c r="D130" s="744"/>
      <c r="E130" s="17"/>
      <c r="F130" s="51"/>
      <c r="G130" s="51"/>
      <c r="H130" s="572"/>
      <c r="I130" s="51"/>
      <c r="J130" s="51"/>
      <c r="K130" s="51"/>
      <c r="L130" s="17"/>
      <c r="M130" s="17"/>
      <c r="N130" s="17"/>
      <c r="O130" s="17"/>
      <c r="P130" s="51"/>
      <c r="Q130" s="17"/>
      <c r="R130" s="17"/>
      <c r="S130" s="17"/>
      <c r="T130" s="17"/>
    </row>
    <row r="131" spans="1:21" ht="13.9" customHeight="1" thickTop="1" x14ac:dyDescent="0.2">
      <c r="P131" s="204"/>
    </row>
    <row r="132" spans="1:21" ht="13.9" customHeight="1" x14ac:dyDescent="0.2">
      <c r="P132" s="204"/>
    </row>
    <row r="133" spans="1:21" x14ac:dyDescent="0.2">
      <c r="P133" s="204"/>
    </row>
    <row r="134" spans="1:21" x14ac:dyDescent="0.2">
      <c r="P134" s="204"/>
    </row>
    <row r="135" spans="1:21" x14ac:dyDescent="0.2">
      <c r="P135" s="204"/>
    </row>
    <row r="136" spans="1:21" x14ac:dyDescent="0.2">
      <c r="P136" s="204"/>
    </row>
    <row r="137" spans="1:21" x14ac:dyDescent="0.2">
      <c r="P137" s="204"/>
    </row>
    <row r="138" spans="1:21" x14ac:dyDescent="0.2">
      <c r="P138" s="204"/>
    </row>
    <row r="139" spans="1:21" x14ac:dyDescent="0.2">
      <c r="P139" s="204"/>
    </row>
    <row r="140" spans="1:21" x14ac:dyDescent="0.2">
      <c r="P140" s="204"/>
    </row>
    <row r="141" spans="1:21" x14ac:dyDescent="0.2">
      <c r="P141" s="204"/>
    </row>
  </sheetData>
  <mergeCells count="8">
    <mergeCell ref="A1:F1"/>
    <mergeCell ref="K1:L1"/>
    <mergeCell ref="M1:T1"/>
    <mergeCell ref="M2:P2"/>
    <mergeCell ref="Q2:T2"/>
    <mergeCell ref="A2:L3"/>
    <mergeCell ref="M3:P3"/>
    <mergeCell ref="Q3:T3"/>
  </mergeCells>
  <pageMargins left="0.7" right="0.7" top="0.75" bottom="0.75" header="0.3" footer="0.3"/>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98"/>
  <sheetViews>
    <sheetView zoomScale="90" workbookViewId="0"/>
  </sheetViews>
  <sheetFormatPr defaultColWidth="8.85546875" defaultRowHeight="12.75" x14ac:dyDescent="0.2"/>
  <cols>
    <col min="1" max="1" width="23.28515625" style="75" bestFit="1" customWidth="1"/>
    <col min="2" max="3" width="3.28515625" style="75" customWidth="1"/>
    <col min="4" max="4" width="21.42578125" style="80" customWidth="1"/>
    <col min="5" max="5" width="10.28515625" style="75" bestFit="1" customWidth="1"/>
    <col min="6" max="6" width="12.140625" style="72" customWidth="1"/>
    <col min="7" max="8" width="11.85546875" style="72" customWidth="1"/>
    <col min="9" max="10" width="11.85546875" style="259" customWidth="1"/>
    <col min="11" max="12" width="11.85546875" style="72" customWidth="1"/>
    <col min="13" max="13" width="17.140625" style="72" customWidth="1"/>
    <col min="14" max="14" width="52.42578125" style="75" bestFit="1" customWidth="1"/>
    <col min="15" max="15" width="13.85546875" style="75" bestFit="1" customWidth="1"/>
    <col min="16" max="16" width="17.140625" style="75" customWidth="1"/>
    <col min="17" max="17" width="13.140625" style="75" bestFit="1" customWidth="1"/>
    <col min="18" max="18" width="11.140625" style="72" bestFit="1" customWidth="1"/>
    <col min="19" max="19" width="16.5703125" style="75" customWidth="1"/>
    <col min="20" max="20" width="14" style="75" customWidth="1"/>
    <col min="21" max="22" width="3" style="75" customWidth="1"/>
    <col min="23" max="16384" width="8.85546875" style="75"/>
  </cols>
  <sheetData>
    <row r="1" spans="1:21" ht="13.5" thickBot="1" x14ac:dyDescent="0.25">
      <c r="O1" s="602"/>
    </row>
    <row r="2" spans="1:21" ht="21.75" customHeight="1" thickTop="1" thickBot="1" x14ac:dyDescent="0.35">
      <c r="B2" s="541" t="s">
        <v>565</v>
      </c>
      <c r="C2" s="194"/>
      <c r="D2" s="758"/>
      <c r="E2" s="593"/>
      <c r="F2" s="184"/>
      <c r="G2" s="184"/>
      <c r="H2" s="184"/>
      <c r="I2" s="499"/>
      <c r="J2" s="499"/>
      <c r="K2" s="184"/>
      <c r="L2" s="184"/>
      <c r="M2" s="550"/>
      <c r="N2" s="194"/>
      <c r="O2" s="194"/>
      <c r="P2" s="194"/>
      <c r="Q2" s="194"/>
      <c r="R2" s="184"/>
      <c r="S2" s="194"/>
      <c r="T2" s="194"/>
      <c r="U2" s="733"/>
    </row>
    <row r="3" spans="1:21" s="585" customFormat="1" ht="47.25" customHeight="1" thickTop="1" thickBot="1" x14ac:dyDescent="0.25">
      <c r="B3" s="717"/>
      <c r="C3" s="674"/>
      <c r="D3" s="100" t="s">
        <v>1946</v>
      </c>
      <c r="E3" s="100" t="s">
        <v>868</v>
      </c>
      <c r="F3" s="100" t="s">
        <v>2102</v>
      </c>
      <c r="G3" s="100" t="s">
        <v>2101</v>
      </c>
      <c r="H3" s="100"/>
      <c r="I3" s="528" t="s">
        <v>2103</v>
      </c>
      <c r="J3" s="528" t="s">
        <v>2104</v>
      </c>
      <c r="K3" s="100" t="s">
        <v>428</v>
      </c>
      <c r="L3" s="100" t="s">
        <v>1675</v>
      </c>
      <c r="M3" s="100" t="s">
        <v>1676</v>
      </c>
      <c r="N3" s="100" t="s">
        <v>1407</v>
      </c>
      <c r="O3" s="100" t="s">
        <v>300</v>
      </c>
      <c r="P3" s="676" t="s">
        <v>301</v>
      </c>
      <c r="Q3" s="100" t="s">
        <v>13</v>
      </c>
      <c r="R3" s="100" t="s">
        <v>302</v>
      </c>
      <c r="S3" s="100" t="s">
        <v>429</v>
      </c>
      <c r="T3" s="100" t="s">
        <v>14</v>
      </c>
      <c r="U3" s="664"/>
    </row>
    <row r="4" spans="1:21" s="533" customFormat="1" ht="14.25" thickTop="1" thickBot="1" x14ac:dyDescent="0.25">
      <c r="A4" s="695" t="s">
        <v>2105</v>
      </c>
      <c r="B4" s="368"/>
      <c r="C4" s="635"/>
      <c r="D4" s="102" t="s">
        <v>1567</v>
      </c>
      <c r="E4" s="102" t="s">
        <v>869</v>
      </c>
      <c r="F4" s="102" t="s">
        <v>614</v>
      </c>
      <c r="G4" s="102" t="s">
        <v>1568</v>
      </c>
      <c r="H4" s="102"/>
      <c r="I4" s="102" t="s">
        <v>1569</v>
      </c>
      <c r="J4" s="508" t="s">
        <v>476</v>
      </c>
      <c r="K4" s="508" t="s">
        <v>59</v>
      </c>
      <c r="L4" s="102" t="s">
        <v>1001</v>
      </c>
      <c r="M4" s="102" t="s">
        <v>1732</v>
      </c>
      <c r="N4" s="102" t="s">
        <v>60</v>
      </c>
      <c r="O4" s="102" t="s">
        <v>339</v>
      </c>
      <c r="P4" s="597" t="s">
        <v>198</v>
      </c>
      <c r="Q4" s="102" t="s">
        <v>61</v>
      </c>
      <c r="R4" s="102" t="s">
        <v>1570</v>
      </c>
      <c r="S4" s="102" t="s">
        <v>62</v>
      </c>
      <c r="T4" s="102" t="s">
        <v>340</v>
      </c>
      <c r="U4" s="527"/>
    </row>
    <row r="5" spans="1:21" s="533" customFormat="1" ht="17.25" customHeight="1" thickTop="1" thickBot="1" x14ac:dyDescent="0.3">
      <c r="A5" s="368"/>
      <c r="B5" s="368"/>
      <c r="C5" s="530" t="s">
        <v>341</v>
      </c>
      <c r="D5" s="766"/>
      <c r="E5" s="153"/>
      <c r="F5" s="153"/>
      <c r="G5" s="153"/>
      <c r="H5" s="153"/>
      <c r="I5" s="153"/>
      <c r="J5" s="187"/>
      <c r="K5" s="72"/>
      <c r="L5" s="387"/>
      <c r="M5" s="153"/>
      <c r="N5" s="153"/>
      <c r="O5" s="599"/>
      <c r="P5" s="153"/>
      <c r="Q5" s="153"/>
      <c r="R5" s="153"/>
      <c r="S5" s="387"/>
      <c r="T5" s="387"/>
      <c r="U5" s="527"/>
    </row>
    <row r="6" spans="1:21" s="533" customFormat="1" ht="13.5" customHeight="1" thickTop="1" x14ac:dyDescent="0.2">
      <c r="A6" s="94" t="str">
        <f t="shared" ref="A6:A19" si="0">CONCATENATE(RIGHT(D6,LEN(D6)-FIND(" ",D6)),G6,E6)</f>
        <v>Channel20.56</v>
      </c>
      <c r="B6" s="368"/>
      <c r="C6" s="261"/>
      <c r="D6" s="470" t="s">
        <v>1571</v>
      </c>
      <c r="E6" s="71">
        <v>0.56000000000000005</v>
      </c>
      <c r="F6" s="71">
        <v>0.188</v>
      </c>
      <c r="G6" s="71">
        <v>2</v>
      </c>
      <c r="H6" s="71"/>
      <c r="I6" s="71" t="s">
        <v>342</v>
      </c>
      <c r="J6" s="71">
        <v>0.188</v>
      </c>
      <c r="K6" s="59" t="s">
        <v>1404</v>
      </c>
      <c r="L6" s="94" t="s">
        <v>16</v>
      </c>
      <c r="M6" s="94" t="s">
        <v>477</v>
      </c>
      <c r="N6" s="470" t="s">
        <v>63</v>
      </c>
      <c r="O6" s="59" t="s">
        <v>478</v>
      </c>
      <c r="P6" s="94" t="s">
        <v>343</v>
      </c>
      <c r="Q6" s="59" t="s">
        <v>1002</v>
      </c>
      <c r="R6" s="59" t="s">
        <v>1572</v>
      </c>
      <c r="S6" s="94" t="s">
        <v>1404</v>
      </c>
      <c r="T6" s="94" t="s">
        <v>1404</v>
      </c>
      <c r="U6" s="527"/>
    </row>
    <row r="7" spans="1:21" s="533" customFormat="1" ht="13.5" customHeight="1" x14ac:dyDescent="0.2">
      <c r="A7" s="33" t="str">
        <f t="shared" si="0"/>
        <v>Channel34.1</v>
      </c>
      <c r="B7" s="368"/>
      <c r="C7" s="261"/>
      <c r="D7" s="142" t="s">
        <v>1571</v>
      </c>
      <c r="E7" s="49">
        <v>4.0999999999999996</v>
      </c>
      <c r="F7" s="61">
        <v>0.17</v>
      </c>
      <c r="G7" s="49">
        <v>3</v>
      </c>
      <c r="H7" s="49"/>
      <c r="I7" s="49">
        <v>1.41</v>
      </c>
      <c r="J7" s="49">
        <v>0.27300000000000002</v>
      </c>
      <c r="K7" s="33" t="s">
        <v>1404</v>
      </c>
      <c r="L7" s="33" t="s">
        <v>16</v>
      </c>
      <c r="M7" s="33" t="s">
        <v>334</v>
      </c>
      <c r="N7" s="142" t="s">
        <v>1979</v>
      </c>
      <c r="O7" s="70" t="s">
        <v>478</v>
      </c>
      <c r="P7" s="33" t="s">
        <v>343</v>
      </c>
      <c r="Q7" s="70" t="s">
        <v>1002</v>
      </c>
      <c r="R7" s="70" t="s">
        <v>1572</v>
      </c>
      <c r="S7" s="33" t="s">
        <v>1404</v>
      </c>
      <c r="T7" s="33" t="s">
        <v>1404</v>
      </c>
      <c r="U7" s="527"/>
    </row>
    <row r="8" spans="1:21" s="533" customFormat="1" ht="13.5" customHeight="1" x14ac:dyDescent="0.2">
      <c r="A8" s="33" t="str">
        <f t="shared" si="0"/>
        <v>Channel35</v>
      </c>
      <c r="B8" s="368"/>
      <c r="C8" s="261"/>
      <c r="D8" s="125" t="s">
        <v>1571</v>
      </c>
      <c r="E8" s="61">
        <v>5</v>
      </c>
      <c r="F8" s="61">
        <v>0.25800000000000001</v>
      </c>
      <c r="G8" s="458">
        <v>3</v>
      </c>
      <c r="H8" s="458"/>
      <c r="I8" s="49">
        <v>1.498</v>
      </c>
      <c r="J8" s="49">
        <v>0.27300000000000002</v>
      </c>
      <c r="K8" s="33" t="s">
        <v>1409</v>
      </c>
      <c r="L8" s="33" t="s">
        <v>1404</v>
      </c>
      <c r="M8" s="70" t="s">
        <v>1299</v>
      </c>
      <c r="N8" s="125" t="s">
        <v>1980</v>
      </c>
      <c r="O8" s="70" t="s">
        <v>478</v>
      </c>
      <c r="P8" s="33" t="s">
        <v>343</v>
      </c>
      <c r="Q8" s="70" t="s">
        <v>1002</v>
      </c>
      <c r="R8" s="70" t="s">
        <v>1572</v>
      </c>
      <c r="S8" s="33" t="s">
        <v>1404</v>
      </c>
      <c r="T8" s="33" t="s">
        <v>1404</v>
      </c>
      <c r="U8" s="527"/>
    </row>
    <row r="9" spans="1:21" s="533" customFormat="1" ht="13.5" customHeight="1" x14ac:dyDescent="0.2">
      <c r="A9" s="33" t="str">
        <f t="shared" si="0"/>
        <v>Channel45.4</v>
      </c>
      <c r="B9" s="368"/>
      <c r="C9" s="261"/>
      <c r="D9" s="125" t="s">
        <v>1571</v>
      </c>
      <c r="E9" s="61">
        <v>5.4</v>
      </c>
      <c r="F9" s="61">
        <v>0.184</v>
      </c>
      <c r="G9" s="61">
        <v>4</v>
      </c>
      <c r="H9" s="61"/>
      <c r="I9" s="49">
        <v>1.5840000000000001</v>
      </c>
      <c r="J9" s="49">
        <v>0.29599999999999999</v>
      </c>
      <c r="K9" s="33" t="s">
        <v>1409</v>
      </c>
      <c r="L9" s="33" t="s">
        <v>16</v>
      </c>
      <c r="M9" s="70" t="s">
        <v>1866</v>
      </c>
      <c r="N9" s="125" t="s">
        <v>344</v>
      </c>
      <c r="O9" s="70" t="s">
        <v>478</v>
      </c>
      <c r="P9" s="33" t="s">
        <v>343</v>
      </c>
      <c r="Q9" s="70" t="s">
        <v>1002</v>
      </c>
      <c r="R9" s="70" t="s">
        <v>1572</v>
      </c>
      <c r="S9" s="33" t="s">
        <v>1404</v>
      </c>
      <c r="T9" s="33" t="s">
        <v>1404</v>
      </c>
      <c r="U9" s="527"/>
    </row>
    <row r="10" spans="1:21" s="533" customFormat="1" ht="13.5" customHeight="1" x14ac:dyDescent="0.2">
      <c r="A10" s="33" t="str">
        <f t="shared" si="0"/>
        <v>Channel47.25</v>
      </c>
      <c r="B10" s="368"/>
      <c r="C10" s="261"/>
      <c r="D10" s="125" t="s">
        <v>1571</v>
      </c>
      <c r="E10" s="61">
        <v>7.25</v>
      </c>
      <c r="F10" s="61">
        <v>0.32100000000000001</v>
      </c>
      <c r="G10" s="61">
        <v>4</v>
      </c>
      <c r="H10" s="61"/>
      <c r="I10" s="49">
        <v>1.7210000000000001</v>
      </c>
      <c r="J10" s="49">
        <v>0.29599999999999999</v>
      </c>
      <c r="K10" s="33" t="s">
        <v>1409</v>
      </c>
      <c r="L10" s="33" t="s">
        <v>1404</v>
      </c>
      <c r="M10" s="70" t="s">
        <v>743</v>
      </c>
      <c r="N10" s="125" t="s">
        <v>615</v>
      </c>
      <c r="O10" s="70" t="s">
        <v>478</v>
      </c>
      <c r="P10" s="33" t="s">
        <v>343</v>
      </c>
      <c r="Q10" s="70" t="s">
        <v>1002</v>
      </c>
      <c r="R10" s="70" t="s">
        <v>1572</v>
      </c>
      <c r="S10" s="33" t="s">
        <v>1404</v>
      </c>
      <c r="T10" s="33" t="s">
        <v>1404</v>
      </c>
      <c r="U10" s="527"/>
    </row>
    <row r="11" spans="1:21" s="533" customFormat="1" ht="13.5" customHeight="1" x14ac:dyDescent="0.2">
      <c r="A11" s="33" t="str">
        <f t="shared" si="0"/>
        <v>Channel56.7</v>
      </c>
      <c r="B11" s="368"/>
      <c r="C11" s="261"/>
      <c r="D11" s="142" t="s">
        <v>1571</v>
      </c>
      <c r="E11" s="49">
        <v>6.7</v>
      </c>
      <c r="F11" s="61">
        <v>0.19</v>
      </c>
      <c r="G11" s="49">
        <v>5</v>
      </c>
      <c r="H11" s="49"/>
      <c r="I11" s="49">
        <v>1.75</v>
      </c>
      <c r="J11" s="49">
        <v>0.32</v>
      </c>
      <c r="K11" s="33" t="s">
        <v>1404</v>
      </c>
      <c r="L11" s="33" t="s">
        <v>16</v>
      </c>
      <c r="M11" s="70" t="s">
        <v>209</v>
      </c>
      <c r="N11" s="142" t="s">
        <v>1981</v>
      </c>
      <c r="O11" s="70" t="s">
        <v>478</v>
      </c>
      <c r="P11" s="33" t="s">
        <v>343</v>
      </c>
      <c r="Q11" s="70" t="s">
        <v>1002</v>
      </c>
      <c r="R11" s="70" t="s">
        <v>1572</v>
      </c>
      <c r="S11" s="33" t="s">
        <v>1404</v>
      </c>
      <c r="T11" s="33" t="s">
        <v>1404</v>
      </c>
      <c r="U11" s="527"/>
    </row>
    <row r="12" spans="1:21" s="533" customFormat="1" ht="13.5" customHeight="1" x14ac:dyDescent="0.2">
      <c r="A12" s="33" t="str">
        <f t="shared" si="0"/>
        <v>Channel68.2</v>
      </c>
      <c r="B12" s="368"/>
      <c r="C12" s="261"/>
      <c r="D12" s="125" t="s">
        <v>1571</v>
      </c>
      <c r="E12" s="61">
        <v>8.1999999999999993</v>
      </c>
      <c r="F12" s="61">
        <v>0.2</v>
      </c>
      <c r="G12" s="61">
        <v>6</v>
      </c>
      <c r="H12" s="61"/>
      <c r="I12" s="49">
        <v>1.92</v>
      </c>
      <c r="J12" s="49">
        <v>0.34300000000000003</v>
      </c>
      <c r="K12" s="33" t="s">
        <v>1409</v>
      </c>
      <c r="L12" s="33" t="s">
        <v>16</v>
      </c>
      <c r="M12" s="70" t="s">
        <v>744</v>
      </c>
      <c r="N12" s="125" t="s">
        <v>1159</v>
      </c>
      <c r="O12" s="70" t="s">
        <v>478</v>
      </c>
      <c r="P12" s="33" t="s">
        <v>343</v>
      </c>
      <c r="Q12" s="70" t="s">
        <v>1002</v>
      </c>
      <c r="R12" s="70" t="s">
        <v>1572</v>
      </c>
      <c r="S12" s="33" t="s">
        <v>1404</v>
      </c>
      <c r="T12" s="33" t="s">
        <v>1404</v>
      </c>
      <c r="U12" s="527"/>
    </row>
    <row r="13" spans="1:21" s="533" customFormat="1" ht="13.5" customHeight="1" x14ac:dyDescent="0.2">
      <c r="A13" s="33" t="str">
        <f t="shared" si="0"/>
        <v>Channel811.5</v>
      </c>
      <c r="B13" s="368"/>
      <c r="C13" s="261"/>
      <c r="D13" s="125" t="s">
        <v>1571</v>
      </c>
      <c r="E13" s="61">
        <v>11.5</v>
      </c>
      <c r="F13" s="61">
        <v>0.22</v>
      </c>
      <c r="G13" s="61">
        <v>8</v>
      </c>
      <c r="H13" s="61"/>
      <c r="I13" s="49">
        <v>2.2599999999999998</v>
      </c>
      <c r="J13" s="49">
        <v>0.39</v>
      </c>
      <c r="K13" s="33" t="s">
        <v>1409</v>
      </c>
      <c r="L13" s="33" t="s">
        <v>16</v>
      </c>
      <c r="M13" s="70" t="s">
        <v>1982</v>
      </c>
      <c r="N13" s="125" t="s">
        <v>616</v>
      </c>
      <c r="O13" s="70" t="s">
        <v>478</v>
      </c>
      <c r="P13" s="33" t="s">
        <v>343</v>
      </c>
      <c r="Q13" s="70" t="s">
        <v>1002</v>
      </c>
      <c r="R13" s="70" t="s">
        <v>1572</v>
      </c>
      <c r="S13" s="33" t="s">
        <v>1404</v>
      </c>
      <c r="T13" s="33" t="s">
        <v>1404</v>
      </c>
      <c r="U13" s="527"/>
    </row>
    <row r="14" spans="1:21" s="533" customFormat="1" ht="13.5" customHeight="1" x14ac:dyDescent="0.2">
      <c r="A14" s="33" t="str">
        <f t="shared" si="0"/>
        <v>Channel1015.3</v>
      </c>
      <c r="B14" s="368"/>
      <c r="C14" s="261"/>
      <c r="D14" s="125" t="s">
        <v>1571</v>
      </c>
      <c r="E14" s="61">
        <v>15.3</v>
      </c>
      <c r="F14" s="61">
        <v>0.24</v>
      </c>
      <c r="G14" s="61">
        <v>10</v>
      </c>
      <c r="H14" s="61"/>
      <c r="I14" s="49">
        <v>2.6</v>
      </c>
      <c r="J14" s="49">
        <v>0.438</v>
      </c>
      <c r="K14" s="33" t="s">
        <v>1409</v>
      </c>
      <c r="L14" s="33" t="s">
        <v>16</v>
      </c>
      <c r="M14" s="70" t="s">
        <v>1300</v>
      </c>
      <c r="N14" s="125" t="s">
        <v>64</v>
      </c>
      <c r="O14" s="70" t="s">
        <v>478</v>
      </c>
      <c r="P14" s="33" t="s">
        <v>343</v>
      </c>
      <c r="Q14" s="70" t="s">
        <v>1002</v>
      </c>
      <c r="R14" s="70" t="s">
        <v>1572</v>
      </c>
      <c r="S14" s="33" t="s">
        <v>1404</v>
      </c>
      <c r="T14" s="33" t="s">
        <v>1404</v>
      </c>
      <c r="U14" s="527"/>
    </row>
    <row r="15" spans="1:21" s="533" customFormat="1" ht="13.5" customHeight="1" x14ac:dyDescent="0.2">
      <c r="A15" s="33" t="str">
        <f t="shared" si="0"/>
        <v>Channel1220.7</v>
      </c>
      <c r="B15" s="368"/>
      <c r="C15" s="261"/>
      <c r="D15" s="125" t="s">
        <v>1571</v>
      </c>
      <c r="E15" s="61">
        <v>20.7</v>
      </c>
      <c r="F15" s="61">
        <v>0.28199999999999997</v>
      </c>
      <c r="G15" s="61">
        <v>12</v>
      </c>
      <c r="H15" s="61"/>
      <c r="I15" s="49">
        <v>2.9420000000000002</v>
      </c>
      <c r="J15" s="49">
        <v>0.501</v>
      </c>
      <c r="K15" s="33" t="s">
        <v>1409</v>
      </c>
      <c r="L15" s="33" t="s">
        <v>16</v>
      </c>
      <c r="M15" s="70" t="s">
        <v>199</v>
      </c>
      <c r="N15" s="125" t="s">
        <v>617</v>
      </c>
      <c r="O15" s="70" t="s">
        <v>478</v>
      </c>
      <c r="P15" s="33" t="s">
        <v>343</v>
      </c>
      <c r="Q15" s="70" t="s">
        <v>1002</v>
      </c>
      <c r="R15" s="70" t="s">
        <v>1572</v>
      </c>
      <c r="S15" s="33" t="s">
        <v>1404</v>
      </c>
      <c r="T15" s="33" t="s">
        <v>1404</v>
      </c>
      <c r="U15" s="527"/>
    </row>
    <row r="16" spans="1:21" s="533" customFormat="1" ht="13.5" customHeight="1" x14ac:dyDescent="0.2">
      <c r="A16" s="33" t="str">
        <f t="shared" si="0"/>
        <v>I-Beam35.7</v>
      </c>
      <c r="B16" s="368"/>
      <c r="C16" s="449"/>
      <c r="D16" s="142" t="s">
        <v>1301</v>
      </c>
      <c r="E16" s="49">
        <v>5.7</v>
      </c>
      <c r="F16" s="61">
        <v>0.17</v>
      </c>
      <c r="G16" s="49">
        <v>3</v>
      </c>
      <c r="H16" s="49"/>
      <c r="I16" s="49">
        <v>2.33</v>
      </c>
      <c r="J16" s="49">
        <v>0.26</v>
      </c>
      <c r="K16" s="33" t="s">
        <v>1404</v>
      </c>
      <c r="L16" s="33" t="s">
        <v>16</v>
      </c>
      <c r="M16" s="33" t="s">
        <v>1573</v>
      </c>
      <c r="N16" s="142" t="s">
        <v>1302</v>
      </c>
      <c r="O16" s="70" t="s">
        <v>1983</v>
      </c>
      <c r="P16" s="33" t="s">
        <v>343</v>
      </c>
      <c r="Q16" s="70" t="s">
        <v>1002</v>
      </c>
      <c r="R16" s="70" t="s">
        <v>1572</v>
      </c>
      <c r="S16" s="33" t="s">
        <v>1404</v>
      </c>
      <c r="T16" s="33" t="s">
        <v>1404</v>
      </c>
      <c r="U16" s="527"/>
    </row>
    <row r="17" spans="1:21" s="533" customFormat="1" ht="13.5" customHeight="1" x14ac:dyDescent="0.2">
      <c r="A17" s="33" t="str">
        <f t="shared" si="0"/>
        <v>I-Beam47.7</v>
      </c>
      <c r="B17" s="368"/>
      <c r="C17" s="449"/>
      <c r="D17" s="142" t="s">
        <v>1301</v>
      </c>
      <c r="E17" s="49">
        <v>7.7</v>
      </c>
      <c r="F17" s="61">
        <v>0.19</v>
      </c>
      <c r="G17" s="49">
        <v>4</v>
      </c>
      <c r="H17" s="49"/>
      <c r="I17" s="49">
        <v>2.66</v>
      </c>
      <c r="J17" s="49">
        <v>0.29299999999999998</v>
      </c>
      <c r="K17" s="33" t="s">
        <v>1409</v>
      </c>
      <c r="L17" s="33" t="s">
        <v>16</v>
      </c>
      <c r="M17" s="33" t="s">
        <v>1738</v>
      </c>
      <c r="N17" s="142" t="s">
        <v>2106</v>
      </c>
      <c r="O17" s="70" t="s">
        <v>1983</v>
      </c>
      <c r="P17" s="33" t="s">
        <v>343</v>
      </c>
      <c r="Q17" s="70" t="s">
        <v>1002</v>
      </c>
      <c r="R17" s="70" t="s">
        <v>1572</v>
      </c>
      <c r="S17" s="33" t="s">
        <v>1404</v>
      </c>
      <c r="T17" s="33" t="s">
        <v>1404</v>
      </c>
      <c r="U17" s="527"/>
    </row>
    <row r="18" spans="1:21" s="533" customFormat="1" ht="13.5" customHeight="1" x14ac:dyDescent="0.2">
      <c r="A18" s="33" t="str">
        <f t="shared" si="0"/>
        <v>I-Beam612.5</v>
      </c>
      <c r="B18" s="368"/>
      <c r="C18" s="449"/>
      <c r="D18" s="142" t="s">
        <v>1301</v>
      </c>
      <c r="E18" s="49">
        <v>12.5</v>
      </c>
      <c r="F18" s="61">
        <v>0.23</v>
      </c>
      <c r="G18" s="49">
        <v>6</v>
      </c>
      <c r="H18" s="49"/>
      <c r="I18" s="49">
        <v>3.33</v>
      </c>
      <c r="J18" s="49">
        <v>0.35899999999999999</v>
      </c>
      <c r="K18" s="33" t="s">
        <v>1404</v>
      </c>
      <c r="L18" s="33" t="s">
        <v>16</v>
      </c>
      <c r="M18" s="33" t="s">
        <v>1160</v>
      </c>
      <c r="N18" s="142" t="s">
        <v>65</v>
      </c>
      <c r="O18" s="70" t="s">
        <v>1983</v>
      </c>
      <c r="P18" s="33" t="s">
        <v>343</v>
      </c>
      <c r="Q18" s="70" t="s">
        <v>1002</v>
      </c>
      <c r="R18" s="70" t="s">
        <v>1572</v>
      </c>
      <c r="S18" s="33" t="s">
        <v>1404</v>
      </c>
      <c r="T18" s="33" t="s">
        <v>1404</v>
      </c>
      <c r="U18" s="527"/>
    </row>
    <row r="19" spans="1:21" s="533" customFormat="1" ht="13.5" customHeight="1" x14ac:dyDescent="0.2">
      <c r="A19" s="33" t="str">
        <f t="shared" si="0"/>
        <v>I-Beam818.4</v>
      </c>
      <c r="B19" s="368"/>
      <c r="C19" s="449"/>
      <c r="D19" s="142" t="s">
        <v>1301</v>
      </c>
      <c r="E19" s="49">
        <v>18.399999999999999</v>
      </c>
      <c r="F19" s="61">
        <v>0.27</v>
      </c>
      <c r="G19" s="49">
        <v>8</v>
      </c>
      <c r="H19" s="49"/>
      <c r="I19" s="49">
        <v>4</v>
      </c>
      <c r="J19" s="49">
        <v>0.42499999999999999</v>
      </c>
      <c r="K19" s="33" t="s">
        <v>1404</v>
      </c>
      <c r="L19" s="33" t="s">
        <v>16</v>
      </c>
      <c r="M19" s="33" t="s">
        <v>200</v>
      </c>
      <c r="N19" s="142" t="s">
        <v>345</v>
      </c>
      <c r="O19" s="70" t="s">
        <v>1983</v>
      </c>
      <c r="P19" s="33" t="s">
        <v>343</v>
      </c>
      <c r="Q19" s="70" t="s">
        <v>1002</v>
      </c>
      <c r="R19" s="70" t="s">
        <v>1572</v>
      </c>
      <c r="S19" s="33" t="s">
        <v>1404</v>
      </c>
      <c r="T19" s="33" t="s">
        <v>1404</v>
      </c>
      <c r="U19" s="527"/>
    </row>
    <row r="20" spans="1:21" s="533" customFormat="1" ht="13.5" customHeight="1" x14ac:dyDescent="0.2">
      <c r="A20" s="33" t="str">
        <f t="shared" ref="A20:A34" si="1">CONCATENATE(RIGHT(D20,LEN(D20)-FIND(" ",D20)),G20,I20,F20)</f>
        <v>Angle0.750.750.125</v>
      </c>
      <c r="B20" s="368"/>
      <c r="C20" s="449"/>
      <c r="D20" s="125" t="s">
        <v>870</v>
      </c>
      <c r="E20" s="356">
        <v>0.59</v>
      </c>
      <c r="F20" s="428">
        <v>0.125</v>
      </c>
      <c r="G20" s="428">
        <v>0.75</v>
      </c>
      <c r="H20" s="428"/>
      <c r="I20" s="356">
        <v>0.75</v>
      </c>
      <c r="J20" s="356">
        <v>0.125</v>
      </c>
      <c r="K20" s="64" t="s">
        <v>1409</v>
      </c>
      <c r="L20" s="64" t="s">
        <v>1404</v>
      </c>
      <c r="M20" s="247" t="s">
        <v>751</v>
      </c>
      <c r="N20" s="735" t="s">
        <v>621</v>
      </c>
      <c r="O20" s="247" t="s">
        <v>1983</v>
      </c>
      <c r="P20" s="64" t="s">
        <v>343</v>
      </c>
      <c r="Q20" s="247" t="s">
        <v>1002</v>
      </c>
      <c r="R20" s="247" t="s">
        <v>1572</v>
      </c>
      <c r="S20" s="64" t="s">
        <v>1404</v>
      </c>
      <c r="T20" s="64" t="s">
        <v>1404</v>
      </c>
      <c r="U20" s="527"/>
    </row>
    <row r="21" spans="1:21" s="533" customFormat="1" ht="13.5" customHeight="1" x14ac:dyDescent="0.2">
      <c r="A21" s="33" t="str">
        <f t="shared" si="1"/>
        <v>Angle110.25</v>
      </c>
      <c r="B21" s="368"/>
      <c r="C21" s="449"/>
      <c r="D21" s="125" t="s">
        <v>870</v>
      </c>
      <c r="E21" s="49">
        <v>1.49</v>
      </c>
      <c r="F21" s="61">
        <v>0.25</v>
      </c>
      <c r="G21" s="61">
        <v>1</v>
      </c>
      <c r="H21" s="61"/>
      <c r="I21" s="49">
        <v>1</v>
      </c>
      <c r="J21" s="49">
        <v>0.125</v>
      </c>
      <c r="K21" s="33" t="s">
        <v>1409</v>
      </c>
      <c r="L21" s="33" t="s">
        <v>1404</v>
      </c>
      <c r="M21" s="70" t="s">
        <v>479</v>
      </c>
      <c r="N21" s="125" t="s">
        <v>201</v>
      </c>
      <c r="O21" s="70" t="s">
        <v>1983</v>
      </c>
      <c r="P21" s="33" t="s">
        <v>343</v>
      </c>
      <c r="Q21" s="70" t="s">
        <v>1002</v>
      </c>
      <c r="R21" s="70" t="s">
        <v>1572</v>
      </c>
      <c r="S21" s="33" t="s">
        <v>1404</v>
      </c>
      <c r="T21" s="33" t="s">
        <v>1404</v>
      </c>
      <c r="U21" s="527"/>
    </row>
    <row r="22" spans="1:21" s="533" customFormat="1" ht="13.5" customHeight="1" x14ac:dyDescent="0.2">
      <c r="A22" s="33" t="str">
        <f t="shared" si="1"/>
        <v>Angle1.251.250.25</v>
      </c>
      <c r="B22" s="368"/>
      <c r="C22" s="449"/>
      <c r="D22" s="125" t="s">
        <v>870</v>
      </c>
      <c r="E22" s="49">
        <v>1.92</v>
      </c>
      <c r="F22" s="61">
        <v>0.25</v>
      </c>
      <c r="G22" s="61">
        <v>1.25</v>
      </c>
      <c r="H22" s="61"/>
      <c r="I22" s="49">
        <v>1.25</v>
      </c>
      <c r="J22" s="49">
        <v>0.188</v>
      </c>
      <c r="K22" s="33" t="s">
        <v>1409</v>
      </c>
      <c r="L22" s="33" t="s">
        <v>1404</v>
      </c>
      <c r="M22" s="70" t="s">
        <v>66</v>
      </c>
      <c r="N22" s="125" t="s">
        <v>1161</v>
      </c>
      <c r="O22" s="70" t="s">
        <v>1983</v>
      </c>
      <c r="P22" s="33" t="s">
        <v>343</v>
      </c>
      <c r="Q22" s="70" t="s">
        <v>1002</v>
      </c>
      <c r="R22" s="70" t="s">
        <v>1572</v>
      </c>
      <c r="S22" s="33" t="s">
        <v>1404</v>
      </c>
      <c r="T22" s="33" t="s">
        <v>1404</v>
      </c>
      <c r="U22" s="527"/>
    </row>
    <row r="23" spans="1:21" s="533" customFormat="1" ht="13.5" customHeight="1" x14ac:dyDescent="0.2">
      <c r="A23" s="33" t="str">
        <f t="shared" si="1"/>
        <v>Angle1.51.50.25</v>
      </c>
      <c r="B23" s="368"/>
      <c r="C23" s="449"/>
      <c r="D23" s="125" t="s">
        <v>870</v>
      </c>
      <c r="E23" s="49">
        <v>2.34</v>
      </c>
      <c r="F23" s="61">
        <v>0.25</v>
      </c>
      <c r="G23" s="61">
        <v>1.5</v>
      </c>
      <c r="H23" s="61"/>
      <c r="I23" s="49">
        <v>1.5</v>
      </c>
      <c r="J23" s="49">
        <v>0.188</v>
      </c>
      <c r="K23" s="33" t="s">
        <v>1409</v>
      </c>
      <c r="L23" s="33" t="s">
        <v>1404</v>
      </c>
      <c r="M23" s="70" t="s">
        <v>67</v>
      </c>
      <c r="N23" s="125" t="s">
        <v>871</v>
      </c>
      <c r="O23" s="70" t="s">
        <v>1983</v>
      </c>
      <c r="P23" s="33" t="s">
        <v>343</v>
      </c>
      <c r="Q23" s="70" t="s">
        <v>1002</v>
      </c>
      <c r="R23" s="70" t="s">
        <v>1572</v>
      </c>
      <c r="S23" s="33" t="s">
        <v>1404</v>
      </c>
      <c r="T23" s="33" t="s">
        <v>1404</v>
      </c>
      <c r="U23" s="527"/>
    </row>
    <row r="24" spans="1:21" s="533" customFormat="1" ht="13.5" customHeight="1" x14ac:dyDescent="0.2">
      <c r="A24" s="33" t="str">
        <f t="shared" si="1"/>
        <v>Angle220.25</v>
      </c>
      <c r="B24" s="368"/>
      <c r="C24" s="449"/>
      <c r="D24" s="771" t="s">
        <v>870</v>
      </c>
      <c r="E24" s="49">
        <v>3.19</v>
      </c>
      <c r="F24" s="61">
        <v>0.25</v>
      </c>
      <c r="G24" s="61">
        <v>2</v>
      </c>
      <c r="H24" s="61"/>
      <c r="I24" s="49">
        <v>2</v>
      </c>
      <c r="J24" s="49">
        <v>0.28100000000000003</v>
      </c>
      <c r="K24" s="33" t="s">
        <v>1409</v>
      </c>
      <c r="L24" s="33" t="s">
        <v>16</v>
      </c>
      <c r="M24" s="70" t="s">
        <v>1574</v>
      </c>
      <c r="N24" s="125" t="s">
        <v>1867</v>
      </c>
      <c r="O24" s="70" t="s">
        <v>1983</v>
      </c>
      <c r="P24" s="33" t="s">
        <v>343</v>
      </c>
      <c r="Q24" s="70" t="s">
        <v>1002</v>
      </c>
      <c r="R24" s="70" t="s">
        <v>1572</v>
      </c>
      <c r="S24" s="33" t="s">
        <v>1404</v>
      </c>
      <c r="T24" s="33" t="s">
        <v>1404</v>
      </c>
      <c r="U24" s="527"/>
    </row>
    <row r="25" spans="1:21" s="533" customFormat="1" ht="13.5" customHeight="1" x14ac:dyDescent="0.2">
      <c r="A25" s="33" t="str">
        <f t="shared" si="1"/>
        <v>AngleCoped220.25</v>
      </c>
      <c r="B25" s="368"/>
      <c r="C25" s="449"/>
      <c r="D25" s="125" t="s">
        <v>1162</v>
      </c>
      <c r="E25" s="49">
        <v>3.19</v>
      </c>
      <c r="F25" s="61">
        <v>0.25</v>
      </c>
      <c r="G25" s="61">
        <v>2</v>
      </c>
      <c r="H25" s="61"/>
      <c r="I25" s="49">
        <v>2</v>
      </c>
      <c r="J25" s="49">
        <v>0.28100000000000003</v>
      </c>
      <c r="K25" s="33" t="s">
        <v>1409</v>
      </c>
      <c r="L25" s="33" t="s">
        <v>1404</v>
      </c>
      <c r="M25" s="70" t="s">
        <v>1439</v>
      </c>
      <c r="N25" s="125" t="s">
        <v>1868</v>
      </c>
      <c r="O25" s="70" t="s">
        <v>1983</v>
      </c>
      <c r="P25" s="33" t="s">
        <v>343</v>
      </c>
      <c r="Q25" s="70" t="s">
        <v>1002</v>
      </c>
      <c r="R25" s="70" t="s">
        <v>1572</v>
      </c>
      <c r="S25" s="33" t="s">
        <v>1404</v>
      </c>
      <c r="T25" s="33" t="s">
        <v>1404</v>
      </c>
      <c r="U25" s="527"/>
    </row>
    <row r="26" spans="1:21" s="533" customFormat="1" ht="13.5" customHeight="1" x14ac:dyDescent="0.2">
      <c r="A26" s="33" t="str">
        <f t="shared" si="1"/>
        <v>Angle220.188</v>
      </c>
      <c r="B26" s="368"/>
      <c r="C26" s="449"/>
      <c r="D26" s="142" t="s">
        <v>870</v>
      </c>
      <c r="E26" s="49">
        <v>2.44</v>
      </c>
      <c r="F26" s="61">
        <v>0.188</v>
      </c>
      <c r="G26" s="49">
        <v>2</v>
      </c>
      <c r="H26" s="49"/>
      <c r="I26" s="49">
        <v>2</v>
      </c>
      <c r="J26" s="49">
        <v>0.28100000000000003</v>
      </c>
      <c r="K26" s="33" t="s">
        <v>1404</v>
      </c>
      <c r="L26" s="33" t="s">
        <v>16</v>
      </c>
      <c r="M26" s="33" t="s">
        <v>346</v>
      </c>
      <c r="N26" s="142" t="s">
        <v>347</v>
      </c>
      <c r="O26" s="70" t="s">
        <v>1983</v>
      </c>
      <c r="P26" s="33" t="s">
        <v>343</v>
      </c>
      <c r="Q26" s="70" t="s">
        <v>1002</v>
      </c>
      <c r="R26" s="70" t="s">
        <v>1572</v>
      </c>
      <c r="S26" s="33" t="s">
        <v>1404</v>
      </c>
      <c r="T26" s="33" t="s">
        <v>1404</v>
      </c>
      <c r="U26" s="527"/>
    </row>
    <row r="27" spans="1:21" s="533" customFormat="1" ht="13.5" customHeight="1" x14ac:dyDescent="0.2">
      <c r="A27" s="33" t="str">
        <f t="shared" si="1"/>
        <v>Angle430.375</v>
      </c>
      <c r="B27" s="368"/>
      <c r="C27" s="449"/>
      <c r="D27" s="142" t="s">
        <v>870</v>
      </c>
      <c r="E27" s="49">
        <v>8.5</v>
      </c>
      <c r="F27" s="61">
        <v>0.375</v>
      </c>
      <c r="G27" s="49">
        <v>4</v>
      </c>
      <c r="H27" s="49"/>
      <c r="I27" s="49">
        <v>3</v>
      </c>
      <c r="J27" s="49">
        <v>0.5</v>
      </c>
      <c r="K27" s="33" t="s">
        <v>1404</v>
      </c>
      <c r="L27" s="33" t="s">
        <v>16</v>
      </c>
      <c r="M27" s="247" t="s">
        <v>1169</v>
      </c>
      <c r="N27" s="142" t="s">
        <v>1589</v>
      </c>
      <c r="O27" s="70" t="s">
        <v>1983</v>
      </c>
      <c r="P27" s="33" t="s">
        <v>887</v>
      </c>
      <c r="Q27" s="70" t="s">
        <v>1002</v>
      </c>
      <c r="R27" s="70" t="s">
        <v>1572</v>
      </c>
      <c r="S27" s="33" t="s">
        <v>1404</v>
      </c>
      <c r="T27" s="33" t="s">
        <v>1404</v>
      </c>
      <c r="U27" s="527"/>
    </row>
    <row r="28" spans="1:21" s="533" customFormat="1" ht="13.5" customHeight="1" x14ac:dyDescent="0.2">
      <c r="A28" s="33" t="str">
        <f t="shared" si="1"/>
        <v>Angle440.375</v>
      </c>
      <c r="B28" s="368"/>
      <c r="C28" s="449"/>
      <c r="D28" s="142" t="s">
        <v>870</v>
      </c>
      <c r="E28" s="49">
        <v>9.8000000000000007</v>
      </c>
      <c r="F28" s="61">
        <v>0.375</v>
      </c>
      <c r="G28" s="49">
        <v>4</v>
      </c>
      <c r="H28" s="49"/>
      <c r="I28" s="49">
        <v>4</v>
      </c>
      <c r="J28" s="49">
        <v>0.5</v>
      </c>
      <c r="K28" s="33" t="s">
        <v>1404</v>
      </c>
      <c r="L28" s="33" t="s">
        <v>16</v>
      </c>
      <c r="M28" s="247" t="s">
        <v>1747</v>
      </c>
      <c r="N28" s="142" t="s">
        <v>223</v>
      </c>
      <c r="O28" s="70" t="s">
        <v>1983</v>
      </c>
      <c r="P28" s="33" t="s">
        <v>887</v>
      </c>
      <c r="Q28" s="70" t="s">
        <v>1002</v>
      </c>
      <c r="R28" s="70" t="s">
        <v>1572</v>
      </c>
      <c r="S28" s="33" t="s">
        <v>1404</v>
      </c>
      <c r="T28" s="33" t="s">
        <v>1404</v>
      </c>
      <c r="U28" s="527"/>
    </row>
    <row r="29" spans="1:21" s="533" customFormat="1" ht="13.5" customHeight="1" x14ac:dyDescent="0.2">
      <c r="A29" s="33" t="str">
        <f t="shared" si="1"/>
        <v>Angle640.375</v>
      </c>
      <c r="B29" s="368"/>
      <c r="C29" s="449"/>
      <c r="D29" s="142" t="s">
        <v>870</v>
      </c>
      <c r="E29" s="49">
        <v>12.3</v>
      </c>
      <c r="F29" s="61">
        <v>0.375</v>
      </c>
      <c r="G29" s="49">
        <v>6</v>
      </c>
      <c r="H29" s="49"/>
      <c r="I29" s="49">
        <v>4</v>
      </c>
      <c r="J29" s="49">
        <v>0.5</v>
      </c>
      <c r="K29" s="33" t="s">
        <v>1404</v>
      </c>
      <c r="L29" s="33" t="s">
        <v>16</v>
      </c>
      <c r="M29" s="33" t="s">
        <v>1163</v>
      </c>
      <c r="N29" s="142" t="s">
        <v>872</v>
      </c>
      <c r="O29" s="70" t="s">
        <v>1983</v>
      </c>
      <c r="P29" s="33" t="s">
        <v>343</v>
      </c>
      <c r="Q29" s="70" t="s">
        <v>1002</v>
      </c>
      <c r="R29" s="70" t="s">
        <v>1572</v>
      </c>
      <c r="S29" s="33" t="s">
        <v>1404</v>
      </c>
      <c r="T29" s="33" t="s">
        <v>1404</v>
      </c>
      <c r="U29" s="527"/>
    </row>
    <row r="30" spans="1:21" s="533" customFormat="1" ht="13.5" customHeight="1" x14ac:dyDescent="0.2">
      <c r="A30" s="33" t="str">
        <f t="shared" si="1"/>
        <v>Tubing110.065</v>
      </c>
      <c r="B30" s="368"/>
      <c r="C30" s="449"/>
      <c r="D30" s="142" t="s">
        <v>68</v>
      </c>
      <c r="E30" s="49">
        <v>0.82650000000000001</v>
      </c>
      <c r="F30" s="61">
        <v>6.5000000000000002E-2</v>
      </c>
      <c r="G30" s="49">
        <v>1</v>
      </c>
      <c r="H30" s="49"/>
      <c r="I30" s="49">
        <v>1</v>
      </c>
      <c r="J30" s="49" t="s">
        <v>1404</v>
      </c>
      <c r="K30" s="33" t="s">
        <v>1404</v>
      </c>
      <c r="L30" s="33" t="s">
        <v>16</v>
      </c>
      <c r="M30" s="33" t="s">
        <v>1157</v>
      </c>
      <c r="N30" s="142" t="s">
        <v>1575</v>
      </c>
      <c r="O30" s="33" t="s">
        <v>1303</v>
      </c>
      <c r="P30" s="33" t="s">
        <v>1404</v>
      </c>
      <c r="Q30" s="70" t="s">
        <v>1002</v>
      </c>
      <c r="R30" s="70" t="s">
        <v>1572</v>
      </c>
      <c r="S30" s="33" t="s">
        <v>1404</v>
      </c>
      <c r="T30" s="33" t="s">
        <v>1404</v>
      </c>
      <c r="U30" s="527"/>
    </row>
    <row r="31" spans="1:21" s="533" customFormat="1" ht="13.5" customHeight="1" x14ac:dyDescent="0.2">
      <c r="A31" s="33" t="str">
        <f t="shared" si="1"/>
        <v>Tubing330.12</v>
      </c>
      <c r="B31" s="368"/>
      <c r="C31" s="449"/>
      <c r="D31" s="142" t="s">
        <v>68</v>
      </c>
      <c r="E31" s="49">
        <v>4.58</v>
      </c>
      <c r="F31" s="61">
        <v>0.12</v>
      </c>
      <c r="G31" s="49">
        <v>3</v>
      </c>
      <c r="H31" s="49"/>
      <c r="I31" s="49">
        <v>3</v>
      </c>
      <c r="J31" s="49" t="s">
        <v>1404</v>
      </c>
      <c r="K31" s="33" t="s">
        <v>1409</v>
      </c>
      <c r="L31" s="33" t="s">
        <v>16</v>
      </c>
      <c r="M31" s="33" t="s">
        <v>1312</v>
      </c>
      <c r="N31" s="142" t="s">
        <v>745</v>
      </c>
      <c r="O31" s="33" t="s">
        <v>1303</v>
      </c>
      <c r="P31" s="33" t="s">
        <v>1404</v>
      </c>
      <c r="Q31" s="70" t="s">
        <v>1002</v>
      </c>
      <c r="R31" s="70" t="s">
        <v>1572</v>
      </c>
      <c r="S31" s="33" t="s">
        <v>1404</v>
      </c>
      <c r="T31" s="33" t="s">
        <v>1404</v>
      </c>
      <c r="U31" s="527"/>
    </row>
    <row r="32" spans="1:21" s="533" customFormat="1" ht="13.5" customHeight="1" x14ac:dyDescent="0.2">
      <c r="A32" s="33" t="str">
        <f t="shared" si="1"/>
        <v>Tubing440.12</v>
      </c>
      <c r="B32" s="368"/>
      <c r="C32" s="449"/>
      <c r="D32" s="142" t="s">
        <v>68</v>
      </c>
      <c r="E32" s="61">
        <v>6.22</v>
      </c>
      <c r="F32" s="61">
        <v>0.12</v>
      </c>
      <c r="G32" s="61">
        <v>4</v>
      </c>
      <c r="H32" s="61"/>
      <c r="I32" s="61">
        <v>4</v>
      </c>
      <c r="J32" s="61" t="s">
        <v>1404</v>
      </c>
      <c r="K32" s="70" t="s">
        <v>1404</v>
      </c>
      <c r="L32" s="33" t="s">
        <v>16</v>
      </c>
      <c r="M32" s="33" t="s">
        <v>742</v>
      </c>
      <c r="N32" s="142" t="s">
        <v>1003</v>
      </c>
      <c r="O32" s="33" t="s">
        <v>1303</v>
      </c>
      <c r="P32" s="33" t="s">
        <v>1404</v>
      </c>
      <c r="Q32" s="70" t="s">
        <v>1002</v>
      </c>
      <c r="R32" s="70" t="s">
        <v>1572</v>
      </c>
      <c r="S32" s="33" t="s">
        <v>1404</v>
      </c>
      <c r="T32" s="33" t="s">
        <v>1404</v>
      </c>
      <c r="U32" s="527"/>
    </row>
    <row r="33" spans="1:21" s="533" customFormat="1" ht="13.5" customHeight="1" x14ac:dyDescent="0.2">
      <c r="A33" s="33" t="str">
        <f t="shared" si="1"/>
        <v>Tubing220.12</v>
      </c>
      <c r="B33" s="368"/>
      <c r="C33" s="449"/>
      <c r="D33" s="142" t="s">
        <v>68</v>
      </c>
      <c r="E33" s="49">
        <v>2.94</v>
      </c>
      <c r="F33" s="61">
        <v>0.12</v>
      </c>
      <c r="G33" s="49">
        <v>2</v>
      </c>
      <c r="H33" s="49"/>
      <c r="I33" s="49">
        <v>2</v>
      </c>
      <c r="J33" s="49" t="s">
        <v>1404</v>
      </c>
      <c r="K33" s="33" t="s">
        <v>1409</v>
      </c>
      <c r="L33" s="33" t="s">
        <v>16</v>
      </c>
      <c r="M33" s="33" t="s">
        <v>750</v>
      </c>
      <c r="N33" s="142" t="s">
        <v>480</v>
      </c>
      <c r="O33" s="33" t="s">
        <v>1303</v>
      </c>
      <c r="P33" s="781" t="s">
        <v>1404</v>
      </c>
      <c r="Q33" s="70" t="s">
        <v>1002</v>
      </c>
      <c r="R33" s="70" t="s">
        <v>1572</v>
      </c>
      <c r="S33" s="33" t="s">
        <v>1404</v>
      </c>
      <c r="T33" s="33" t="s">
        <v>1404</v>
      </c>
      <c r="U33" s="527"/>
    </row>
    <row r="34" spans="1:21" s="533" customFormat="1" ht="13.5" customHeight="1" x14ac:dyDescent="0.2">
      <c r="A34" s="33" t="str">
        <f t="shared" si="1"/>
        <v>Tubing1.50.750.12</v>
      </c>
      <c r="B34" s="368"/>
      <c r="C34" s="449"/>
      <c r="D34" s="142" t="s">
        <v>68</v>
      </c>
      <c r="E34" s="49">
        <v>1.64</v>
      </c>
      <c r="F34" s="61">
        <v>0.12</v>
      </c>
      <c r="G34" s="49">
        <v>1.5</v>
      </c>
      <c r="H34" s="49"/>
      <c r="I34" s="49">
        <v>0.75</v>
      </c>
      <c r="J34" s="49" t="s">
        <v>1404</v>
      </c>
      <c r="K34" s="33" t="s">
        <v>1404</v>
      </c>
      <c r="L34" s="33" t="s">
        <v>16</v>
      </c>
      <c r="M34" s="33" t="s">
        <v>1304</v>
      </c>
      <c r="N34" s="142" t="s">
        <v>1305</v>
      </c>
      <c r="O34" s="33" t="s">
        <v>1303</v>
      </c>
      <c r="P34" s="781" t="s">
        <v>1404</v>
      </c>
      <c r="Q34" s="70" t="s">
        <v>1002</v>
      </c>
      <c r="R34" s="70" t="s">
        <v>1572</v>
      </c>
      <c r="S34" s="33" t="s">
        <v>1404</v>
      </c>
      <c r="T34" s="33" t="s">
        <v>1404</v>
      </c>
      <c r="U34" s="527"/>
    </row>
    <row r="35" spans="1:21" s="533" customFormat="1" ht="13.5" customHeight="1" x14ac:dyDescent="0.2">
      <c r="A35" s="33" t="str">
        <f>CONCATENATE(RIGHT(D35,LEN(D35)-FIND(" ",D35)),I35,F35)</f>
        <v>Flat Bar30.25</v>
      </c>
      <c r="B35" s="368"/>
      <c r="C35" s="449"/>
      <c r="D35" s="142" t="s">
        <v>1306</v>
      </c>
      <c r="E35" s="49">
        <v>2.9750000000000001</v>
      </c>
      <c r="F35" s="61">
        <v>0.25</v>
      </c>
      <c r="G35" s="49" t="s">
        <v>1404</v>
      </c>
      <c r="H35" s="49"/>
      <c r="I35" s="49">
        <v>3</v>
      </c>
      <c r="J35" s="49" t="s">
        <v>1404</v>
      </c>
      <c r="K35" s="33" t="s">
        <v>1404</v>
      </c>
      <c r="L35" s="33" t="s">
        <v>16</v>
      </c>
      <c r="M35" s="33" t="s">
        <v>873</v>
      </c>
      <c r="N35" s="142" t="s">
        <v>354</v>
      </c>
      <c r="O35" s="33" t="s">
        <v>1303</v>
      </c>
      <c r="P35" s="33" t="s">
        <v>1404</v>
      </c>
      <c r="Q35" s="70" t="s">
        <v>1002</v>
      </c>
      <c r="R35" s="70" t="s">
        <v>1572</v>
      </c>
      <c r="S35" s="33" t="s">
        <v>1404</v>
      </c>
      <c r="T35" s="33" t="s">
        <v>1404</v>
      </c>
      <c r="U35" s="527"/>
    </row>
    <row r="36" spans="1:21" s="72" customFormat="1" ht="13.5" customHeight="1" thickBot="1" x14ac:dyDescent="0.25">
      <c r="A36" s="202" t="str">
        <f t="shared" ref="A36:A38" si="2">CONCATENATE(E36,S36)</f>
        <v/>
      </c>
      <c r="B36" s="332"/>
      <c r="C36" s="261"/>
      <c r="D36" s="203"/>
      <c r="E36" s="83"/>
      <c r="F36" s="83"/>
      <c r="G36" s="83"/>
      <c r="H36" s="83"/>
      <c r="I36" s="83"/>
      <c r="J36" s="83"/>
      <c r="K36" s="74"/>
      <c r="L36" s="74"/>
      <c r="M36" s="73"/>
      <c r="N36" s="322"/>
      <c r="O36" s="74"/>
      <c r="P36" s="762"/>
      <c r="Q36" s="74"/>
      <c r="R36" s="74"/>
      <c r="S36" s="74"/>
      <c r="T36" s="73"/>
      <c r="U36" s="312"/>
    </row>
    <row r="37" spans="1:21" s="72" customFormat="1" ht="17.25" customHeight="1" thickTop="1" thickBot="1" x14ac:dyDescent="0.25">
      <c r="A37" s="332" t="str">
        <f t="shared" si="2"/>
        <v/>
      </c>
      <c r="B37" s="332"/>
      <c r="C37" s="231"/>
      <c r="D37" s="82"/>
      <c r="E37" s="67"/>
      <c r="F37" s="67"/>
      <c r="G37" s="67"/>
      <c r="H37" s="67"/>
      <c r="I37" s="67"/>
      <c r="J37" s="67"/>
      <c r="K37" s="21"/>
      <c r="L37" s="21"/>
      <c r="M37" s="21"/>
      <c r="N37" s="82"/>
      <c r="O37" s="21"/>
      <c r="P37" s="21"/>
      <c r="Q37" s="21"/>
      <c r="R37" s="21"/>
      <c r="S37" s="21"/>
      <c r="T37" s="21"/>
      <c r="U37" s="312"/>
    </row>
    <row r="38" spans="1:21" s="72" customFormat="1" ht="17.25" customHeight="1" thickTop="1" thickBot="1" x14ac:dyDescent="0.3">
      <c r="A38" s="284" t="str">
        <f t="shared" si="2"/>
        <v/>
      </c>
      <c r="B38" s="332"/>
      <c r="C38" s="530" t="s">
        <v>2107</v>
      </c>
      <c r="D38" s="75"/>
      <c r="E38" s="29"/>
      <c r="F38" s="29"/>
      <c r="G38" s="29"/>
      <c r="H38" s="29"/>
      <c r="I38" s="29"/>
      <c r="J38" s="29"/>
      <c r="N38" s="75"/>
      <c r="U38" s="312"/>
    </row>
    <row r="39" spans="1:21" s="72" customFormat="1" ht="13.5" customHeight="1" thickTop="1" x14ac:dyDescent="0.2">
      <c r="A39" s="94" t="str">
        <f t="shared" ref="A39:A55" si="3">T39</f>
        <v>ALUT12TB</v>
      </c>
      <c r="B39" s="332"/>
      <c r="C39" s="261"/>
      <c r="D39" s="186" t="s">
        <v>2108</v>
      </c>
      <c r="E39" s="71" t="s">
        <v>1404</v>
      </c>
      <c r="F39" s="71" t="s">
        <v>1404</v>
      </c>
      <c r="G39" s="71" t="s">
        <v>1404</v>
      </c>
      <c r="H39" s="71"/>
      <c r="I39" s="71" t="s">
        <v>1404</v>
      </c>
      <c r="J39" s="71" t="s">
        <v>1404</v>
      </c>
      <c r="K39" s="59" t="s">
        <v>1409</v>
      </c>
      <c r="L39" s="94" t="s">
        <v>1404</v>
      </c>
      <c r="M39" s="59" t="s">
        <v>348</v>
      </c>
      <c r="N39" s="186" t="s">
        <v>1576</v>
      </c>
      <c r="O39" s="59" t="s">
        <v>1440</v>
      </c>
      <c r="P39" s="94" t="s">
        <v>1404</v>
      </c>
      <c r="Q39" s="59" t="s">
        <v>481</v>
      </c>
      <c r="R39" s="59" t="s">
        <v>1572</v>
      </c>
      <c r="S39" s="59" t="s">
        <v>1307</v>
      </c>
      <c r="T39" s="94" t="s">
        <v>349</v>
      </c>
      <c r="U39" s="312"/>
    </row>
    <row r="40" spans="1:21" s="72" customFormat="1" ht="13.5" customHeight="1" x14ac:dyDescent="0.2">
      <c r="A40" s="33" t="str">
        <f t="shared" si="3"/>
        <v>ALUT12M-</v>
      </c>
      <c r="B40" s="332"/>
      <c r="C40" s="261"/>
      <c r="D40" s="125" t="s">
        <v>2108</v>
      </c>
      <c r="E40" s="61" t="s">
        <v>1404</v>
      </c>
      <c r="F40" s="61" t="s">
        <v>1404</v>
      </c>
      <c r="G40" s="61" t="s">
        <v>1404</v>
      </c>
      <c r="H40" s="61"/>
      <c r="I40" s="61" t="s">
        <v>1404</v>
      </c>
      <c r="J40" s="61" t="s">
        <v>1404</v>
      </c>
      <c r="K40" s="70" t="s">
        <v>1409</v>
      </c>
      <c r="L40" s="33" t="s">
        <v>1404</v>
      </c>
      <c r="M40" s="70" t="s">
        <v>202</v>
      </c>
      <c r="N40" s="125" t="s">
        <v>1164</v>
      </c>
      <c r="O40" s="70" t="s">
        <v>1440</v>
      </c>
      <c r="P40" s="33" t="s">
        <v>1404</v>
      </c>
      <c r="Q40" s="70" t="s">
        <v>481</v>
      </c>
      <c r="R40" s="70" t="s">
        <v>1572</v>
      </c>
      <c r="S40" s="70" t="s">
        <v>203</v>
      </c>
      <c r="T40" s="33" t="s">
        <v>1004</v>
      </c>
      <c r="U40" s="312"/>
    </row>
    <row r="41" spans="1:21" s="72" customFormat="1" ht="13.5" customHeight="1" x14ac:dyDescent="0.2">
      <c r="A41" s="33" t="str">
        <f t="shared" si="3"/>
        <v>ALUT14TB</v>
      </c>
      <c r="B41" s="332"/>
      <c r="C41" s="261"/>
      <c r="D41" s="125" t="s">
        <v>2108</v>
      </c>
      <c r="E41" s="61" t="s">
        <v>1404</v>
      </c>
      <c r="F41" s="61" t="s">
        <v>1404</v>
      </c>
      <c r="G41" s="61" t="s">
        <v>1404</v>
      </c>
      <c r="H41" s="61"/>
      <c r="I41" s="61" t="s">
        <v>1404</v>
      </c>
      <c r="J41" s="61" t="s">
        <v>1404</v>
      </c>
      <c r="K41" s="70" t="s">
        <v>1409</v>
      </c>
      <c r="L41" s="33" t="s">
        <v>1404</v>
      </c>
      <c r="M41" s="70" t="s">
        <v>69</v>
      </c>
      <c r="N41" s="125" t="s">
        <v>1165</v>
      </c>
      <c r="O41" s="70" t="s">
        <v>1440</v>
      </c>
      <c r="P41" s="33" t="s">
        <v>1404</v>
      </c>
      <c r="Q41" s="70" t="s">
        <v>481</v>
      </c>
      <c r="R41" s="70" t="s">
        <v>1572</v>
      </c>
      <c r="S41" s="70" t="s">
        <v>1308</v>
      </c>
      <c r="T41" s="33" t="s">
        <v>350</v>
      </c>
      <c r="U41" s="312"/>
    </row>
    <row r="42" spans="1:21" s="72" customFormat="1" ht="13.5" customHeight="1" x14ac:dyDescent="0.2">
      <c r="A42" s="33" t="str">
        <f t="shared" si="3"/>
        <v>ALUT14M-</v>
      </c>
      <c r="B42" s="332"/>
      <c r="C42" s="261"/>
      <c r="D42" s="125" t="s">
        <v>2108</v>
      </c>
      <c r="E42" s="61" t="s">
        <v>1404</v>
      </c>
      <c r="F42" s="61" t="s">
        <v>1404</v>
      </c>
      <c r="G42" s="61" t="s">
        <v>1404</v>
      </c>
      <c r="H42" s="61"/>
      <c r="I42" s="61" t="s">
        <v>1404</v>
      </c>
      <c r="J42" s="61" t="s">
        <v>1404</v>
      </c>
      <c r="K42" s="70" t="s">
        <v>1409</v>
      </c>
      <c r="L42" s="33" t="s">
        <v>1404</v>
      </c>
      <c r="M42" s="70" t="s">
        <v>1984</v>
      </c>
      <c r="N42" s="125" t="s">
        <v>746</v>
      </c>
      <c r="O42" s="70" t="s">
        <v>1440</v>
      </c>
      <c r="P42" s="33" t="s">
        <v>1404</v>
      </c>
      <c r="Q42" s="70" t="s">
        <v>481</v>
      </c>
      <c r="R42" s="70" t="s">
        <v>1572</v>
      </c>
      <c r="S42" s="70" t="s">
        <v>1441</v>
      </c>
      <c r="T42" s="33" t="s">
        <v>1005</v>
      </c>
      <c r="U42" s="312"/>
    </row>
    <row r="43" spans="1:21" s="72" customFormat="1" ht="13.5" customHeight="1" x14ac:dyDescent="0.2">
      <c r="A43" s="33" t="str">
        <f t="shared" si="3"/>
        <v>ALUT42TB</v>
      </c>
      <c r="B43" s="332"/>
      <c r="C43" s="261"/>
      <c r="D43" s="125" t="s">
        <v>2108</v>
      </c>
      <c r="E43" s="61" t="s">
        <v>1404</v>
      </c>
      <c r="F43" s="61" t="s">
        <v>1404</v>
      </c>
      <c r="G43" s="61" t="s">
        <v>1404</v>
      </c>
      <c r="H43" s="61"/>
      <c r="I43" s="61" t="s">
        <v>1404</v>
      </c>
      <c r="J43" s="61" t="s">
        <v>1404</v>
      </c>
      <c r="K43" s="70" t="s">
        <v>1409</v>
      </c>
      <c r="L43" s="33" t="s">
        <v>1404</v>
      </c>
      <c r="M43" s="70" t="s">
        <v>1006</v>
      </c>
      <c r="N43" s="125" t="s">
        <v>1576</v>
      </c>
      <c r="O43" s="70" t="s">
        <v>1440</v>
      </c>
      <c r="P43" s="33" t="s">
        <v>1404</v>
      </c>
      <c r="Q43" s="70" t="s">
        <v>481</v>
      </c>
      <c r="R43" s="70" t="s">
        <v>1572</v>
      </c>
      <c r="S43" s="70" t="s">
        <v>874</v>
      </c>
      <c r="T43" s="33" t="s">
        <v>2109</v>
      </c>
      <c r="U43" s="312"/>
    </row>
    <row r="44" spans="1:21" s="72" customFormat="1" ht="13.5" customHeight="1" x14ac:dyDescent="0.2">
      <c r="A44" s="33" t="str">
        <f t="shared" si="3"/>
        <v>ALUT42M-</v>
      </c>
      <c r="B44" s="332"/>
      <c r="C44" s="261"/>
      <c r="D44" s="125" t="s">
        <v>2108</v>
      </c>
      <c r="E44" s="61" t="s">
        <v>1404</v>
      </c>
      <c r="F44" s="61" t="s">
        <v>1404</v>
      </c>
      <c r="G44" s="61" t="s">
        <v>1404</v>
      </c>
      <c r="H44" s="61"/>
      <c r="I44" s="61" t="s">
        <v>1404</v>
      </c>
      <c r="J44" s="61" t="s">
        <v>1404</v>
      </c>
      <c r="K44" s="70" t="s">
        <v>1409</v>
      </c>
      <c r="L44" s="33" t="s">
        <v>1404</v>
      </c>
      <c r="M44" s="70" t="s">
        <v>875</v>
      </c>
      <c r="N44" s="125" t="s">
        <v>1164</v>
      </c>
      <c r="O44" s="70" t="s">
        <v>1440</v>
      </c>
      <c r="P44" s="33" t="s">
        <v>1404</v>
      </c>
      <c r="Q44" s="70" t="s">
        <v>481</v>
      </c>
      <c r="R44" s="70" t="s">
        <v>1572</v>
      </c>
      <c r="S44" s="70" t="s">
        <v>1442</v>
      </c>
      <c r="T44" s="33" t="s">
        <v>482</v>
      </c>
      <c r="U44" s="312"/>
    </row>
    <row r="45" spans="1:21" s="72" customFormat="1" ht="13.5" customHeight="1" x14ac:dyDescent="0.2">
      <c r="A45" s="33" t="str">
        <f t="shared" si="3"/>
        <v>-</v>
      </c>
      <c r="B45" s="332"/>
      <c r="C45" s="261"/>
      <c r="D45" s="125" t="s">
        <v>2108</v>
      </c>
      <c r="E45" s="61" t="s">
        <v>1404</v>
      </c>
      <c r="F45" s="61" t="s">
        <v>1404</v>
      </c>
      <c r="G45" s="61" t="s">
        <v>1404</v>
      </c>
      <c r="H45" s="61"/>
      <c r="I45" s="61" t="s">
        <v>1404</v>
      </c>
      <c r="J45" s="61" t="s">
        <v>1404</v>
      </c>
      <c r="K45" s="70" t="s">
        <v>1404</v>
      </c>
      <c r="L45" s="696" t="s">
        <v>16</v>
      </c>
      <c r="M45" s="33" t="s">
        <v>204</v>
      </c>
      <c r="N45" s="142" t="s">
        <v>1985</v>
      </c>
      <c r="O45" s="70" t="s">
        <v>1440</v>
      </c>
      <c r="P45" s="33" t="s">
        <v>1404</v>
      </c>
      <c r="Q45" s="70" t="s">
        <v>481</v>
      </c>
      <c r="R45" s="70" t="s">
        <v>1572</v>
      </c>
      <c r="S45" s="33" t="s">
        <v>1404</v>
      </c>
      <c r="T45" s="33" t="s">
        <v>1404</v>
      </c>
      <c r="U45" s="312"/>
    </row>
    <row r="46" spans="1:21" s="72" customFormat="1" ht="13.5" customHeight="1" x14ac:dyDescent="0.2">
      <c r="A46" s="33" t="str">
        <f t="shared" si="3"/>
        <v>-</v>
      </c>
      <c r="B46" s="332"/>
      <c r="C46" s="261"/>
      <c r="D46" s="125" t="s">
        <v>2108</v>
      </c>
      <c r="E46" s="49" t="s">
        <v>1404</v>
      </c>
      <c r="F46" s="49" t="s">
        <v>1404</v>
      </c>
      <c r="G46" s="49" t="s">
        <v>1404</v>
      </c>
      <c r="H46" s="49"/>
      <c r="I46" s="49" t="s">
        <v>1404</v>
      </c>
      <c r="J46" s="61" t="s">
        <v>1404</v>
      </c>
      <c r="K46" s="33" t="s">
        <v>1404</v>
      </c>
      <c r="L46" s="696" t="s">
        <v>16</v>
      </c>
      <c r="M46" s="33" t="s">
        <v>70</v>
      </c>
      <c r="N46" s="142" t="s">
        <v>205</v>
      </c>
      <c r="O46" s="70" t="s">
        <v>1440</v>
      </c>
      <c r="P46" s="33" t="s">
        <v>1404</v>
      </c>
      <c r="Q46" s="70" t="s">
        <v>481</v>
      </c>
      <c r="R46" s="70" t="s">
        <v>1572</v>
      </c>
      <c r="S46" s="33" t="s">
        <v>1404</v>
      </c>
      <c r="T46" s="33" t="s">
        <v>1404</v>
      </c>
      <c r="U46" s="312"/>
    </row>
    <row r="47" spans="1:21" s="72" customFormat="1" ht="13.5" customHeight="1" x14ac:dyDescent="0.2">
      <c r="A47" s="33" t="str">
        <f t="shared" si="3"/>
        <v>-</v>
      </c>
      <c r="B47" s="332"/>
      <c r="C47" s="261"/>
      <c r="D47" s="125" t="s">
        <v>2108</v>
      </c>
      <c r="E47" s="49" t="s">
        <v>1404</v>
      </c>
      <c r="F47" s="49" t="s">
        <v>1404</v>
      </c>
      <c r="G47" s="49" t="s">
        <v>1404</v>
      </c>
      <c r="H47" s="49"/>
      <c r="I47" s="49" t="s">
        <v>1404</v>
      </c>
      <c r="J47" s="61" t="s">
        <v>1404</v>
      </c>
      <c r="K47" s="33" t="s">
        <v>1404</v>
      </c>
      <c r="L47" s="33" t="s">
        <v>16</v>
      </c>
      <c r="M47" s="33" t="s">
        <v>1986</v>
      </c>
      <c r="N47" s="142" t="s">
        <v>483</v>
      </c>
      <c r="O47" s="70" t="s">
        <v>1440</v>
      </c>
      <c r="P47" s="33" t="s">
        <v>1404</v>
      </c>
      <c r="Q47" s="70" t="s">
        <v>481</v>
      </c>
      <c r="R47" s="70" t="s">
        <v>1572</v>
      </c>
      <c r="S47" s="33" t="s">
        <v>1404</v>
      </c>
      <c r="T47" s="33" t="s">
        <v>1404</v>
      </c>
      <c r="U47" s="312"/>
    </row>
    <row r="48" spans="1:21" s="72" customFormat="1" ht="13.5" customHeight="1" x14ac:dyDescent="0.2">
      <c r="A48" s="33" t="str">
        <f t="shared" si="3"/>
        <v>-</v>
      </c>
      <c r="B48" s="332"/>
      <c r="C48" s="261"/>
      <c r="D48" s="125" t="s">
        <v>2108</v>
      </c>
      <c r="E48" s="49" t="s">
        <v>1404</v>
      </c>
      <c r="F48" s="49" t="s">
        <v>1404</v>
      </c>
      <c r="G48" s="49" t="s">
        <v>1404</v>
      </c>
      <c r="H48" s="49"/>
      <c r="I48" s="49" t="s">
        <v>1404</v>
      </c>
      <c r="J48" s="61" t="s">
        <v>1404</v>
      </c>
      <c r="K48" s="33" t="s">
        <v>1404</v>
      </c>
      <c r="L48" s="33" t="s">
        <v>16</v>
      </c>
      <c r="M48" s="33" t="s">
        <v>1869</v>
      </c>
      <c r="N48" s="142" t="s">
        <v>876</v>
      </c>
      <c r="O48" s="70" t="s">
        <v>1440</v>
      </c>
      <c r="P48" s="33" t="s">
        <v>1404</v>
      </c>
      <c r="Q48" s="70" t="s">
        <v>481</v>
      </c>
      <c r="R48" s="70" t="s">
        <v>1572</v>
      </c>
      <c r="S48" s="33" t="s">
        <v>1404</v>
      </c>
      <c r="T48" s="33" t="s">
        <v>1404</v>
      </c>
      <c r="U48" s="312"/>
    </row>
    <row r="49" spans="1:21" s="72" customFormat="1" ht="13.5" customHeight="1" x14ac:dyDescent="0.2">
      <c r="A49" s="33" t="str">
        <f t="shared" si="3"/>
        <v>-</v>
      </c>
      <c r="B49" s="332"/>
      <c r="C49" s="261"/>
      <c r="D49" s="125" t="s">
        <v>2108</v>
      </c>
      <c r="E49" s="49" t="s">
        <v>1404</v>
      </c>
      <c r="F49" s="49" t="s">
        <v>1404</v>
      </c>
      <c r="G49" s="49" t="s">
        <v>1404</v>
      </c>
      <c r="H49" s="49"/>
      <c r="I49" s="49" t="s">
        <v>1404</v>
      </c>
      <c r="J49" s="61" t="s">
        <v>1404</v>
      </c>
      <c r="K49" s="33" t="s">
        <v>1404</v>
      </c>
      <c r="L49" s="33" t="s">
        <v>16</v>
      </c>
      <c r="M49" s="33" t="s">
        <v>1733</v>
      </c>
      <c r="N49" s="142" t="s">
        <v>1007</v>
      </c>
      <c r="O49" s="70" t="s">
        <v>1440</v>
      </c>
      <c r="P49" s="33" t="s">
        <v>1404</v>
      </c>
      <c r="Q49" s="70" t="s">
        <v>481</v>
      </c>
      <c r="R49" s="70" t="s">
        <v>1572</v>
      </c>
      <c r="S49" s="33" t="s">
        <v>1404</v>
      </c>
      <c r="T49" s="33" t="s">
        <v>1404</v>
      </c>
      <c r="U49" s="312"/>
    </row>
    <row r="50" spans="1:21" s="72" customFormat="1" ht="13.5" customHeight="1" x14ac:dyDescent="0.2">
      <c r="A50" s="33" t="str">
        <f t="shared" si="3"/>
        <v>-</v>
      </c>
      <c r="B50" s="332"/>
      <c r="C50" s="261"/>
      <c r="D50" s="125" t="s">
        <v>2108</v>
      </c>
      <c r="E50" s="49" t="s">
        <v>1404</v>
      </c>
      <c r="F50" s="49" t="s">
        <v>1404</v>
      </c>
      <c r="G50" s="49" t="s">
        <v>1404</v>
      </c>
      <c r="H50" s="49"/>
      <c r="I50" s="49" t="s">
        <v>1404</v>
      </c>
      <c r="J50" s="61" t="s">
        <v>1404</v>
      </c>
      <c r="K50" s="33" t="s">
        <v>1404</v>
      </c>
      <c r="L50" s="33" t="s">
        <v>16</v>
      </c>
      <c r="M50" s="33" t="s">
        <v>2110</v>
      </c>
      <c r="N50" s="142" t="s">
        <v>206</v>
      </c>
      <c r="O50" s="70" t="s">
        <v>1440</v>
      </c>
      <c r="P50" s="33" t="s">
        <v>1404</v>
      </c>
      <c r="Q50" s="70" t="s">
        <v>481</v>
      </c>
      <c r="R50" s="70" t="s">
        <v>1572</v>
      </c>
      <c r="S50" s="33" t="s">
        <v>1404</v>
      </c>
      <c r="T50" s="33" t="s">
        <v>1404</v>
      </c>
      <c r="U50" s="312"/>
    </row>
    <row r="51" spans="1:21" s="72" customFormat="1" ht="13.5" customHeight="1" x14ac:dyDescent="0.2">
      <c r="A51" s="33" t="str">
        <f t="shared" si="3"/>
        <v>-</v>
      </c>
      <c r="B51" s="332"/>
      <c r="C51" s="261"/>
      <c r="D51" s="125" t="s">
        <v>2108</v>
      </c>
      <c r="E51" s="49" t="s">
        <v>1404</v>
      </c>
      <c r="F51" s="49" t="s">
        <v>1404</v>
      </c>
      <c r="G51" s="49" t="s">
        <v>1404</v>
      </c>
      <c r="H51" s="49"/>
      <c r="I51" s="49" t="s">
        <v>1404</v>
      </c>
      <c r="J51" s="61" t="s">
        <v>1404</v>
      </c>
      <c r="K51" s="33" t="s">
        <v>1404</v>
      </c>
      <c r="L51" s="33" t="s">
        <v>16</v>
      </c>
      <c r="M51" s="33" t="s">
        <v>1987</v>
      </c>
      <c r="N51" s="142" t="s">
        <v>1870</v>
      </c>
      <c r="O51" s="70" t="s">
        <v>1440</v>
      </c>
      <c r="P51" s="33" t="s">
        <v>1404</v>
      </c>
      <c r="Q51" s="70" t="s">
        <v>481</v>
      </c>
      <c r="R51" s="70" t="s">
        <v>1572</v>
      </c>
      <c r="S51" s="33" t="s">
        <v>1404</v>
      </c>
      <c r="T51" s="33" t="s">
        <v>1404</v>
      </c>
      <c r="U51" s="312"/>
    </row>
    <row r="52" spans="1:21" s="72" customFormat="1" ht="13.5" customHeight="1" x14ac:dyDescent="0.2">
      <c r="A52" s="33" t="str">
        <f t="shared" si="3"/>
        <v>-</v>
      </c>
      <c r="B52" s="332"/>
      <c r="C52" s="261"/>
      <c r="D52" s="125" t="s">
        <v>2108</v>
      </c>
      <c r="E52" s="49" t="s">
        <v>1404</v>
      </c>
      <c r="F52" s="49" t="s">
        <v>1404</v>
      </c>
      <c r="G52" s="49" t="s">
        <v>1404</v>
      </c>
      <c r="H52" s="49"/>
      <c r="I52" s="49" t="s">
        <v>1404</v>
      </c>
      <c r="J52" s="61" t="s">
        <v>1404</v>
      </c>
      <c r="K52" s="33" t="s">
        <v>1404</v>
      </c>
      <c r="L52" s="33" t="s">
        <v>16</v>
      </c>
      <c r="M52" s="33" t="s">
        <v>1871</v>
      </c>
      <c r="N52" s="142" t="s">
        <v>207</v>
      </c>
      <c r="O52" s="70" t="s">
        <v>1440</v>
      </c>
      <c r="P52" s="33" t="s">
        <v>1404</v>
      </c>
      <c r="Q52" s="70" t="s">
        <v>481</v>
      </c>
      <c r="R52" s="70" t="s">
        <v>1572</v>
      </c>
      <c r="S52" s="33" t="s">
        <v>1404</v>
      </c>
      <c r="T52" s="33" t="s">
        <v>1404</v>
      </c>
      <c r="U52" s="312"/>
    </row>
    <row r="53" spans="1:21" s="72" customFormat="1" ht="13.5" customHeight="1" x14ac:dyDescent="0.2">
      <c r="A53" s="33" t="str">
        <f t="shared" si="3"/>
        <v>-</v>
      </c>
      <c r="B53" s="332"/>
      <c r="C53" s="261"/>
      <c r="D53" s="125" t="s">
        <v>2108</v>
      </c>
      <c r="E53" s="49" t="s">
        <v>1404</v>
      </c>
      <c r="F53" s="49" t="s">
        <v>1404</v>
      </c>
      <c r="G53" s="49" t="s">
        <v>1404</v>
      </c>
      <c r="H53" s="49"/>
      <c r="I53" s="49" t="s">
        <v>1404</v>
      </c>
      <c r="J53" s="61" t="s">
        <v>1404</v>
      </c>
      <c r="K53" s="33" t="s">
        <v>1404</v>
      </c>
      <c r="L53" s="33" t="s">
        <v>16</v>
      </c>
      <c r="M53" s="33" t="s">
        <v>1734</v>
      </c>
      <c r="N53" s="142" t="s">
        <v>351</v>
      </c>
      <c r="O53" s="70" t="s">
        <v>1440</v>
      </c>
      <c r="P53" s="33" t="s">
        <v>1404</v>
      </c>
      <c r="Q53" s="70" t="s">
        <v>481</v>
      </c>
      <c r="R53" s="70" t="s">
        <v>1572</v>
      </c>
      <c r="S53" s="33" t="s">
        <v>1404</v>
      </c>
      <c r="T53" s="33" t="s">
        <v>1404</v>
      </c>
      <c r="U53" s="312"/>
    </row>
    <row r="54" spans="1:21" s="72" customFormat="1" ht="13.5" customHeight="1" x14ac:dyDescent="0.2">
      <c r="A54" s="33" t="str">
        <f t="shared" si="3"/>
        <v>-</v>
      </c>
      <c r="B54" s="332"/>
      <c r="C54" s="261"/>
      <c r="D54" s="125" t="s">
        <v>2108</v>
      </c>
      <c r="E54" s="49" t="s">
        <v>1404</v>
      </c>
      <c r="F54" s="49" t="s">
        <v>1404</v>
      </c>
      <c r="G54" s="49" t="s">
        <v>1404</v>
      </c>
      <c r="H54" s="49"/>
      <c r="I54" s="49" t="s">
        <v>1404</v>
      </c>
      <c r="J54" s="61" t="s">
        <v>1404</v>
      </c>
      <c r="K54" s="33" t="s">
        <v>1404</v>
      </c>
      <c r="L54" s="33" t="s">
        <v>16</v>
      </c>
      <c r="M54" s="33" t="s">
        <v>1443</v>
      </c>
      <c r="N54" s="142" t="s">
        <v>1577</v>
      </c>
      <c r="O54" s="70" t="s">
        <v>1440</v>
      </c>
      <c r="P54" s="33" t="s">
        <v>1404</v>
      </c>
      <c r="Q54" s="70" t="s">
        <v>481</v>
      </c>
      <c r="R54" s="70" t="s">
        <v>1572</v>
      </c>
      <c r="S54" s="33" t="s">
        <v>1404</v>
      </c>
      <c r="T54" s="33" t="s">
        <v>1404</v>
      </c>
      <c r="U54" s="312"/>
    </row>
    <row r="55" spans="1:21" s="72" customFormat="1" ht="13.5" customHeight="1" x14ac:dyDescent="0.2">
      <c r="A55" s="33" t="str">
        <f t="shared" si="3"/>
        <v>-</v>
      </c>
      <c r="B55" s="332"/>
      <c r="C55" s="261"/>
      <c r="D55" s="125" t="s">
        <v>2108</v>
      </c>
      <c r="E55" s="49" t="s">
        <v>1404</v>
      </c>
      <c r="F55" s="49" t="s">
        <v>1404</v>
      </c>
      <c r="G55" s="49" t="s">
        <v>1404</v>
      </c>
      <c r="H55" s="49"/>
      <c r="I55" s="49" t="s">
        <v>1404</v>
      </c>
      <c r="J55" s="61" t="s">
        <v>1404</v>
      </c>
      <c r="K55" s="33" t="s">
        <v>1404</v>
      </c>
      <c r="L55" s="33" t="s">
        <v>16</v>
      </c>
      <c r="M55" s="33" t="s">
        <v>1309</v>
      </c>
      <c r="N55" s="142" t="s">
        <v>2111</v>
      </c>
      <c r="O55" s="70" t="s">
        <v>1440</v>
      </c>
      <c r="P55" s="33" t="s">
        <v>1404</v>
      </c>
      <c r="Q55" s="70" t="s">
        <v>481</v>
      </c>
      <c r="R55" s="70" t="s">
        <v>1572</v>
      </c>
      <c r="S55" s="33" t="s">
        <v>1404</v>
      </c>
      <c r="T55" s="33" t="s">
        <v>1404</v>
      </c>
      <c r="U55" s="312"/>
    </row>
    <row r="56" spans="1:21" s="72" customFormat="1" ht="13.5" customHeight="1" thickBot="1" x14ac:dyDescent="0.25">
      <c r="A56" s="73"/>
      <c r="B56" s="332"/>
      <c r="C56" s="253"/>
      <c r="D56" s="203"/>
      <c r="E56" s="83"/>
      <c r="F56" s="83"/>
      <c r="G56" s="83"/>
      <c r="H56" s="83"/>
      <c r="I56" s="83"/>
      <c r="J56" s="83"/>
      <c r="K56" s="74"/>
      <c r="L56" s="74"/>
      <c r="M56" s="74"/>
      <c r="N56" s="203"/>
      <c r="O56" s="74"/>
      <c r="P56" s="73"/>
      <c r="Q56" s="74"/>
      <c r="R56" s="74"/>
      <c r="S56" s="74"/>
      <c r="T56" s="73"/>
      <c r="U56" s="312"/>
    </row>
    <row r="57" spans="1:21" s="72" customFormat="1" ht="17.25" customHeight="1" thickTop="1" thickBot="1" x14ac:dyDescent="0.25">
      <c r="A57" s="591" t="str">
        <f t="shared" ref="A57:A58" si="4">CONCATENATE(E57,S57)</f>
        <v/>
      </c>
      <c r="B57" s="332"/>
      <c r="C57" s="231"/>
      <c r="D57" s="82"/>
      <c r="E57" s="67"/>
      <c r="F57" s="67"/>
      <c r="G57" s="67"/>
      <c r="H57" s="67"/>
      <c r="I57" s="67"/>
      <c r="J57" s="67"/>
      <c r="K57" s="21"/>
      <c r="L57" s="21"/>
      <c r="M57" s="21"/>
      <c r="N57" s="82"/>
      <c r="O57" s="21"/>
      <c r="P57" s="21"/>
      <c r="Q57" s="21"/>
      <c r="R57" s="21"/>
      <c r="S57" s="21"/>
      <c r="T57" s="21"/>
    </row>
    <row r="58" spans="1:21" s="72" customFormat="1" ht="17.25" customHeight="1" thickTop="1" thickBot="1" x14ac:dyDescent="0.3">
      <c r="A58" s="202" t="str">
        <f t="shared" si="4"/>
        <v/>
      </c>
      <c r="B58" s="332"/>
      <c r="C58" s="268" t="s">
        <v>1444</v>
      </c>
      <c r="D58" s="75"/>
      <c r="E58" s="29"/>
      <c r="F58" s="29"/>
      <c r="G58" s="29"/>
      <c r="H58" s="29"/>
      <c r="I58" s="29"/>
      <c r="J58" s="29"/>
      <c r="N58" s="75"/>
      <c r="U58" s="312"/>
    </row>
    <row r="59" spans="1:21" s="72" customFormat="1" ht="13.5" customHeight="1" thickTop="1" x14ac:dyDescent="0.2">
      <c r="A59" s="94" t="s">
        <v>1404</v>
      </c>
      <c r="B59" s="332"/>
      <c r="C59" s="253"/>
      <c r="D59" s="186" t="s">
        <v>1444</v>
      </c>
      <c r="E59" s="225" t="s">
        <v>1404</v>
      </c>
      <c r="F59" s="225" t="s">
        <v>1404</v>
      </c>
      <c r="G59" s="225">
        <v>0.25</v>
      </c>
      <c r="H59" s="225"/>
      <c r="I59" s="225">
        <v>0.25</v>
      </c>
      <c r="J59" s="225" t="s">
        <v>1404</v>
      </c>
      <c r="K59" s="94" t="s">
        <v>1404</v>
      </c>
      <c r="L59" s="94" t="s">
        <v>16</v>
      </c>
      <c r="M59" s="94" t="s">
        <v>1445</v>
      </c>
      <c r="N59" s="470" t="s">
        <v>1578</v>
      </c>
      <c r="O59" s="94" t="s">
        <v>747</v>
      </c>
      <c r="P59" s="94" t="s">
        <v>877</v>
      </c>
      <c r="Q59" s="59" t="s">
        <v>481</v>
      </c>
      <c r="R59" s="94" t="s">
        <v>1572</v>
      </c>
      <c r="S59" s="94" t="s">
        <v>1404</v>
      </c>
      <c r="T59" s="94" t="s">
        <v>1404</v>
      </c>
      <c r="U59" s="312"/>
    </row>
    <row r="60" spans="1:21" s="72" customFormat="1" ht="13.5" customHeight="1" x14ac:dyDescent="0.2">
      <c r="A60" s="645" t="s">
        <v>1404</v>
      </c>
      <c r="B60" s="332"/>
      <c r="C60" s="253"/>
      <c r="D60" s="125" t="s">
        <v>1444</v>
      </c>
      <c r="E60" s="49" t="s">
        <v>1404</v>
      </c>
      <c r="F60" s="49">
        <v>0.02</v>
      </c>
      <c r="G60" s="49">
        <v>0.625</v>
      </c>
      <c r="H60" s="49"/>
      <c r="I60" s="49">
        <v>0.625</v>
      </c>
      <c r="J60" s="49" t="s">
        <v>1404</v>
      </c>
      <c r="K60" s="33" t="s">
        <v>1404</v>
      </c>
      <c r="L60" s="33" t="s">
        <v>16</v>
      </c>
      <c r="M60" s="33" t="s">
        <v>1735</v>
      </c>
      <c r="N60" s="142" t="s">
        <v>1008</v>
      </c>
      <c r="O60" s="33" t="s">
        <v>747</v>
      </c>
      <c r="P60" s="33" t="s">
        <v>877</v>
      </c>
      <c r="Q60" s="70" t="s">
        <v>481</v>
      </c>
      <c r="R60" s="33" t="s">
        <v>1572</v>
      </c>
      <c r="S60" s="33" t="s">
        <v>1404</v>
      </c>
      <c r="T60" s="33" t="s">
        <v>1404</v>
      </c>
      <c r="U60" s="312"/>
    </row>
    <row r="61" spans="1:21" s="72" customFormat="1" ht="13.5" customHeight="1" thickBot="1" x14ac:dyDescent="0.25">
      <c r="A61" s="73" t="str">
        <f t="shared" ref="A61:A63" si="5">CONCATENATE(E61,S61)</f>
        <v/>
      </c>
      <c r="B61" s="332"/>
      <c r="C61" s="253"/>
      <c r="D61" s="203"/>
      <c r="E61" s="188"/>
      <c r="F61" s="188"/>
      <c r="G61" s="188"/>
      <c r="H61" s="188"/>
      <c r="I61" s="188"/>
      <c r="J61" s="188"/>
      <c r="K61" s="73"/>
      <c r="L61" s="73"/>
      <c r="M61" s="73"/>
      <c r="N61" s="322"/>
      <c r="O61" s="73"/>
      <c r="P61" s="73"/>
      <c r="Q61" s="74"/>
      <c r="R61" s="73"/>
      <c r="S61" s="73"/>
      <c r="T61" s="73"/>
      <c r="U61" s="312"/>
    </row>
    <row r="62" spans="1:21" s="72" customFormat="1" ht="17.25" customHeight="1" thickTop="1" thickBot="1" x14ac:dyDescent="0.25">
      <c r="A62" s="436" t="str">
        <f t="shared" si="5"/>
        <v/>
      </c>
      <c r="B62" s="332"/>
      <c r="C62" s="231"/>
      <c r="D62" s="82"/>
      <c r="E62" s="67"/>
      <c r="F62" s="67"/>
      <c r="G62" s="67"/>
      <c r="H62" s="67"/>
      <c r="I62" s="67"/>
      <c r="J62" s="67"/>
      <c r="K62" s="21"/>
      <c r="L62" s="21"/>
      <c r="M62" s="21"/>
      <c r="N62" s="82"/>
      <c r="O62" s="21"/>
      <c r="P62" s="21"/>
      <c r="Q62" s="21"/>
      <c r="R62" s="21"/>
      <c r="S62" s="21"/>
      <c r="T62" s="202"/>
      <c r="U62" s="312"/>
    </row>
    <row r="63" spans="1:21" s="72" customFormat="1" ht="17.25" customHeight="1" thickTop="1" thickBot="1" x14ac:dyDescent="0.3">
      <c r="A63" s="202" t="str">
        <f t="shared" si="5"/>
        <v/>
      </c>
      <c r="B63" s="332"/>
      <c r="C63" s="268" t="s">
        <v>748</v>
      </c>
      <c r="D63" s="75"/>
      <c r="E63" s="29"/>
      <c r="F63" s="29"/>
      <c r="G63" s="29"/>
      <c r="H63" s="29"/>
      <c r="I63" s="29"/>
      <c r="J63" s="29"/>
      <c r="N63" s="75"/>
      <c r="U63" s="312"/>
    </row>
    <row r="64" spans="1:21" s="72" customFormat="1" ht="13.5" customHeight="1" thickTop="1" x14ac:dyDescent="0.2">
      <c r="A64" s="94" t="str">
        <f>CONCATENATE(RIGHT(D64,LEN(D64)-FIND(" ",D64)),LEFT(D64,4),G64,I64,F64)</f>
        <v>TubingAlum1.50.750.125</v>
      </c>
      <c r="B64" s="332"/>
      <c r="C64" s="253"/>
      <c r="D64" s="186" t="s">
        <v>1009</v>
      </c>
      <c r="E64" s="71">
        <v>0.58799999999999997</v>
      </c>
      <c r="F64" s="71">
        <v>0.125</v>
      </c>
      <c r="G64" s="71">
        <v>1.5</v>
      </c>
      <c r="H64" s="71"/>
      <c r="I64" s="71">
        <v>0.75</v>
      </c>
      <c r="J64" s="71" t="s">
        <v>1404</v>
      </c>
      <c r="K64" s="59" t="s">
        <v>1404</v>
      </c>
      <c r="L64" s="59" t="s">
        <v>16</v>
      </c>
      <c r="M64" s="59" t="s">
        <v>1579</v>
      </c>
      <c r="N64" s="186" t="s">
        <v>1310</v>
      </c>
      <c r="O64" s="59" t="s">
        <v>1404</v>
      </c>
      <c r="P64" s="59" t="s">
        <v>1404</v>
      </c>
      <c r="Q64" s="59" t="s">
        <v>1580</v>
      </c>
      <c r="R64" s="59" t="s">
        <v>1572</v>
      </c>
      <c r="S64" s="59" t="s">
        <v>1404</v>
      </c>
      <c r="T64" s="59" t="s">
        <v>1404</v>
      </c>
      <c r="U64" s="312"/>
    </row>
    <row r="65" spans="1:21" s="72" customFormat="1" ht="13.5" customHeight="1" x14ac:dyDescent="0.2">
      <c r="A65" s="33" t="str">
        <f t="shared" ref="A65:A68" si="6">CONCATENATE(RIGHT(D65,LEN(D65)-FIND(" ",D65)),LEFT(D65,4),G65,E65)</f>
        <v>ChannelAlum108.36</v>
      </c>
      <c r="B65" s="332"/>
      <c r="C65" s="253"/>
      <c r="D65" s="454" t="s">
        <v>1581</v>
      </c>
      <c r="E65" s="226">
        <v>8.36</v>
      </c>
      <c r="F65" s="226">
        <v>0.31</v>
      </c>
      <c r="G65" s="226">
        <v>10</v>
      </c>
      <c r="H65" s="226"/>
      <c r="I65" s="226">
        <v>4.25</v>
      </c>
      <c r="J65" s="226">
        <v>0.5</v>
      </c>
      <c r="K65" s="138" t="s">
        <v>1404</v>
      </c>
      <c r="L65" s="138" t="s">
        <v>16</v>
      </c>
      <c r="M65" s="138" t="s">
        <v>2112</v>
      </c>
      <c r="N65" s="454" t="s">
        <v>1446</v>
      </c>
      <c r="O65" s="138" t="s">
        <v>1404</v>
      </c>
      <c r="P65" s="138" t="s">
        <v>1404</v>
      </c>
      <c r="Q65" s="138" t="s">
        <v>1580</v>
      </c>
      <c r="R65" s="138" t="s">
        <v>1572</v>
      </c>
      <c r="S65" s="138" t="s">
        <v>1404</v>
      </c>
      <c r="T65" s="138" t="s">
        <v>1404</v>
      </c>
      <c r="U65" s="312"/>
    </row>
    <row r="66" spans="1:21" s="72" customFormat="1" ht="13.5" customHeight="1" x14ac:dyDescent="0.2">
      <c r="A66" s="33" t="str">
        <f t="shared" si="6"/>
        <v>ChannelAlum1211.82</v>
      </c>
      <c r="B66" s="332"/>
      <c r="C66" s="253"/>
      <c r="D66" s="454" t="s">
        <v>1581</v>
      </c>
      <c r="E66" s="226">
        <v>11.82</v>
      </c>
      <c r="F66" s="226">
        <v>0.35</v>
      </c>
      <c r="G66" s="226">
        <v>12</v>
      </c>
      <c r="H66" s="226"/>
      <c r="I66" s="226">
        <v>5</v>
      </c>
      <c r="J66" s="226">
        <v>0.62</v>
      </c>
      <c r="K66" s="138" t="s">
        <v>1404</v>
      </c>
      <c r="L66" s="138" t="s">
        <v>16</v>
      </c>
      <c r="M66" s="138" t="s">
        <v>1988</v>
      </c>
      <c r="N66" s="454" t="s">
        <v>878</v>
      </c>
      <c r="O66" s="138" t="s">
        <v>1404</v>
      </c>
      <c r="P66" s="138" t="s">
        <v>1404</v>
      </c>
      <c r="Q66" s="138" t="s">
        <v>1580</v>
      </c>
      <c r="R66" s="138" t="s">
        <v>1572</v>
      </c>
      <c r="S66" s="138" t="s">
        <v>1404</v>
      </c>
      <c r="T66" s="138" t="s">
        <v>1404</v>
      </c>
      <c r="U66" s="312"/>
    </row>
    <row r="67" spans="1:21" s="72" customFormat="1" ht="13.5" customHeight="1" x14ac:dyDescent="0.2">
      <c r="A67" s="33" t="str">
        <f t="shared" si="6"/>
        <v>ChannelAlum64.03</v>
      </c>
      <c r="B67" s="332"/>
      <c r="C67" s="253"/>
      <c r="D67" s="454" t="s">
        <v>1581</v>
      </c>
      <c r="E67" s="61">
        <v>4.03</v>
      </c>
      <c r="F67" s="61">
        <v>0.21</v>
      </c>
      <c r="G67" s="226">
        <v>6</v>
      </c>
      <c r="H67" s="226"/>
      <c r="I67" s="226">
        <v>3.25</v>
      </c>
      <c r="J67" s="226">
        <v>0.35</v>
      </c>
      <c r="K67" s="138" t="s">
        <v>1404</v>
      </c>
      <c r="L67" s="138" t="s">
        <v>16</v>
      </c>
      <c r="M67" s="138" t="s">
        <v>352</v>
      </c>
      <c r="N67" s="454" t="s">
        <v>484</v>
      </c>
      <c r="O67" s="138" t="s">
        <v>1404</v>
      </c>
      <c r="P67" s="138" t="s">
        <v>1404</v>
      </c>
      <c r="Q67" s="138" t="s">
        <v>1580</v>
      </c>
      <c r="R67" s="138" t="s">
        <v>1572</v>
      </c>
      <c r="S67" s="138" t="s">
        <v>1404</v>
      </c>
      <c r="T67" s="138" t="s">
        <v>1404</v>
      </c>
      <c r="U67" s="312"/>
    </row>
    <row r="68" spans="1:21" s="72" customFormat="1" ht="13.5" customHeight="1" x14ac:dyDescent="0.2">
      <c r="A68" s="33" t="str">
        <f t="shared" si="6"/>
        <v>ChannelAlum85.79</v>
      </c>
      <c r="B68" s="332"/>
      <c r="C68" s="253"/>
      <c r="D68" s="454" t="s">
        <v>1581</v>
      </c>
      <c r="E68" s="447">
        <v>5.79</v>
      </c>
      <c r="F68" s="447">
        <v>0.25</v>
      </c>
      <c r="G68" s="226">
        <v>8</v>
      </c>
      <c r="H68" s="226"/>
      <c r="I68" s="226">
        <v>3.75</v>
      </c>
      <c r="J68" s="226">
        <v>0.41</v>
      </c>
      <c r="K68" s="138" t="s">
        <v>1404</v>
      </c>
      <c r="L68" s="138" t="s">
        <v>16</v>
      </c>
      <c r="M68" s="138" t="s">
        <v>208</v>
      </c>
      <c r="N68" s="454" t="s">
        <v>71</v>
      </c>
      <c r="O68" s="138" t="s">
        <v>1404</v>
      </c>
      <c r="P68" s="138" t="s">
        <v>1404</v>
      </c>
      <c r="Q68" s="138" t="s">
        <v>1580</v>
      </c>
      <c r="R68" s="138" t="s">
        <v>1572</v>
      </c>
      <c r="S68" s="138" t="s">
        <v>1404</v>
      </c>
      <c r="T68" s="138" t="s">
        <v>1404</v>
      </c>
      <c r="U68" s="312"/>
    </row>
    <row r="69" spans="1:21" s="72" customFormat="1" ht="13.5" customHeight="1" thickBot="1" x14ac:dyDescent="0.25">
      <c r="A69" s="202" t="str">
        <f t="shared" ref="A69:A71" si="7">CONCATENATE(E69,S69)</f>
        <v/>
      </c>
      <c r="B69" s="332"/>
      <c r="C69" s="253"/>
      <c r="D69" s="203"/>
      <c r="E69" s="262"/>
      <c r="F69" s="262"/>
      <c r="G69" s="262"/>
      <c r="H69" s="262"/>
      <c r="I69" s="188"/>
      <c r="J69" s="188"/>
      <c r="K69" s="73"/>
      <c r="L69" s="73"/>
      <c r="M69" s="73"/>
      <c r="N69" s="322"/>
      <c r="O69" s="73"/>
      <c r="P69" s="73"/>
      <c r="Q69" s="73"/>
      <c r="R69" s="73"/>
      <c r="S69" s="73"/>
      <c r="T69" s="73"/>
      <c r="U69" s="312"/>
    </row>
    <row r="70" spans="1:21" s="72" customFormat="1" ht="17.25" customHeight="1" thickTop="1" thickBot="1" x14ac:dyDescent="0.25">
      <c r="A70" s="436" t="str">
        <f t="shared" si="7"/>
        <v/>
      </c>
      <c r="B70" s="332"/>
      <c r="C70" s="231"/>
      <c r="D70" s="82"/>
      <c r="E70" s="67"/>
      <c r="F70" s="67"/>
      <c r="G70" s="67"/>
      <c r="H70" s="67"/>
      <c r="I70" s="67"/>
      <c r="J70" s="67"/>
      <c r="K70" s="21"/>
      <c r="L70" s="21"/>
      <c r="M70" s="21"/>
      <c r="N70" s="82"/>
      <c r="O70" s="21"/>
      <c r="P70" s="21"/>
      <c r="Q70" s="21"/>
      <c r="R70" s="21"/>
      <c r="S70" s="21"/>
      <c r="T70" s="184"/>
      <c r="U70" s="312"/>
    </row>
    <row r="71" spans="1:21" s="72" customFormat="1" ht="17.25" customHeight="1" thickTop="1" thickBot="1" x14ac:dyDescent="0.3">
      <c r="A71" s="202" t="str">
        <f t="shared" si="7"/>
        <v/>
      </c>
      <c r="B71" s="332"/>
      <c r="C71" s="268" t="s">
        <v>1872</v>
      </c>
      <c r="D71" s="75"/>
      <c r="E71" s="29"/>
      <c r="F71" s="29"/>
      <c r="G71" s="29"/>
      <c r="H71" s="29"/>
      <c r="I71" s="29"/>
      <c r="J71" s="29"/>
      <c r="N71" s="75"/>
      <c r="T71" s="187"/>
      <c r="U71" s="312"/>
    </row>
    <row r="72" spans="1:21" s="72" customFormat="1" ht="13.5" customHeight="1" thickTop="1" x14ac:dyDescent="0.2">
      <c r="A72" s="94" t="str">
        <f t="shared" ref="A72:A73" si="8">CONCATENATE(RIGHT(D72,LEN(D72)-FIND(" ",D72)),LEFT(D72,3),G72,E72)</f>
        <v>ChannelSST68.27</v>
      </c>
      <c r="B72" s="332"/>
      <c r="C72" s="253"/>
      <c r="D72" s="186" t="s">
        <v>1166</v>
      </c>
      <c r="E72" s="71">
        <v>8.27</v>
      </c>
      <c r="F72" s="71">
        <v>0.19</v>
      </c>
      <c r="G72" s="71">
        <v>6</v>
      </c>
      <c r="H72" s="71"/>
      <c r="I72" s="71">
        <v>1.92</v>
      </c>
      <c r="J72" s="59" t="s">
        <v>1404</v>
      </c>
      <c r="K72" s="59" t="s">
        <v>1404</v>
      </c>
      <c r="L72" s="59" t="s">
        <v>16</v>
      </c>
      <c r="M72" s="59" t="s">
        <v>618</v>
      </c>
      <c r="N72" s="186" t="s">
        <v>1989</v>
      </c>
      <c r="O72" s="59" t="s">
        <v>1404</v>
      </c>
      <c r="P72" s="748" t="s">
        <v>1404</v>
      </c>
      <c r="Q72" s="59" t="s">
        <v>481</v>
      </c>
      <c r="R72" s="59" t="s">
        <v>1572</v>
      </c>
      <c r="S72" s="59" t="s">
        <v>1404</v>
      </c>
      <c r="T72" s="59" t="s">
        <v>1404</v>
      </c>
    </row>
    <row r="73" spans="1:21" s="72" customFormat="1" ht="13.5" customHeight="1" x14ac:dyDescent="0.2">
      <c r="A73" s="33" t="str">
        <f t="shared" si="8"/>
        <v>ChannelSST818.8</v>
      </c>
      <c r="B73" s="332"/>
      <c r="C73" s="253"/>
      <c r="D73" s="125" t="s">
        <v>1166</v>
      </c>
      <c r="E73" s="61">
        <v>18.8</v>
      </c>
      <c r="F73" s="61">
        <v>0.48699999999999999</v>
      </c>
      <c r="G73" s="61">
        <v>8</v>
      </c>
      <c r="H73" s="61"/>
      <c r="I73" s="61">
        <v>2.5270000000000001</v>
      </c>
      <c r="J73" s="70" t="s">
        <v>1404</v>
      </c>
      <c r="K73" s="70" t="s">
        <v>1404</v>
      </c>
      <c r="L73" s="70" t="s">
        <v>16</v>
      </c>
      <c r="M73" s="70" t="s">
        <v>1736</v>
      </c>
      <c r="N73" s="125" t="s">
        <v>353</v>
      </c>
      <c r="O73" s="70" t="s">
        <v>1404</v>
      </c>
      <c r="P73" s="788" t="s">
        <v>1404</v>
      </c>
      <c r="Q73" s="138" t="s">
        <v>481</v>
      </c>
      <c r="R73" s="138" t="s">
        <v>1572</v>
      </c>
      <c r="S73" s="70" t="s">
        <v>1404</v>
      </c>
      <c r="T73" s="33" t="s">
        <v>1404</v>
      </c>
    </row>
    <row r="74" spans="1:21" s="533" customFormat="1" ht="13.5" customHeight="1" x14ac:dyDescent="0.2">
      <c r="A74" s="33" t="str">
        <f>CONCATENATE(RIGHT(D74,LEN(D74)-FIND(" ",D74)),LEFT(D74,3),G74,I74,F74)</f>
        <v>TubingSST110.065</v>
      </c>
      <c r="B74" s="368"/>
      <c r="C74" s="449"/>
      <c r="D74" s="142" t="s">
        <v>1737</v>
      </c>
      <c r="E74" s="49">
        <v>0.82699999999999996</v>
      </c>
      <c r="F74" s="668">
        <v>6.5000000000000002E-2</v>
      </c>
      <c r="G74" s="49">
        <v>1</v>
      </c>
      <c r="H74" s="49"/>
      <c r="I74" s="49">
        <v>1</v>
      </c>
      <c r="J74" s="33" t="s">
        <v>1404</v>
      </c>
      <c r="K74" s="33" t="s">
        <v>1404</v>
      </c>
      <c r="L74" s="33" t="s">
        <v>16</v>
      </c>
      <c r="M74" s="33" t="s">
        <v>1990</v>
      </c>
      <c r="N74" s="142" t="s">
        <v>1010</v>
      </c>
      <c r="O74" s="33" t="s">
        <v>1303</v>
      </c>
      <c r="P74" s="33" t="s">
        <v>1404</v>
      </c>
      <c r="Q74" s="138" t="s">
        <v>1002</v>
      </c>
      <c r="R74" s="70" t="s">
        <v>1572</v>
      </c>
      <c r="S74" s="33" t="s">
        <v>1404</v>
      </c>
      <c r="T74" s="33" t="s">
        <v>1404</v>
      </c>
      <c r="U74" s="527"/>
    </row>
    <row r="75" spans="1:21" s="72" customFormat="1" ht="13.5" customHeight="1" thickBot="1" x14ac:dyDescent="0.25">
      <c r="A75" s="202" t="str">
        <f>CONCATENATE(E75,S75)</f>
        <v/>
      </c>
      <c r="B75" s="332"/>
      <c r="C75" s="261"/>
      <c r="D75" s="203"/>
      <c r="E75" s="750"/>
      <c r="F75" s="83"/>
      <c r="G75" s="83"/>
      <c r="H75" s="83"/>
      <c r="I75" s="83"/>
      <c r="J75" s="83"/>
      <c r="K75" s="74"/>
      <c r="L75" s="74"/>
      <c r="M75" s="74"/>
      <c r="N75" s="203"/>
      <c r="O75" s="74"/>
      <c r="P75" s="74"/>
      <c r="Q75" s="518"/>
      <c r="R75" s="518"/>
      <c r="S75" s="74"/>
      <c r="T75" s="73"/>
    </row>
    <row r="76" spans="1:21" s="72" customFormat="1" ht="16.5" customHeight="1" thickTop="1" thickBot="1" x14ac:dyDescent="0.25">
      <c r="A76" s="436"/>
      <c r="B76" s="332"/>
      <c r="C76" s="231"/>
      <c r="D76" s="452"/>
      <c r="E76" s="675"/>
      <c r="F76" s="257"/>
      <c r="G76" s="257"/>
      <c r="H76" s="257"/>
      <c r="I76" s="257"/>
      <c r="J76" s="257"/>
      <c r="K76" s="183"/>
      <c r="L76" s="183"/>
      <c r="M76" s="183"/>
      <c r="N76" s="452"/>
      <c r="O76" s="183"/>
      <c r="P76" s="183"/>
      <c r="Q76" s="183"/>
      <c r="R76" s="183"/>
      <c r="S76" s="183"/>
      <c r="T76" s="284"/>
    </row>
    <row r="77" spans="1:21" s="72" customFormat="1" ht="17.25" customHeight="1" thickTop="1" thickBot="1" x14ac:dyDescent="0.3">
      <c r="A77" s="202" t="str">
        <f>CONCATENATE(E77,S77)</f>
        <v/>
      </c>
      <c r="B77" s="332"/>
      <c r="C77" s="268" t="s">
        <v>370</v>
      </c>
      <c r="D77" s="75"/>
      <c r="E77" s="29"/>
      <c r="F77" s="29"/>
      <c r="G77" s="29"/>
      <c r="H77" s="29"/>
      <c r="I77" s="29"/>
      <c r="J77" s="29"/>
      <c r="N77" s="75"/>
      <c r="T77" s="187"/>
      <c r="U77" s="312"/>
    </row>
    <row r="78" spans="1:21" s="72" customFormat="1" ht="13.5" customHeight="1" thickTop="1" thickBot="1" x14ac:dyDescent="0.25">
      <c r="A78" s="94" t="str">
        <f>CONCATENATE(RIGHT(D78,LEN(D78)-FIND(" ",D78)),I78)</f>
        <v>Rebar0.5</v>
      </c>
      <c r="B78" s="332"/>
      <c r="C78" s="253"/>
      <c r="D78" s="186" t="s">
        <v>370</v>
      </c>
      <c r="E78" s="238">
        <v>0.66800000000000004</v>
      </c>
      <c r="F78" s="238" t="s">
        <v>1404</v>
      </c>
      <c r="G78" s="238" t="s">
        <v>1404</v>
      </c>
      <c r="H78" s="238"/>
      <c r="I78" s="238">
        <v>0.5</v>
      </c>
      <c r="J78" s="165" t="s">
        <v>1404</v>
      </c>
      <c r="K78" s="165" t="s">
        <v>1404</v>
      </c>
      <c r="L78" s="165" t="s">
        <v>16</v>
      </c>
      <c r="M78" s="165" t="s">
        <v>1197</v>
      </c>
      <c r="N78" s="688" t="s">
        <v>236</v>
      </c>
      <c r="O78" s="165" t="s">
        <v>1404</v>
      </c>
      <c r="P78" s="710" t="s">
        <v>1404</v>
      </c>
      <c r="Q78" s="165" t="s">
        <v>481</v>
      </c>
      <c r="R78" s="165" t="s">
        <v>1572</v>
      </c>
      <c r="S78" s="165" t="s">
        <v>1404</v>
      </c>
      <c r="T78" s="165" t="s">
        <v>1404</v>
      </c>
    </row>
    <row r="79" spans="1:21" s="72" customFormat="1" ht="17.25" customHeight="1" thickTop="1" thickBot="1" x14ac:dyDescent="0.25">
      <c r="A79" s="591"/>
      <c r="B79" s="332"/>
      <c r="C79" s="231"/>
      <c r="D79" s="184"/>
      <c r="E79" s="21"/>
      <c r="F79" s="21"/>
      <c r="G79" s="21"/>
      <c r="H79" s="21"/>
      <c r="I79" s="21"/>
      <c r="J79" s="21"/>
      <c r="K79" s="21"/>
      <c r="L79" s="21"/>
      <c r="M79" s="21"/>
      <c r="N79" s="21"/>
      <c r="O79" s="21"/>
      <c r="P79" s="21"/>
      <c r="Q79" s="21"/>
      <c r="R79" s="21"/>
      <c r="S79" s="21"/>
      <c r="T79" s="284"/>
    </row>
    <row r="80" spans="1:21" s="72" customFormat="1" ht="13.5" customHeight="1" thickTop="1" x14ac:dyDescent="0.2">
      <c r="A80" s="436"/>
      <c r="B80" s="332"/>
      <c r="C80" s="313"/>
      <c r="D80" s="75"/>
      <c r="E80" s="75"/>
      <c r="F80" s="75"/>
      <c r="G80" s="75"/>
      <c r="H80" s="75"/>
      <c r="I80" s="75"/>
      <c r="J80" s="75"/>
      <c r="K80" s="75"/>
      <c r="L80" s="75"/>
      <c r="M80" s="75"/>
      <c r="N80" s="75"/>
      <c r="T80" s="775"/>
    </row>
    <row r="81" spans="1:20" s="72" customFormat="1" ht="13.5" customHeight="1" x14ac:dyDescent="0.2">
      <c r="A81" s="436"/>
      <c r="B81" s="332"/>
      <c r="C81" s="587"/>
      <c r="D81" s="752" t="s">
        <v>1854</v>
      </c>
      <c r="E81" s="75"/>
      <c r="F81" s="93"/>
      <c r="G81" s="93"/>
      <c r="H81" s="93"/>
      <c r="I81" s="279"/>
      <c r="J81" s="279"/>
      <c r="K81" s="93"/>
      <c r="L81" s="93"/>
      <c r="M81" s="93"/>
      <c r="N81" s="93"/>
      <c r="O81" s="237"/>
      <c r="P81" s="237"/>
      <c r="Q81" s="237"/>
      <c r="R81" s="237"/>
      <c r="S81" s="237"/>
      <c r="T81" s="332"/>
    </row>
    <row r="82" spans="1:20" s="72" customFormat="1" ht="13.5" customHeight="1" x14ac:dyDescent="0.2">
      <c r="A82" s="436"/>
      <c r="B82" s="332"/>
      <c r="C82" s="313"/>
      <c r="D82" s="167" t="s">
        <v>849</v>
      </c>
      <c r="E82" s="75"/>
      <c r="F82" s="167"/>
      <c r="G82" s="167"/>
      <c r="H82" s="167"/>
      <c r="I82" s="467"/>
      <c r="J82" s="467"/>
      <c r="K82" s="167"/>
      <c r="L82" s="167"/>
      <c r="M82" s="167"/>
      <c r="N82" s="167"/>
      <c r="O82" s="187"/>
      <c r="P82" s="187"/>
      <c r="Q82" s="187"/>
      <c r="R82" s="187"/>
      <c r="S82" s="187"/>
      <c r="T82" s="332"/>
    </row>
    <row r="83" spans="1:20" s="72" customFormat="1" ht="13.5" customHeight="1" x14ac:dyDescent="0.2">
      <c r="A83" s="436"/>
      <c r="B83" s="332"/>
      <c r="C83" s="733"/>
      <c r="D83" s="75" t="s">
        <v>1855</v>
      </c>
      <c r="E83" s="75"/>
      <c r="F83" s="167"/>
      <c r="G83" s="167"/>
      <c r="H83" s="167"/>
      <c r="I83" s="467"/>
      <c r="J83" s="467"/>
      <c r="K83" s="167"/>
      <c r="L83" s="167"/>
      <c r="M83" s="167"/>
      <c r="N83" s="167"/>
      <c r="O83" s="187"/>
      <c r="P83" s="187"/>
      <c r="Q83" s="187"/>
      <c r="R83" s="187"/>
      <c r="S83" s="187"/>
      <c r="T83" s="332"/>
    </row>
    <row r="84" spans="1:20" s="72" customFormat="1" ht="13.5" customHeight="1" x14ac:dyDescent="0.2">
      <c r="A84" s="436"/>
      <c r="B84" s="332"/>
      <c r="C84" s="313"/>
      <c r="D84" s="167" t="s">
        <v>599</v>
      </c>
      <c r="E84" s="75"/>
      <c r="F84" s="167"/>
      <c r="G84" s="167"/>
      <c r="H84" s="167"/>
      <c r="I84" s="467"/>
      <c r="J84" s="467"/>
      <c r="K84" s="167"/>
      <c r="L84" s="167"/>
      <c r="M84" s="167"/>
      <c r="N84" s="167"/>
      <c r="O84" s="187"/>
      <c r="P84" s="187"/>
      <c r="Q84" s="187"/>
      <c r="R84" s="187"/>
      <c r="S84" s="187"/>
      <c r="T84" s="332"/>
    </row>
    <row r="85" spans="1:20" s="72" customFormat="1" ht="13.5" customHeight="1" x14ac:dyDescent="0.2">
      <c r="A85" s="436"/>
      <c r="B85" s="332"/>
      <c r="C85" s="313"/>
      <c r="D85" s="93" t="s">
        <v>44</v>
      </c>
      <c r="E85" s="75"/>
      <c r="F85" s="93"/>
      <c r="G85" s="93"/>
      <c r="H85" s="93"/>
      <c r="I85" s="279"/>
      <c r="J85" s="279"/>
      <c r="K85" s="93"/>
      <c r="L85" s="93"/>
      <c r="M85" s="93"/>
      <c r="N85" s="93"/>
      <c r="O85" s="187"/>
      <c r="P85" s="187"/>
      <c r="Q85" s="187"/>
      <c r="R85" s="187"/>
      <c r="S85" s="187"/>
      <c r="T85" s="332"/>
    </row>
    <row r="86" spans="1:20" s="72" customFormat="1" ht="13.5" customHeight="1" thickBot="1" x14ac:dyDescent="0.25">
      <c r="A86" s="202"/>
      <c r="B86" s="284"/>
      <c r="C86" s="677"/>
      <c r="D86" s="82"/>
      <c r="E86" s="82"/>
      <c r="F86" s="82"/>
      <c r="G86" s="82"/>
      <c r="H86" s="82"/>
      <c r="I86" s="492"/>
      <c r="J86" s="492"/>
      <c r="K86" s="82"/>
      <c r="L86" s="82"/>
      <c r="M86" s="82"/>
      <c r="N86" s="82"/>
      <c r="O86" s="21"/>
      <c r="P86" s="21"/>
      <c r="Q86" s="21"/>
      <c r="R86" s="21"/>
      <c r="S86" s="21"/>
      <c r="T86" s="284"/>
    </row>
    <row r="87" spans="1:20" s="72" customFormat="1" ht="13.5" customHeight="1" thickTop="1" x14ac:dyDescent="0.2">
      <c r="I87" s="259"/>
      <c r="J87" s="259"/>
    </row>
    <row r="88" spans="1:20" s="72" customFormat="1" x14ac:dyDescent="0.2">
      <c r="I88" s="259"/>
      <c r="J88" s="259"/>
    </row>
    <row r="89" spans="1:20" s="72" customFormat="1" x14ac:dyDescent="0.2">
      <c r="I89" s="259"/>
      <c r="J89" s="259"/>
    </row>
    <row r="90" spans="1:20" x14ac:dyDescent="0.2">
      <c r="F90" s="259"/>
      <c r="I90" s="72"/>
      <c r="J90" s="72"/>
      <c r="K90" s="75"/>
      <c r="L90" s="75"/>
      <c r="M90" s="75"/>
      <c r="R90" s="75"/>
    </row>
    <row r="91" spans="1:20" x14ac:dyDescent="0.2">
      <c r="F91" s="259"/>
      <c r="I91" s="72"/>
      <c r="J91" s="72"/>
      <c r="K91" s="75"/>
      <c r="L91" s="75"/>
      <c r="M91" s="75"/>
      <c r="R91" s="75"/>
    </row>
    <row r="92" spans="1:20" x14ac:dyDescent="0.2">
      <c r="F92" s="259"/>
      <c r="I92" s="72"/>
      <c r="J92" s="72"/>
      <c r="K92" s="75"/>
      <c r="L92" s="75"/>
      <c r="M92" s="75"/>
      <c r="R92" s="75"/>
    </row>
    <row r="93" spans="1:20" x14ac:dyDescent="0.2">
      <c r="F93" s="259"/>
      <c r="I93" s="72"/>
      <c r="J93" s="72"/>
      <c r="K93" s="75"/>
      <c r="L93" s="75"/>
      <c r="M93" s="75"/>
      <c r="R93" s="75"/>
    </row>
    <row r="94" spans="1:20" x14ac:dyDescent="0.2">
      <c r="F94" s="259"/>
      <c r="I94" s="72"/>
      <c r="J94" s="72"/>
      <c r="K94" s="75"/>
      <c r="L94" s="75"/>
      <c r="M94" s="75"/>
      <c r="R94" s="75"/>
    </row>
    <row r="95" spans="1:20" x14ac:dyDescent="0.2">
      <c r="F95" s="259"/>
      <c r="I95" s="72"/>
      <c r="J95" s="72"/>
      <c r="K95" s="75"/>
      <c r="L95" s="75"/>
      <c r="M95" s="75"/>
      <c r="R95" s="75"/>
    </row>
    <row r="96" spans="1:20" x14ac:dyDescent="0.2">
      <c r="R96" s="75"/>
    </row>
    <row r="97" spans="18:18" x14ac:dyDescent="0.2">
      <c r="R97" s="75"/>
    </row>
    <row r="98" spans="18:18" x14ac:dyDescent="0.2">
      <c r="R98" s="75"/>
    </row>
  </sheetData>
  <pageMargins left="0.7" right="0.7" top="0.75" bottom="0.75" header="0.3" footer="0.3"/>
  <pageSetup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autoPageBreaks="0"/>
  </sheetPr>
  <dimension ref="A1:E12"/>
  <sheetViews>
    <sheetView zoomScale="85" workbookViewId="0">
      <selection activeCell="A13" sqref="A13"/>
    </sheetView>
  </sheetViews>
  <sheetFormatPr defaultColWidth="9.140625" defaultRowHeight="12" customHeight="1" x14ac:dyDescent="0.2"/>
  <cols>
    <col min="1" max="1" width="9" style="204" customWidth="1"/>
    <col min="2" max="2" width="10.5703125" style="204" bestFit="1" customWidth="1"/>
    <col min="3" max="3" width="84" style="204" bestFit="1" customWidth="1"/>
    <col min="4" max="4" width="14.85546875" style="204" customWidth="1"/>
    <col min="5" max="5" width="12.5703125" style="204" bestFit="1" customWidth="1"/>
    <col min="6" max="16384" width="9.140625" style="204"/>
  </cols>
  <sheetData>
    <row r="1" spans="1:5" ht="12" customHeight="1" thickBot="1" x14ac:dyDescent="0.25">
      <c r="A1" s="644" t="s">
        <v>1252</v>
      </c>
      <c r="B1" s="394" t="s">
        <v>1814</v>
      </c>
      <c r="C1" s="394" t="s">
        <v>1403</v>
      </c>
      <c r="D1" s="394" t="s">
        <v>957</v>
      </c>
      <c r="E1" s="679" t="s">
        <v>426</v>
      </c>
    </row>
    <row r="2" spans="1:5" ht="12" customHeight="1" x14ac:dyDescent="0.2">
      <c r="A2" s="810" t="s">
        <v>1404</v>
      </c>
      <c r="B2" s="811">
        <v>42248</v>
      </c>
      <c r="C2" s="812" t="s">
        <v>558</v>
      </c>
      <c r="D2" s="813" t="s">
        <v>694</v>
      </c>
      <c r="E2" s="814" t="s">
        <v>1483</v>
      </c>
    </row>
    <row r="3" spans="1:5" ht="12" customHeight="1" x14ac:dyDescent="0.2">
      <c r="A3" s="596" t="s">
        <v>1811</v>
      </c>
      <c r="B3" s="567">
        <v>42437</v>
      </c>
      <c r="C3" s="96" t="s">
        <v>1938</v>
      </c>
      <c r="D3" s="260" t="s">
        <v>694</v>
      </c>
      <c r="E3" s="462" t="s">
        <v>420</v>
      </c>
    </row>
    <row r="4" spans="1:5" ht="12" customHeight="1" x14ac:dyDescent="0.2">
      <c r="A4" s="596" t="s">
        <v>142</v>
      </c>
      <c r="B4" s="567">
        <v>43031</v>
      </c>
      <c r="C4" s="96" t="s">
        <v>2055</v>
      </c>
      <c r="D4" s="260" t="s">
        <v>694</v>
      </c>
      <c r="E4" s="462" t="s">
        <v>826</v>
      </c>
    </row>
    <row r="5" spans="1:5" ht="12" customHeight="1" x14ac:dyDescent="0.2">
      <c r="A5" s="596" t="s">
        <v>690</v>
      </c>
      <c r="B5" s="567">
        <v>43249</v>
      </c>
      <c r="C5" s="96" t="s">
        <v>1812</v>
      </c>
      <c r="D5" s="260" t="s">
        <v>694</v>
      </c>
      <c r="E5" s="462" t="s">
        <v>1249</v>
      </c>
    </row>
    <row r="6" spans="1:5" ht="12" customHeight="1" x14ac:dyDescent="0.2">
      <c r="A6" s="596" t="s">
        <v>1250</v>
      </c>
      <c r="B6" s="567">
        <v>43301</v>
      </c>
      <c r="C6" s="96" t="s">
        <v>2056</v>
      </c>
      <c r="D6" s="260" t="s">
        <v>694</v>
      </c>
      <c r="E6" s="462" t="s">
        <v>143</v>
      </c>
    </row>
    <row r="7" spans="1:5" ht="12" customHeight="1" x14ac:dyDescent="0.2">
      <c r="A7" s="596" t="s">
        <v>1940</v>
      </c>
      <c r="B7" s="567">
        <v>43630</v>
      </c>
      <c r="C7" s="96" t="s">
        <v>421</v>
      </c>
      <c r="D7" s="260" t="s">
        <v>294</v>
      </c>
      <c r="E7" s="462" t="s">
        <v>1813</v>
      </c>
    </row>
    <row r="8" spans="1:5" ht="12" customHeight="1" x14ac:dyDescent="0.2">
      <c r="A8" s="596" t="s">
        <v>295</v>
      </c>
      <c r="B8" s="567">
        <v>43694</v>
      </c>
      <c r="C8" s="96" t="s">
        <v>421</v>
      </c>
      <c r="D8" s="260" t="s">
        <v>694</v>
      </c>
      <c r="E8" s="462" t="s">
        <v>2058</v>
      </c>
    </row>
    <row r="9" spans="1:5" ht="12" customHeight="1" x14ac:dyDescent="0.2">
      <c r="A9" s="596" t="s">
        <v>2195</v>
      </c>
      <c r="B9" s="567">
        <v>45148</v>
      </c>
      <c r="C9" s="96" t="s">
        <v>2197</v>
      </c>
      <c r="D9" s="260" t="s">
        <v>694</v>
      </c>
      <c r="E9" s="462" t="s">
        <v>2196</v>
      </c>
    </row>
    <row r="10" spans="1:5" ht="30" customHeight="1" x14ac:dyDescent="0.2">
      <c r="A10" s="820" t="s">
        <v>2202</v>
      </c>
      <c r="B10" s="821">
        <v>45475</v>
      </c>
      <c r="C10" s="822" t="s">
        <v>2203</v>
      </c>
      <c r="D10" s="823" t="s">
        <v>2204</v>
      </c>
      <c r="E10" s="824" t="s">
        <v>2205</v>
      </c>
    </row>
    <row r="11" spans="1:5" ht="12" customHeight="1" thickBot="1" x14ac:dyDescent="0.25">
      <c r="A11" s="815" t="s">
        <v>2209</v>
      </c>
      <c r="B11" s="816">
        <v>45714</v>
      </c>
      <c r="C11" s="817" t="s">
        <v>2206</v>
      </c>
      <c r="D11" s="818" t="s">
        <v>2207</v>
      </c>
      <c r="E11" s="819" t="s">
        <v>2208</v>
      </c>
    </row>
    <row r="12" spans="1:5" ht="12" customHeight="1" x14ac:dyDescent="0.2">
      <c r="A12" s="244" t="s">
        <v>2281</v>
      </c>
      <c r="B12" s="916">
        <v>45919</v>
      </c>
      <c r="C12" s="244" t="s">
        <v>2282</v>
      </c>
      <c r="D12" s="244" t="s">
        <v>2204</v>
      </c>
      <c r="E12" s="824" t="s">
        <v>2205</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447</vt:i4>
      </vt:variant>
    </vt:vector>
  </HeadingPairs>
  <TitlesOfParts>
    <vt:vector size="464" baseType="lpstr">
      <vt:lpstr>Sheet1</vt:lpstr>
      <vt:lpstr>Data</vt:lpstr>
      <vt:lpstr>Excel Calcs</vt:lpstr>
      <vt:lpstr>Fan Data</vt:lpstr>
      <vt:lpstr>Load Calculations</vt:lpstr>
      <vt:lpstr>Center Distance</vt:lpstr>
      <vt:lpstr>Channel Loc</vt:lpstr>
      <vt:lpstr>Motor Base</vt:lpstr>
      <vt:lpstr>Hardware</vt:lpstr>
      <vt:lpstr>Motor</vt:lpstr>
      <vt:lpstr>Isolator Plate</vt:lpstr>
      <vt:lpstr>Isolators</vt:lpstr>
      <vt:lpstr>Iso Sup Angle</vt:lpstr>
      <vt:lpstr>Hole Sizes</vt:lpstr>
      <vt:lpstr>Material List</vt:lpstr>
      <vt:lpstr>Steel List</vt:lpstr>
      <vt:lpstr>Revision List</vt:lpstr>
      <vt:lpstr>CENTER_DISTANCE_MAX</vt:lpstr>
      <vt:lpstr>CENTER_DISTANCE_MIN</vt:lpstr>
      <vt:lpstr>Center_DistanceO</vt:lpstr>
      <vt:lpstr>Construction</vt:lpstr>
      <vt:lpstr>FAN_A</vt:lpstr>
      <vt:lpstr>FAN_AH</vt:lpstr>
      <vt:lpstr>FAN_B</vt:lpstr>
      <vt:lpstr>FAN_BAH</vt:lpstr>
      <vt:lpstr>FAN_BAT</vt:lpstr>
      <vt:lpstr>FAN_BAW</vt:lpstr>
      <vt:lpstr>FAN_BH</vt:lpstr>
      <vt:lpstr>FAN_BH_NOM</vt:lpstr>
      <vt:lpstr>FAN_BRG_DIA</vt:lpstr>
      <vt:lpstr>FAN_BRG_H</vt:lpstr>
      <vt:lpstr>FAN_BRG_SUP_T</vt:lpstr>
      <vt:lpstr>FAN_BRG_SUP_W</vt:lpstr>
      <vt:lpstr>FAN_BRG_W</vt:lpstr>
      <vt:lpstr>Fan_Data_Column_Names</vt:lpstr>
      <vt:lpstr>Fan_Data_Table</vt:lpstr>
      <vt:lpstr>FAN_DC</vt:lpstr>
      <vt:lpstr>FAN_DD</vt:lpstr>
      <vt:lpstr>FAN_DE</vt:lpstr>
      <vt:lpstr>FAN_DX</vt:lpstr>
      <vt:lpstr>FAN_G</vt:lpstr>
      <vt:lpstr>FAN_GA</vt:lpstr>
      <vt:lpstr>FAN_GB</vt:lpstr>
      <vt:lpstr>FAN_GC</vt:lpstr>
      <vt:lpstr>FAN_H</vt:lpstr>
      <vt:lpstr>FAN_HE</vt:lpstr>
      <vt:lpstr>FAN_HJ</vt:lpstr>
      <vt:lpstr>FAN_HN</vt:lpstr>
      <vt:lpstr>FAN_INLET_FLG_W</vt:lpstr>
      <vt:lpstr>FAN_J</vt:lpstr>
      <vt:lpstr>FAN_K</vt:lpstr>
      <vt:lpstr>FAN_KSD</vt:lpstr>
      <vt:lpstr>FAN_KSL</vt:lpstr>
      <vt:lpstr>FAN_KSW</vt:lpstr>
      <vt:lpstr>FAN_M</vt:lpstr>
      <vt:lpstr>FAN_N</vt:lpstr>
      <vt:lpstr>FAN_ND</vt:lpstr>
      <vt:lpstr>FAN_P</vt:lpstr>
      <vt:lpstr>FAN_Q</vt:lpstr>
      <vt:lpstr>FAN_SD</vt:lpstr>
      <vt:lpstr>FAN_SHAFT_DIAMETER</vt:lpstr>
      <vt:lpstr>Fan_Start</vt:lpstr>
      <vt:lpstr>FAN_WID</vt:lpstr>
      <vt:lpstr>FAN_WOD</vt:lpstr>
      <vt:lpstr>FAN_WW</vt:lpstr>
      <vt:lpstr>FAN_X_LOCATION</vt:lpstr>
      <vt:lpstr>FanBase_Type_ForcedO</vt:lpstr>
      <vt:lpstr>FANCLASS</vt:lpstr>
      <vt:lpstr>FANDISCHARGELOC</vt:lpstr>
      <vt:lpstr>FANSIZE</vt:lpstr>
      <vt:lpstr>FanStndStrBasePadThk</vt:lpstr>
      <vt:lpstr>FANWEIGHT</vt:lpstr>
      <vt:lpstr>FLOOR_CHAN_1_X_ARRAY_OFFSET</vt:lpstr>
      <vt:lpstr>FLOOR_CHAN_1_X_ARRAY_QTY</vt:lpstr>
      <vt:lpstr>FLOOR_CHAN_1_X_ARRAY_SPACING</vt:lpstr>
      <vt:lpstr>FLOOR_CHAN_1_Z_LOC</vt:lpstr>
      <vt:lpstr>FLOOR_CHAN_10_X_ARRAY_OFFSET</vt:lpstr>
      <vt:lpstr>FLOOR_CHAN_10_X_ARRAY_QTY</vt:lpstr>
      <vt:lpstr>FLOOR_CHAN_10_X_ARRAY_SPACING</vt:lpstr>
      <vt:lpstr>FLOOR_CHAN_10_Z_LOC</vt:lpstr>
      <vt:lpstr>FLOOR_CHAN_11_X_ARRAY_OFFSET</vt:lpstr>
      <vt:lpstr>FLOOR_CHAN_11_X_ARRAY_QTY</vt:lpstr>
      <vt:lpstr>FLOOR_CHAN_11_X_ARRAY_SPACING</vt:lpstr>
      <vt:lpstr>FLOOR_CHAN_11_Z_LOC</vt:lpstr>
      <vt:lpstr>FLOOR_CHAN_12_X_ARRAY_OFFSET</vt:lpstr>
      <vt:lpstr>FLOOR_CHAN_12_X_ARRAY_QTY</vt:lpstr>
      <vt:lpstr>FLOOR_CHAN_12_X_ARRAY_SPACING</vt:lpstr>
      <vt:lpstr>FLOOR_CHAN_12_Z_LOC</vt:lpstr>
      <vt:lpstr>FLOOR_CHAN_13_X_ARRAY_OFFSET</vt:lpstr>
      <vt:lpstr>FLOOR_CHAN_13_X_ARRAY_QTY</vt:lpstr>
      <vt:lpstr>FLOOR_CHAN_13_X_ARRAY_SPACING</vt:lpstr>
      <vt:lpstr>FLOOR_CHAN_13_Z_LOC</vt:lpstr>
      <vt:lpstr>FLOOR_CHAN_14_X_ARRAY_OFFSET</vt:lpstr>
      <vt:lpstr>FLOOR_CHAN_14_X_ARRAY_QTY</vt:lpstr>
      <vt:lpstr>FLOOR_CHAN_14_X_ARRAY_SPACING</vt:lpstr>
      <vt:lpstr>FLOOR_CHAN_14_Z_LOC</vt:lpstr>
      <vt:lpstr>FLOOR_CHAN_15_X_ARRAY_OFFSET</vt:lpstr>
      <vt:lpstr>FLOOR_CHAN_15_X_ARRAY_QTY</vt:lpstr>
      <vt:lpstr>FLOOR_CHAN_15_X_ARRAY_SPACING</vt:lpstr>
      <vt:lpstr>FLOOR_CHAN_15_Z_LOC</vt:lpstr>
      <vt:lpstr>FLOOR_CHAN_16_X_ARRAY_OFFSET</vt:lpstr>
      <vt:lpstr>FLOOR_CHAN_16_X_ARRAY_QTY</vt:lpstr>
      <vt:lpstr>FLOOR_CHAN_16_X_ARRAY_SPACING</vt:lpstr>
      <vt:lpstr>FLOOR_CHAN_16_Z_LOC</vt:lpstr>
      <vt:lpstr>FLOOR_CHAN_17_X_ARRAY_OFFSET</vt:lpstr>
      <vt:lpstr>FLOOR_CHAN_17_X_ARRAY_QTY</vt:lpstr>
      <vt:lpstr>FLOOR_CHAN_17_X_ARRAY_SPACING</vt:lpstr>
      <vt:lpstr>FLOOR_CHAN_17_Z_LOC</vt:lpstr>
      <vt:lpstr>FLOOR_CHAN_18_X_ARRAY_OFFSET</vt:lpstr>
      <vt:lpstr>FLOOR_CHAN_18_X_ARRAY_QTY</vt:lpstr>
      <vt:lpstr>FLOOR_CHAN_18_X_ARRAY_SPACING</vt:lpstr>
      <vt:lpstr>FLOOR_CHAN_18_Z_LOC</vt:lpstr>
      <vt:lpstr>FLOOR_CHAN_19_X_ARRAY_OFFSET</vt:lpstr>
      <vt:lpstr>FLOOR_CHAN_19_X_ARRAY_QTY</vt:lpstr>
      <vt:lpstr>FLOOR_CHAN_19_X_ARRAY_SPACING</vt:lpstr>
      <vt:lpstr>FLOOR_CHAN_19_Z_LOC</vt:lpstr>
      <vt:lpstr>FLOOR_CHAN_2_X_ARRAY_OFFSET</vt:lpstr>
      <vt:lpstr>FLOOR_CHAN_2_X_ARRAY_QTY</vt:lpstr>
      <vt:lpstr>FLOOR_CHAN_2_X_ARRAY_SPACING</vt:lpstr>
      <vt:lpstr>FLOOR_CHAN_2_Z_LOC</vt:lpstr>
      <vt:lpstr>FLOOR_CHAN_20_X_ARRAY_OFFSET</vt:lpstr>
      <vt:lpstr>FLOOR_CHAN_20_X_ARRAY_QTY</vt:lpstr>
      <vt:lpstr>FLOOR_CHAN_20_X_ARRAY_SPACING</vt:lpstr>
      <vt:lpstr>FLOOR_CHAN_20_Z_LOC</vt:lpstr>
      <vt:lpstr>FLOOR_CHAN_3_X_ARRAY_OFFSET</vt:lpstr>
      <vt:lpstr>FLOOR_CHAN_3_X_ARRAY_QTY</vt:lpstr>
      <vt:lpstr>FLOOR_CHAN_3_X_ARRAY_SPACING</vt:lpstr>
      <vt:lpstr>FLOOR_CHAN_3_Z_LOC</vt:lpstr>
      <vt:lpstr>FLOOR_CHAN_4_X_ARRAY_OFFSET</vt:lpstr>
      <vt:lpstr>FLOOR_CHAN_4_X_ARRAY_QTY</vt:lpstr>
      <vt:lpstr>FLOOR_CHAN_4_X_ARRAY_SPACING</vt:lpstr>
      <vt:lpstr>FLOOR_CHAN_4_Z_LOC</vt:lpstr>
      <vt:lpstr>FLOOR_CHAN_5_X_ARRAY_OFFSET</vt:lpstr>
      <vt:lpstr>FLOOR_CHAN_5_X_ARRAY_QTY</vt:lpstr>
      <vt:lpstr>FLOOR_CHAN_5_X_ARRAY_SPACING</vt:lpstr>
      <vt:lpstr>FLOOR_CHAN_5_Z_LOC</vt:lpstr>
      <vt:lpstr>FLOOR_CHAN_6_X_ARRAY_OFFSET</vt:lpstr>
      <vt:lpstr>FLOOR_CHAN_6_X_ARRAY_QTY</vt:lpstr>
      <vt:lpstr>FLOOR_CHAN_6_X_ARRAY_SPACING</vt:lpstr>
      <vt:lpstr>FLOOR_CHAN_6_Z_LOC</vt:lpstr>
      <vt:lpstr>FLOOR_CHAN_7_X_ARRAY_OFFSET</vt:lpstr>
      <vt:lpstr>FLOOR_CHAN_7_X_ARRAY_QTY</vt:lpstr>
      <vt:lpstr>FLOOR_CHAN_7_X_ARRAY_SPACING</vt:lpstr>
      <vt:lpstr>FLOOR_CHAN_7_Z_LOC</vt:lpstr>
      <vt:lpstr>FLOOR_CHAN_8_X_ARRAY_OFFSET</vt:lpstr>
      <vt:lpstr>FLOOR_CHAN_8_X_ARRAY_QTY</vt:lpstr>
      <vt:lpstr>FLOOR_CHAN_8_X_ARRAY_SPACING</vt:lpstr>
      <vt:lpstr>FLOOR_CHAN_8_Z_LOC</vt:lpstr>
      <vt:lpstr>FLOOR_CHAN_9_X_ARRAY_OFFSET</vt:lpstr>
      <vt:lpstr>FLOOR_CHAN_9_X_ARRAY_QTY</vt:lpstr>
      <vt:lpstr>FLOOR_CHAN_9_X_ARRAY_SPACING</vt:lpstr>
      <vt:lpstr>FLOOR_CHAN_9_Z_LOC</vt:lpstr>
      <vt:lpstr>Hardware_Column_Names</vt:lpstr>
      <vt:lpstr>Hardware_Table</vt:lpstr>
      <vt:lpstr>HDWR_BH</vt:lpstr>
      <vt:lpstr>HDWR_BOD</vt:lpstr>
      <vt:lpstr>HDWR_FWOD</vt:lpstr>
      <vt:lpstr>HDWR_LWOD</vt:lpstr>
      <vt:lpstr>HDWR_NH</vt:lpstr>
      <vt:lpstr>HDWR_NHD</vt:lpstr>
      <vt:lpstr>HDWR_NOD</vt:lpstr>
      <vt:lpstr>IH</vt:lpstr>
      <vt:lpstr>INERTIA</vt:lpstr>
      <vt:lpstr>InertiaPlateThkO</vt:lpstr>
      <vt:lpstr>ISO_ADJBD</vt:lpstr>
      <vt:lpstr>ISO_BHD</vt:lpstr>
      <vt:lpstr>ISO_BHL</vt:lpstr>
      <vt:lpstr>ISO_BHW</vt:lpstr>
      <vt:lpstr>ISO_BL</vt:lpstr>
      <vt:lpstr>ISO_BLT</vt:lpstr>
      <vt:lpstr>ISO_BT</vt:lpstr>
      <vt:lpstr>ISO_BW</vt:lpstr>
      <vt:lpstr>ISO_D</vt:lpstr>
      <vt:lpstr>ISO_HL</vt:lpstr>
      <vt:lpstr>ISO_OPHGT</vt:lpstr>
      <vt:lpstr>ISO_PN</vt:lpstr>
      <vt:lpstr>ISO_TDBD</vt:lpstr>
      <vt:lpstr>ISO_TDBL</vt:lpstr>
      <vt:lpstr>Isolator_Data_Column_Names</vt:lpstr>
      <vt:lpstr>Isolator_Plate_Column_Names</vt:lpstr>
      <vt:lpstr>Isolator_Plate_Table</vt:lpstr>
      <vt:lpstr>Isolator_SupAng_Column_Names</vt:lpstr>
      <vt:lpstr>Isolator_SupAng_Table</vt:lpstr>
      <vt:lpstr>Isolator_Table</vt:lpstr>
      <vt:lpstr>ISOLATORDEFLECTION</vt:lpstr>
      <vt:lpstr>IW</vt:lpstr>
      <vt:lpstr>LEFT_HAND_CHAN_1_Y_ARRAY_OFFSET</vt:lpstr>
      <vt:lpstr>LEFT_HAND_CHAN_1_Y_ARRAY_QTY</vt:lpstr>
      <vt:lpstr>LEFT_HAND_CHAN_1_Y_ARRAY_SPACING</vt:lpstr>
      <vt:lpstr>LEFT_HAND_CHAN_1_Z_LOC</vt:lpstr>
      <vt:lpstr>LEFT_HAND_CHAN_10_Y_ARRAY_OFFSET</vt:lpstr>
      <vt:lpstr>LEFT_HAND_CHAN_10_Y_ARRAY_QTY</vt:lpstr>
      <vt:lpstr>LEFT_HAND_CHAN_10_Y_ARRAY_SPACING</vt:lpstr>
      <vt:lpstr>LEFT_HAND_CHAN_10_Z_LOC</vt:lpstr>
      <vt:lpstr>LEFT_HAND_CHAN_2_Y_ARRAY_OFFSET</vt:lpstr>
      <vt:lpstr>LEFT_HAND_CHAN_2_Y_ARRAY_QTY</vt:lpstr>
      <vt:lpstr>LEFT_HAND_CHAN_2_Y_ARRAY_SPACING</vt:lpstr>
      <vt:lpstr>LEFT_HAND_CHAN_2_Z_LOC</vt:lpstr>
      <vt:lpstr>LEFT_HAND_CHAN_3_Y_ARRAY_OFFSET</vt:lpstr>
      <vt:lpstr>LEFT_HAND_CHAN_3_Y_ARRAY_QTY</vt:lpstr>
      <vt:lpstr>LEFT_HAND_CHAN_3_Y_ARRAY_SPACING</vt:lpstr>
      <vt:lpstr>LEFT_HAND_CHAN_3_Z_LOC</vt:lpstr>
      <vt:lpstr>LEFT_HAND_CHAN_4_Y_ARRAY_OFFSET</vt:lpstr>
      <vt:lpstr>LEFT_HAND_CHAN_4_Y_ARRAY_QTY</vt:lpstr>
      <vt:lpstr>LEFT_HAND_CHAN_4_Y_ARRAY_SPACING</vt:lpstr>
      <vt:lpstr>LEFT_HAND_CHAN_4_Z_LOC</vt:lpstr>
      <vt:lpstr>LEFT_HAND_CHAN_5_Y_ARRAY_OFFSET</vt:lpstr>
      <vt:lpstr>LEFT_HAND_CHAN_5_Y_ARRAY_QTY</vt:lpstr>
      <vt:lpstr>LEFT_HAND_CHAN_5_Y_ARRAY_SPACING</vt:lpstr>
      <vt:lpstr>LEFT_HAND_CHAN_5_Z_LOC</vt:lpstr>
      <vt:lpstr>LEFT_HAND_CHAN_6_Y_ARRAY_OFFSET</vt:lpstr>
      <vt:lpstr>LEFT_HAND_CHAN_6_Y_ARRAY_QTY</vt:lpstr>
      <vt:lpstr>LEFT_HAND_CHAN_6_Y_ARRAY_SPACING</vt:lpstr>
      <vt:lpstr>LEFT_HAND_CHAN_6_Z_LOC</vt:lpstr>
      <vt:lpstr>LEFT_HAND_CHAN_7_Y_ARRAY_OFFSET</vt:lpstr>
      <vt:lpstr>LEFT_HAND_CHAN_7_Y_ARRAY_QTY</vt:lpstr>
      <vt:lpstr>LEFT_HAND_CHAN_7_Y_ARRAY_SPACING</vt:lpstr>
      <vt:lpstr>LEFT_HAND_CHAN_7_Z_LOC</vt:lpstr>
      <vt:lpstr>LEFT_HAND_CHAN_8_Y_ARRAY_OFFSET</vt:lpstr>
      <vt:lpstr>LEFT_HAND_CHAN_8_Y_ARRAY_QTY</vt:lpstr>
      <vt:lpstr>LEFT_HAND_CHAN_8_Y_ARRAY_SPACING</vt:lpstr>
      <vt:lpstr>LEFT_HAND_CHAN_8_Z_LOC</vt:lpstr>
      <vt:lpstr>LEFT_HAND_CHAN_9_Y_ARRAY_OFFSET</vt:lpstr>
      <vt:lpstr>LEFT_HAND_CHAN_9_Y_ARRAY_QTY</vt:lpstr>
      <vt:lpstr>LEFT_HAND_CHAN_9_Y_ARRAY_SPACING</vt:lpstr>
      <vt:lpstr>LEFT_HAND_CHAN_9_Z_LOC</vt:lpstr>
      <vt:lpstr>MAT_CUT</vt:lpstr>
      <vt:lpstr>MAT_DESC</vt:lpstr>
      <vt:lpstr>MAT_DESG</vt:lpstr>
      <vt:lpstr>MAT_DEST</vt:lpstr>
      <vt:lpstr>MAT_DXF</vt:lpstr>
      <vt:lpstr>MAT_GA</vt:lpstr>
      <vt:lpstr>MAT_GRP</vt:lpstr>
      <vt:lpstr>MAT_HLSZ</vt:lpstr>
      <vt:lpstr>MAT_KEYT</vt:lpstr>
      <vt:lpstr>MAT_LOOKUP</vt:lpstr>
      <vt:lpstr>MAT_MINT</vt:lpstr>
      <vt:lpstr>MAT_PNUM</vt:lpstr>
      <vt:lpstr>MAT_RSTD</vt:lpstr>
      <vt:lpstr>MAT_STG</vt:lpstr>
      <vt:lpstr>MAT_TYPE</vt:lpstr>
      <vt:lpstr>MAT_UMSR</vt:lpstr>
      <vt:lpstr>MAT_XT</vt:lpstr>
      <vt:lpstr>MAT_YC</vt:lpstr>
      <vt:lpstr>Material_List_Column_Names</vt:lpstr>
      <vt:lpstr>Material_List_Table</vt:lpstr>
      <vt:lpstr>MaterialStyle</vt:lpstr>
      <vt:lpstr>MAX_T_FRAME</vt:lpstr>
      <vt:lpstr>Motor_ChannelO</vt:lpstr>
      <vt:lpstr>Motor_Data_Column_Names</vt:lpstr>
      <vt:lpstr>MOTOR_SHAFT_DIAMETER</vt:lpstr>
      <vt:lpstr>Motor_Table</vt:lpstr>
      <vt:lpstr>MotorBase_Data_Column_Names</vt:lpstr>
      <vt:lpstr>MotorBase_Table</vt:lpstr>
      <vt:lpstr>MOTORFRAME</vt:lpstr>
      <vt:lpstr>MOTORHAND</vt:lpstr>
      <vt:lpstr>MOTORLOCATION</vt:lpstr>
      <vt:lpstr>MOTORWEIGHT</vt:lpstr>
      <vt:lpstr>MTR_2F</vt:lpstr>
      <vt:lpstr>MTR_AB</vt:lpstr>
      <vt:lpstr>MTR_BA</vt:lpstr>
      <vt:lpstr>MTR_BL</vt:lpstr>
      <vt:lpstr>MTR_BS_BT</vt:lpstr>
      <vt:lpstr>MTR_BS_H</vt:lpstr>
      <vt:lpstr>MTR_BW</vt:lpstr>
      <vt:lpstr>MTR_C</vt:lpstr>
      <vt:lpstr>MTR_D</vt:lpstr>
      <vt:lpstr>MTR_D1</vt:lpstr>
      <vt:lpstr>MTR_D2</vt:lpstr>
      <vt:lpstr>MTR_E</vt:lpstr>
      <vt:lpstr>MTR_FRAME</vt:lpstr>
      <vt:lpstr>MTR_H</vt:lpstr>
      <vt:lpstr>MTR_HP</vt:lpstr>
      <vt:lpstr>MTR_KWL</vt:lpstr>
      <vt:lpstr>MTR_P</vt:lpstr>
      <vt:lpstr>MTR_R</vt:lpstr>
      <vt:lpstr>MTR_S</vt:lpstr>
      <vt:lpstr>MTR_U</vt:lpstr>
      <vt:lpstr>MTR_V</vt:lpstr>
      <vt:lpstr>MTRBS_AL</vt:lpstr>
      <vt:lpstr>MTRBS_AM</vt:lpstr>
      <vt:lpstr>MTRBS_AO</vt:lpstr>
      <vt:lpstr>MTRBS_AR</vt:lpstr>
      <vt:lpstr>MTRBS_AT</vt:lpstr>
      <vt:lpstr>MTRBS_AU</vt:lpstr>
      <vt:lpstr>MTRBS_AX</vt:lpstr>
      <vt:lpstr>MTRBS_AYBOLT_D</vt:lpstr>
      <vt:lpstr>MTRBS_AYBOLT_L</vt:lpstr>
      <vt:lpstr>MTRBS_BB</vt:lpstr>
      <vt:lpstr>MTRBS_BT</vt:lpstr>
      <vt:lpstr>MTRBS_DBOLT_D</vt:lpstr>
      <vt:lpstr>MTRBS_DBOLT_L</vt:lpstr>
      <vt:lpstr>MTRBS_E</vt:lpstr>
      <vt:lpstr>MTRBS_F</vt:lpstr>
      <vt:lpstr>MTRBS_FRAME</vt:lpstr>
      <vt:lpstr>MTRBS_LB</vt:lpstr>
      <vt:lpstr>MTRBS_XC</vt:lpstr>
      <vt:lpstr>Plate_Data_Column_Names</vt:lpstr>
      <vt:lpstr>PLT_D</vt:lpstr>
      <vt:lpstr>PLT_L</vt:lpstr>
      <vt:lpstr>PLT_OS</vt:lpstr>
      <vt:lpstr>PLT_PH</vt:lpstr>
      <vt:lpstr>PLT_PN</vt:lpstr>
      <vt:lpstr>PLT_SH</vt:lpstr>
      <vt:lpstr>PLT_SL1</vt:lpstr>
      <vt:lpstr>PLT_SL2</vt:lpstr>
      <vt:lpstr>PLT_SLI</vt:lpstr>
      <vt:lpstr>PLT_SS</vt:lpstr>
      <vt:lpstr>PLT_SW1</vt:lpstr>
      <vt:lpstr>PLT_SW2</vt:lpstr>
      <vt:lpstr>PLT_SWI</vt:lpstr>
      <vt:lpstr>PLT_T</vt:lpstr>
      <vt:lpstr>PLT_W</vt:lpstr>
      <vt:lpstr>RIGHT_HAND_CHAN_1_Y_ARRAY_OFFSET</vt:lpstr>
      <vt:lpstr>RIGHT_HAND_CHAN_1_Y_ARRAY_QTY</vt:lpstr>
      <vt:lpstr>RIGHT_HAND_CHAN_1_Y_ARRAY_SPACING</vt:lpstr>
      <vt:lpstr>RIGHT_HAND_CHAN_1_Z_LOC</vt:lpstr>
      <vt:lpstr>RIGHT_HAND_CHAN_10_Y_ARRAY_OFFSET</vt:lpstr>
      <vt:lpstr>RIGHT_HAND_CHAN_10_Y_ARRAY_QTY</vt:lpstr>
      <vt:lpstr>RIGHT_HAND_CHAN_10_Y_ARRAY_SPACING</vt:lpstr>
      <vt:lpstr>RIGHT_HAND_CHAN_10_Z_LOC</vt:lpstr>
      <vt:lpstr>RIGHT_HAND_CHAN_2_Y_ARRAY_OFFSET</vt:lpstr>
      <vt:lpstr>RIGHT_HAND_CHAN_2_Y_ARRAY_QTY</vt:lpstr>
      <vt:lpstr>RIGHT_HAND_CHAN_2_Y_ARRAY_SPACING</vt:lpstr>
      <vt:lpstr>RIGHT_HAND_CHAN_2_Z_LOC</vt:lpstr>
      <vt:lpstr>RIGHT_HAND_CHAN_3_Y_ARRAY_OFFSET</vt:lpstr>
      <vt:lpstr>RIGHT_HAND_CHAN_3_Y_ARRAY_QTY</vt:lpstr>
      <vt:lpstr>RIGHT_HAND_CHAN_3_Y_ARRAY_SPACING</vt:lpstr>
      <vt:lpstr>RIGHT_HAND_CHAN_3_Z_LOC</vt:lpstr>
      <vt:lpstr>RIGHT_HAND_CHAN_4_Y_ARRAY_OFFSET</vt:lpstr>
      <vt:lpstr>RIGHT_HAND_CHAN_4_Y_ARRAY_QTY</vt:lpstr>
      <vt:lpstr>RIGHT_HAND_CHAN_4_Y_ARRAY_SPACING</vt:lpstr>
      <vt:lpstr>RIGHT_HAND_CHAN_4_Z_LOC</vt:lpstr>
      <vt:lpstr>RIGHT_HAND_CHAN_5_Y_ARRAY_OFFSET</vt:lpstr>
      <vt:lpstr>RIGHT_HAND_CHAN_5_Y_ARRAY_QTY</vt:lpstr>
      <vt:lpstr>RIGHT_HAND_CHAN_5_Y_ARRAY_SPACING</vt:lpstr>
      <vt:lpstr>RIGHT_HAND_CHAN_5_Z_LOC</vt:lpstr>
      <vt:lpstr>RIGHT_HAND_CHAN_6_Y_ARRAY_OFFSET</vt:lpstr>
      <vt:lpstr>RIGHT_HAND_CHAN_6_Y_ARRAY_QTY</vt:lpstr>
      <vt:lpstr>RIGHT_HAND_CHAN_6_Y_ARRAY_SPACING</vt:lpstr>
      <vt:lpstr>RIGHT_HAND_CHAN_6_Z_LOC</vt:lpstr>
      <vt:lpstr>RIGHT_HAND_CHAN_7_Y_ARRAY_OFFSET</vt:lpstr>
      <vt:lpstr>RIGHT_HAND_CHAN_7_Y_ARRAY_QTY</vt:lpstr>
      <vt:lpstr>RIGHT_HAND_CHAN_7_Y_ARRAY_SPACING</vt:lpstr>
      <vt:lpstr>RIGHT_HAND_CHAN_7_Z_LOC</vt:lpstr>
      <vt:lpstr>RIGHT_HAND_CHAN_8_Y_ARRAY_OFFSET</vt:lpstr>
      <vt:lpstr>RIGHT_HAND_CHAN_8_Y_ARRAY_QTY</vt:lpstr>
      <vt:lpstr>RIGHT_HAND_CHAN_8_Y_ARRAY_SPACING</vt:lpstr>
      <vt:lpstr>RIGHT_HAND_CHAN_8_Z_LOC</vt:lpstr>
      <vt:lpstr>RIGHT_HAND_CHAN_9_Y_ARRAY_OFFSET</vt:lpstr>
      <vt:lpstr>RIGHT_HAND_CHAN_9_Y_ARRAY_QTY</vt:lpstr>
      <vt:lpstr>RIGHT_HAND_CHAN_9_Y_ARRAY_SPACING</vt:lpstr>
      <vt:lpstr>RIGHT_HAND_CHAN_9_Z_LOC</vt:lpstr>
      <vt:lpstr>ROOF_CHAN_1_X_ARRAY_OFFSET</vt:lpstr>
      <vt:lpstr>ROOF_CHAN_1_X_ARRAY_QTY</vt:lpstr>
      <vt:lpstr>ROOF_CHAN_1_X_ARRAY_SPACING</vt:lpstr>
      <vt:lpstr>ROOF_CHAN_1_Z_LOC</vt:lpstr>
      <vt:lpstr>ROOF_CHAN_10_X_ARRAY_OFFSET</vt:lpstr>
      <vt:lpstr>ROOF_CHAN_10_X_ARRAY_QTY</vt:lpstr>
      <vt:lpstr>ROOF_CHAN_10_X_ARRAY_SPACING</vt:lpstr>
      <vt:lpstr>ROOF_CHAN_10_Z_LOC</vt:lpstr>
      <vt:lpstr>ROOF_CHAN_11_X_ARRAY_OFFSET</vt:lpstr>
      <vt:lpstr>ROOF_CHAN_11_X_ARRAY_QTY</vt:lpstr>
      <vt:lpstr>ROOF_CHAN_11_X_ARRAY_SPACING</vt:lpstr>
      <vt:lpstr>ROOF_CHAN_11_Z_LOC</vt:lpstr>
      <vt:lpstr>ROOF_CHAN_12_X_ARRAY_OFFSET</vt:lpstr>
      <vt:lpstr>ROOF_CHAN_12_X_ARRAY_QTY</vt:lpstr>
      <vt:lpstr>ROOF_CHAN_12_X_ARRAY_SPACING</vt:lpstr>
      <vt:lpstr>ROOF_CHAN_12_Z_LOC</vt:lpstr>
      <vt:lpstr>ROOF_CHAN_13_X_ARRAY_OFFSET</vt:lpstr>
      <vt:lpstr>ROOF_CHAN_13_X_ARRAY_QTY</vt:lpstr>
      <vt:lpstr>ROOF_CHAN_13_X_ARRAY_SPACING</vt:lpstr>
      <vt:lpstr>ROOF_CHAN_13_Z_LOC</vt:lpstr>
      <vt:lpstr>ROOF_CHAN_14_X_ARRAY_OFFSET</vt:lpstr>
      <vt:lpstr>ROOF_CHAN_14_X_ARRAY_QTY</vt:lpstr>
      <vt:lpstr>ROOF_CHAN_14_X_ARRAY_SPACING</vt:lpstr>
      <vt:lpstr>ROOF_CHAN_14_Z_LOC</vt:lpstr>
      <vt:lpstr>ROOF_CHAN_15_X_ARRAY_OFFSET</vt:lpstr>
      <vt:lpstr>ROOF_CHAN_15_X_ARRAY_QTY</vt:lpstr>
      <vt:lpstr>ROOF_CHAN_15_X_ARRAY_SPACING</vt:lpstr>
      <vt:lpstr>ROOF_CHAN_15_Z_LOC</vt:lpstr>
      <vt:lpstr>ROOF_CHAN_2_X_ARRAY_OFFSET</vt:lpstr>
      <vt:lpstr>ROOF_CHAN_2_X_ARRAY_QTY</vt:lpstr>
      <vt:lpstr>ROOF_CHAN_2_X_ARRAY_SPACING</vt:lpstr>
      <vt:lpstr>ROOF_CHAN_2_Z_LOC</vt:lpstr>
      <vt:lpstr>ROOF_CHAN_3_X_ARRAY_OFFSET</vt:lpstr>
      <vt:lpstr>ROOF_CHAN_3_X_ARRAY_QTY</vt:lpstr>
      <vt:lpstr>ROOF_CHAN_3_X_ARRAY_SPACING</vt:lpstr>
      <vt:lpstr>ROOF_CHAN_3_Z_LOC</vt:lpstr>
      <vt:lpstr>ROOF_CHAN_4_X_ARRAY_OFFSET</vt:lpstr>
      <vt:lpstr>ROOF_CHAN_4_X_ARRAY_QTY</vt:lpstr>
      <vt:lpstr>ROOF_CHAN_4_X_ARRAY_SPACING</vt:lpstr>
      <vt:lpstr>ROOF_CHAN_4_Z_LOC</vt:lpstr>
      <vt:lpstr>ROOF_CHAN_5_X_ARRAY_OFFSET</vt:lpstr>
      <vt:lpstr>ROOF_CHAN_5_X_ARRAY_QTY</vt:lpstr>
      <vt:lpstr>ROOF_CHAN_5_X_ARRAY_SPACING</vt:lpstr>
      <vt:lpstr>ROOF_CHAN_5_Z_LOC</vt:lpstr>
      <vt:lpstr>ROOF_CHAN_6_X_ARRAY_OFFSET</vt:lpstr>
      <vt:lpstr>ROOF_CHAN_6_X_ARRAY_QTY</vt:lpstr>
      <vt:lpstr>ROOF_CHAN_6_X_ARRAY_SPACING</vt:lpstr>
      <vt:lpstr>ROOF_CHAN_6_Z_LOC</vt:lpstr>
      <vt:lpstr>ROOF_CHAN_7_X_ARRAY_OFFSET</vt:lpstr>
      <vt:lpstr>ROOF_CHAN_7_X_ARRAY_QTY</vt:lpstr>
      <vt:lpstr>ROOF_CHAN_7_X_ARRAY_SPACING</vt:lpstr>
      <vt:lpstr>ROOF_CHAN_7_Z_LOC</vt:lpstr>
      <vt:lpstr>ROOF_CHAN_8_X_ARRAY_OFFSET</vt:lpstr>
      <vt:lpstr>ROOF_CHAN_8_X_ARRAY_QTY</vt:lpstr>
      <vt:lpstr>ROOF_CHAN_8_X_ARRAY_SPACING</vt:lpstr>
      <vt:lpstr>ROOF_CHAN_8_Z_LOC</vt:lpstr>
      <vt:lpstr>ROOF_CHAN_9_X_ARRAY_OFFSET</vt:lpstr>
      <vt:lpstr>ROOF_CHAN_9_X_ARRAY_QTY</vt:lpstr>
      <vt:lpstr>ROOF_CHAN_9_X_ARRAY_SPACING</vt:lpstr>
      <vt:lpstr>ROOF_CHAN_9_Z_LOC</vt:lpstr>
      <vt:lpstr>S1_PLATE_ASY</vt:lpstr>
      <vt:lpstr>S1_PLATE_QTY</vt:lpstr>
      <vt:lpstr>S1_SPRING_ASY</vt:lpstr>
      <vt:lpstr>S1_WEIGHT</vt:lpstr>
      <vt:lpstr>S2_PLATE_ASY</vt:lpstr>
      <vt:lpstr>S2_PLATE_QTY</vt:lpstr>
      <vt:lpstr>S2_SPRING_ASY</vt:lpstr>
      <vt:lpstr>S2_WEIGHT</vt:lpstr>
      <vt:lpstr>S3_PLATE_ASY</vt:lpstr>
      <vt:lpstr>S3_PLATE_QTY</vt:lpstr>
      <vt:lpstr>S3_SPRING_ASY</vt:lpstr>
      <vt:lpstr>S3_WEIGHT</vt:lpstr>
      <vt:lpstr>S4_PLATE_ASY</vt:lpstr>
      <vt:lpstr>S4_PLATE_QTY</vt:lpstr>
      <vt:lpstr>S4_SPRING_ASY</vt:lpstr>
      <vt:lpstr>S4_WEIGHT</vt:lpstr>
      <vt:lpstr>SEGL</vt:lpstr>
      <vt:lpstr>SEISMIC</vt:lpstr>
      <vt:lpstr>Steel_List_Column_Names</vt:lpstr>
      <vt:lpstr>Steel_List_Table</vt:lpstr>
      <vt:lpstr>STL_CUT</vt:lpstr>
      <vt:lpstr>STL_D</vt:lpstr>
      <vt:lpstr>STL_DESC</vt:lpstr>
      <vt:lpstr>STL_DESG</vt:lpstr>
      <vt:lpstr>STL_DXF</vt:lpstr>
      <vt:lpstr>STL_FTR</vt:lpstr>
      <vt:lpstr>STL_GRP</vt:lpstr>
      <vt:lpstr>STL_H</vt:lpstr>
      <vt:lpstr>STL_LBFT</vt:lpstr>
      <vt:lpstr>STL_LOOKUP</vt:lpstr>
      <vt:lpstr>STL_PNUM</vt:lpstr>
      <vt:lpstr>STL_RSTD</vt:lpstr>
      <vt:lpstr>STL_TYPE</vt:lpstr>
      <vt:lpstr>STL_UMSR</vt:lpstr>
      <vt:lpstr>STL_WT</vt:lpstr>
      <vt:lpstr>STL_XT</vt:lpstr>
      <vt:lpstr>STL_YC</vt:lpstr>
      <vt:lpstr>SUPANG_D</vt:lpstr>
      <vt:lpstr>SUPANG_DESG</vt:lpstr>
      <vt:lpstr>SUPANG_FTR</vt:lpstr>
      <vt:lpstr>SUPANG_H</vt:lpstr>
      <vt:lpstr>SUPANG_HD1</vt:lpstr>
      <vt:lpstr>SUPANG_HD2</vt:lpstr>
      <vt:lpstr>SUPANG_HL</vt:lpstr>
      <vt:lpstr>SUPANG_HS</vt:lpstr>
      <vt:lpstr>SUPANG_L</vt:lpstr>
      <vt:lpstr>SUPANG_LB</vt:lpstr>
      <vt:lpstr>SUPANG_PN</vt:lpstr>
      <vt:lpstr>SUPANG_WT</vt:lpstr>
      <vt:lpstr>TopDischTransThkO</vt:lpstr>
      <vt:lpstr>WH_DIA_Nominal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Joshuah Burnworth</cp:lastModifiedBy>
  <dcterms:modified xsi:type="dcterms:W3CDTF">2026-02-18T22:22:58Z</dcterms:modified>
</cp:coreProperties>
</file>