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4.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5.xml" ContentType="application/vnd.openxmlformats-officedocument.spreadsheetml.table+xml"/>
  <Override PartName="/xl/comments5.xml" ContentType="application/vnd.openxmlformats-officedocument.spreadsheetml.comments+xml"/>
  <Override PartName="/xl/threadedComments/threadedComment5.xml" ContentType="application/vnd.ms-excel.threadedcomments+xml"/>
  <Override PartName="/xl/tables/table6.xml" ContentType="application/vnd.openxmlformats-officedocument.spreadsheetml.table+xml"/>
  <Override PartName="/xl/comments6.xml" ContentType="application/vnd.openxmlformats-officedocument.spreadsheetml.comments+xml"/>
  <Override PartName="/xl/threadedComments/threadedComment6.xml" ContentType="application/vnd.ms-excel.threadedcomments+xml"/>
  <Override PartName="/xl/tables/table7.xml" ContentType="application/vnd.openxmlformats-officedocument.spreadsheetml.table+xml"/>
  <Override PartName="/xl/comments7.xml" ContentType="application/vnd.openxmlformats-officedocument.spreadsheetml.comments+xml"/>
  <Override PartName="/xl/threadedComments/threadedComment7.xml" ContentType="application/vnd.ms-excel.threadedcomments+xml"/>
  <Override PartName="/xl/tables/table8.xml" ContentType="application/vnd.openxmlformats-officedocument.spreadsheetml.table+xml"/>
  <Override PartName="/xl/comments8.xml" ContentType="application/vnd.openxmlformats-officedocument.spreadsheetml.comments+xml"/>
  <Override PartName="/xl/threadedComments/threadedComment8.xml" ContentType="application/vnd.ms-excel.threadedcomments+xml"/>
  <Override PartName="/xl/tables/table9.xml" ContentType="application/vnd.openxmlformats-officedocument.spreadsheetml.table+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documenttasks/documenttask1.xml" ContentType="application/vnd.ms-excel.documenttasks+xml"/>
  <Override PartName="/xl/comments12.xml" ContentType="application/vnd.openxmlformats-officedocument.spreadsheetml.comments+xml"/>
  <Override PartName="/xl/threadedComments/threadedComment12.xml" ContentType="application/vnd.ms-excel.threadedcomments+xml"/>
  <Override PartName="/xl/documenttasks/documenttask2.xml" ContentType="application/vnd.ms-excel.documenttasks+xml"/>
  <Override PartName="/xl/namedSheetViews/namedSheetView1.xml" ContentType="application/vnd.ms-excel.namedsheetviews+xml"/>
  <Override PartName="/xl/comments13.xml" ContentType="application/vnd.openxmlformats-officedocument.spreadsheetml.comments+xml"/>
  <Override PartName="/xl/threadedComments/threadedComment13.xml" ContentType="application/vnd.ms-excel.threadedcomments+xml"/>
  <Override PartName="/xl/namedSheetViews/namedSheetView2.xml" ContentType="application/vnd.ms-excel.namedsheetviews+xml"/>
  <Override PartName="/xl/comments14.xml" ContentType="application/vnd.openxmlformats-officedocument.spreadsheetml.comments+xml"/>
  <Override PartName="/xl/threadedComments/threadedComment14.xml" ContentType="application/vnd.ms-excel.threadedcomments+xml"/>
  <Override PartName="/xl/namedSheetViews/namedSheetView3.xml" ContentType="application/vnd.ms-excel.namedsheetviews+xml"/>
  <Override PartName="/xl/comments15.xml" ContentType="application/vnd.openxmlformats-officedocument.spreadsheetml.comments+xml"/>
  <Override PartName="/xl/threadedComments/threadedComment15.xml" ContentType="application/vnd.ms-excel.threadedcomments+xml"/>
  <Override PartName="/xl/namedSheetViews/namedSheetView4.xml" ContentType="application/vnd.ms-excel.namedsheetviews+xml"/>
  <Override PartName="/xl/comments16.xml" ContentType="application/vnd.openxmlformats-officedocument.spreadsheetml.comments+xml"/>
  <Override PartName="/xl/threadedComments/threadedComment16.xml" ContentType="application/vnd.ms-excel.threadedcomments+xml"/>
  <Override PartName="/xl/namedSheetViews/namedSheetView5.xml" ContentType="application/vnd.ms-excel.namedsheetviews+xml"/>
  <Override PartName="/xl/comments17.xml" ContentType="application/vnd.openxmlformats-officedocument.spreadsheetml.comments+xml"/>
  <Override PartName="/xl/namedSheetViews/namedSheetView6.xml" ContentType="application/vnd.ms-excel.namedsheetviews+xml"/>
  <Override PartName="/xl/comments18.xml" ContentType="application/vnd.openxmlformats-officedocument.spreadsheetml.comments+xml"/>
  <Override PartName="/xl/namedSheetViews/namedSheetView7.xml" ContentType="application/vnd.ms-excel.namedsheetview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codeName="ThisWorkbook" defaultThemeVersion="166925"/>
  <mc:AlternateContent xmlns:mc="http://schemas.openxmlformats.org/markup-compatibility/2006">
    <mc:Choice Requires="x15">
      <x15ac:absPath xmlns:x15ac="http://schemas.microsoft.com/office/spreadsheetml/2010/11/ac" url="C:\Innovative Analyst\Hackathon\"/>
    </mc:Choice>
  </mc:AlternateContent>
  <xr:revisionPtr revIDLastSave="0" documentId="8_{B2692F61-D257-4652-B9AA-1552CA51F6FA}" xr6:coauthVersionLast="47" xr6:coauthVersionMax="47" xr10:uidLastSave="{00000000-0000-0000-0000-000000000000}"/>
  <bookViews>
    <workbookView xWindow="-110" yWindow="-110" windowWidth="25820" windowHeight="15500" firstSheet="15" activeTab="18" xr2:uid="{2AA89E1B-750F-453C-8103-5D3295287D3C}"/>
  </bookViews>
  <sheets>
    <sheet name="April 2024 Projections" sheetId="1" r:id="rId1"/>
    <sheet name="May 2024 " sheetId="2" r:id="rId2"/>
    <sheet name="Jun 2024" sheetId="3" r:id="rId3"/>
    <sheet name="Jul 2024" sheetId="4" r:id="rId4"/>
    <sheet name="Aug 2024" sheetId="5" r:id="rId5"/>
    <sheet name="Sep 2024" sheetId="8" r:id="rId6"/>
    <sheet name="Oct 2024" sheetId="9" r:id="rId7"/>
    <sheet name="Nov 2024" sheetId="10" r:id="rId8"/>
    <sheet name="Dec 2024" sheetId="11" r:id="rId9"/>
    <sheet name="Jan 2025" sheetId="12" r:id="rId10"/>
    <sheet name="Feb 2025" sheetId="13" r:id="rId11"/>
    <sheet name="Mar 2025" sheetId="14" r:id="rId12"/>
    <sheet name="Apr 2025" sheetId="16" r:id="rId13"/>
    <sheet name="May 2025" sheetId="17" r:id="rId14"/>
    <sheet name="June 2025" sheetId="18" r:id="rId15"/>
    <sheet name="July 2025" sheetId="22" r:id="rId16"/>
    <sheet name="August 2025" sheetId="23" r:id="rId17"/>
    <sheet name="Sep 2025" sheetId="24" r:id="rId18"/>
    <sheet name="October 2025" sheetId="25" r:id="rId19"/>
    <sheet name="Month Template" sheetId="20" state="hidden" r:id="rId20"/>
    <sheet name="Engineering Numbers Ref" sheetId="19" state="hidden" r:id="rId21"/>
  </sheets>
  <externalReferences>
    <externalReference r:id="rId22"/>
    <externalReference r:id="rId23"/>
  </externalReferences>
  <definedNames>
    <definedName name="_xlnm._FilterDatabase" localSheetId="12" hidden="1">'Apr 2025'!$A$1:$I$22</definedName>
    <definedName name="_xlnm._FilterDatabase" localSheetId="16" hidden="1">'August 2025'!$A$1:$J$47</definedName>
    <definedName name="_xlnm._FilterDatabase" localSheetId="10" hidden="1">'Feb 2025'!$A$1:$I$24</definedName>
    <definedName name="_xlnm._FilterDatabase" localSheetId="9" hidden="1">'Jan 2025'!$A$1:$G$1</definedName>
    <definedName name="_xlnm._FilterDatabase" localSheetId="15" hidden="1">'July 2025'!$A$1:$I$44</definedName>
    <definedName name="_xlnm._FilterDatabase" localSheetId="14" hidden="1">'June 2025'!$A$1:$I$52</definedName>
    <definedName name="_xlnm._FilterDatabase" localSheetId="11" hidden="1">'Mar 2025'!$A$1:$I$29</definedName>
    <definedName name="_xlnm._FilterDatabase" localSheetId="13" hidden="1">'May 2025'!$A$1:$I$39</definedName>
    <definedName name="_xlnm._FilterDatabase" localSheetId="19" hidden="1">'Month Template'!$A$1:$I$49</definedName>
    <definedName name="_xlnm._FilterDatabase" localSheetId="18" hidden="1">'October 2025'!$A$1:$J$49</definedName>
    <definedName name="_xlnm._FilterDatabase" localSheetId="17" hidden="1">'Sep 2025'!$A$1:$J$38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25" l="1"/>
  <c r="F28" i="25" l="1"/>
  <c r="H28" i="25" s="1"/>
  <c r="F7" i="25"/>
  <c r="H7" i="25" s="1"/>
  <c r="F31" i="25"/>
  <c r="H31" i="25" s="1"/>
  <c r="F14" i="25"/>
  <c r="H14" i="25" s="1"/>
  <c r="F29" i="25"/>
  <c r="H29" i="25" s="1"/>
  <c r="F16" i="25"/>
  <c r="H16" i="25" s="1"/>
  <c r="F2" i="25"/>
  <c r="H2" i="25" s="1"/>
  <c r="H17" i="25"/>
  <c r="F13" i="25"/>
  <c r="H13" i="25" s="1"/>
  <c r="F26" i="25"/>
  <c r="H26" i="25" s="1"/>
  <c r="F27" i="25"/>
  <c r="H27" i="25" s="1"/>
  <c r="F24" i="25"/>
  <c r="H24" i="25" s="1"/>
  <c r="F32" i="25"/>
  <c r="H32" i="25" s="1"/>
  <c r="F4" i="25"/>
  <c r="H4" i="25" s="1"/>
  <c r="F5" i="25"/>
  <c r="H5" i="25" s="1"/>
  <c r="F19" i="25"/>
  <c r="H19" i="25" s="1"/>
  <c r="F33" i="25"/>
  <c r="H33" i="25" s="1"/>
  <c r="F34" i="25"/>
  <c r="H34" i="25" s="1"/>
  <c r="F35" i="25"/>
  <c r="H35" i="25" s="1"/>
  <c r="F36" i="25"/>
  <c r="H36" i="25" s="1"/>
  <c r="F37" i="25"/>
  <c r="H37" i="25" s="1"/>
  <c r="F38" i="25"/>
  <c r="H38" i="25" s="1"/>
  <c r="F39" i="25"/>
  <c r="F40" i="25"/>
  <c r="H40" i="25" s="1"/>
  <c r="F41" i="25"/>
  <c r="H41" i="25" s="1"/>
  <c r="F42" i="25"/>
  <c r="H42" i="25" s="1"/>
  <c r="F43" i="25"/>
  <c r="H43" i="25" s="1"/>
  <c r="F44" i="25"/>
  <c r="H44" i="25" s="1"/>
  <c r="F8" i="25"/>
  <c r="H8" i="25" s="1"/>
  <c r="F20" i="25"/>
  <c r="H20" i="25" s="1"/>
  <c r="F3" i="25"/>
  <c r="H3" i="25" s="1"/>
  <c r="F12" i="25"/>
  <c r="H12" i="25" s="1"/>
  <c r="F6" i="25"/>
  <c r="H6" i="25" s="1"/>
  <c r="F9" i="25"/>
  <c r="H9" i="25" s="1"/>
  <c r="F18" i="25"/>
  <c r="H18" i="25" s="1"/>
  <c r="F30" i="25"/>
  <c r="H30" i="25" s="1"/>
  <c r="F21" i="25"/>
  <c r="H21" i="25" s="1"/>
  <c r="F11" i="25"/>
  <c r="H11" i="25" s="1"/>
  <c r="F15" i="25"/>
  <c r="H15" i="25" s="1"/>
  <c r="F25" i="25"/>
  <c r="H25" i="25" s="1"/>
  <c r="D17" i="25"/>
  <c r="H39" i="25"/>
  <c r="H22" i="25"/>
  <c r="V56" i="24" l="1"/>
  <c r="R42" i="24"/>
  <c r="Q42" i="24"/>
  <c r="F24" i="24" l="1"/>
  <c r="F13" i="24"/>
  <c r="F23" i="24"/>
  <c r="F30" i="24"/>
  <c r="F32" i="24"/>
  <c r="H32" i="24" s="1"/>
  <c r="F19" i="24"/>
  <c r="F25" i="24"/>
  <c r="F10" i="24"/>
  <c r="F9" i="24"/>
  <c r="F12" i="24"/>
  <c r="F17" i="24"/>
  <c r="F33" i="24"/>
  <c r="F6" i="24"/>
  <c r="F18" i="24"/>
  <c r="F31" i="24"/>
  <c r="F27" i="24"/>
  <c r="F11" i="24"/>
  <c r="F28" i="24"/>
  <c r="F14" i="24"/>
  <c r="F29" i="24"/>
  <c r="F8" i="24"/>
  <c r="F3" i="24"/>
  <c r="F22" i="24"/>
  <c r="F26" i="24"/>
  <c r="F21" i="24"/>
  <c r="F20" i="24"/>
  <c r="B5" i="19" a="1"/>
  <c r="B5" i="19" s="1"/>
  <c r="A5" i="19" a="1"/>
  <c r="A5" i="19" s="1"/>
  <c r="J41" i="25" l="1"/>
  <c r="J36" i="25"/>
  <c r="J22" i="25"/>
  <c r="J18" i="25"/>
  <c r="J23" i="25"/>
  <c r="J5" i="25"/>
  <c r="J26" i="25"/>
  <c r="J35" i="25"/>
  <c r="J14" i="25"/>
  <c r="J15" i="25"/>
  <c r="J9" i="25"/>
  <c r="J3" i="25"/>
  <c r="J4" i="25"/>
  <c r="J13" i="25"/>
  <c r="J31" i="25"/>
  <c r="J34" i="25"/>
  <c r="J44" i="25"/>
  <c r="J39" i="25"/>
  <c r="J11" i="25"/>
  <c r="J20" i="25"/>
  <c r="J32" i="25"/>
  <c r="J2" i="25"/>
  <c r="J40" i="25"/>
  <c r="J38" i="25"/>
  <c r="J33" i="25"/>
  <c r="J6" i="25"/>
  <c r="J24" i="25"/>
  <c r="J21" i="25"/>
  <c r="J8" i="25"/>
  <c r="J16" i="25"/>
  <c r="J37" i="25"/>
  <c r="J30" i="25"/>
  <c r="J12" i="25"/>
  <c r="J27" i="25"/>
  <c r="J42" i="25"/>
  <c r="J19" i="25"/>
  <c r="J43" i="25"/>
  <c r="J28" i="25"/>
  <c r="J17" i="25"/>
  <c r="J25" i="25"/>
  <c r="J29" i="25"/>
  <c r="J7" i="25"/>
  <c r="H16" i="24"/>
  <c r="H4" i="24"/>
  <c r="H7" i="24"/>
  <c r="H2" i="24"/>
  <c r="H21" i="24"/>
  <c r="H26" i="24"/>
  <c r="H22" i="24"/>
  <c r="H3" i="24"/>
  <c r="H8" i="24"/>
  <c r="H29" i="24"/>
  <c r="H14" i="24"/>
  <c r="H28" i="24"/>
  <c r="H11" i="24"/>
  <c r="H27" i="24"/>
  <c r="H31" i="24"/>
  <c r="H18" i="24"/>
  <c r="H6" i="24"/>
  <c r="H33" i="24"/>
  <c r="H17" i="24"/>
  <c r="H12" i="24"/>
  <c r="H9" i="24"/>
  <c r="H10" i="24"/>
  <c r="H25" i="24"/>
  <c r="H15" i="24"/>
  <c r="H19" i="24"/>
  <c r="H30" i="24"/>
  <c r="H23" i="24"/>
  <c r="H13" i="24"/>
  <c r="H24" i="24"/>
  <c r="H20" i="24"/>
  <c r="F15" i="23"/>
  <c r="B2" i="25" l="1" a="1"/>
  <c r="B2" i="25" s="1"/>
  <c r="D2" i="25" a="1"/>
  <c r="D2" i="25" s="1"/>
  <c r="C2" i="25" a="1"/>
  <c r="C2" i="25" s="1"/>
  <c r="C29" i="25" a="1"/>
  <c r="C29" i="25" s="1"/>
  <c r="B29" i="25" a="1"/>
  <c r="B29" i="25" s="1"/>
  <c r="D29" i="25" a="1"/>
  <c r="D29" i="25" s="1"/>
  <c r="D34" i="25" a="1"/>
  <c r="D34" i="25" s="1"/>
  <c r="C34" i="25" a="1"/>
  <c r="C34" i="25" s="1"/>
  <c r="B34" i="25" a="1"/>
  <c r="B34" i="25" s="1"/>
  <c r="C19" i="25" a="1"/>
  <c r="C19" i="25" s="1"/>
  <c r="D19" i="25" a="1"/>
  <c r="D19" i="25" s="1"/>
  <c r="B19" i="25" a="1"/>
  <c r="B19" i="25" s="1"/>
  <c r="D31" i="25" a="1"/>
  <c r="D31" i="25" s="1"/>
  <c r="C31" i="25" a="1"/>
  <c r="C31" i="25" s="1"/>
  <c r="B31" i="25" a="1"/>
  <c r="B31" i="25" s="1"/>
  <c r="C20" i="25" a="1"/>
  <c r="C20" i="25" s="1"/>
  <c r="D20" i="25" a="1"/>
  <c r="D20" i="25" s="1"/>
  <c r="B20" i="25" a="1"/>
  <c r="B20" i="25" s="1"/>
  <c r="C39" i="25" a="1"/>
  <c r="C39" i="25" s="1"/>
  <c r="D39" i="25" a="1"/>
  <c r="D39" i="25" s="1"/>
  <c r="B39" i="25" a="1"/>
  <c r="B39" i="25" s="1"/>
  <c r="D27" i="25" a="1"/>
  <c r="D27" i="25" s="1"/>
  <c r="C27" i="25" a="1"/>
  <c r="C27" i="25" s="1"/>
  <c r="B27" i="25" a="1"/>
  <c r="B27" i="25" s="1"/>
  <c r="B3" i="25" a="1"/>
  <c r="B3" i="25" s="1"/>
  <c r="D3" i="25" a="1"/>
  <c r="D3" i="25" s="1"/>
  <c r="C3" i="25" a="1"/>
  <c r="C3" i="25" s="1"/>
  <c r="C15" i="25" a="1"/>
  <c r="C15" i="25" s="1"/>
  <c r="B15" i="25" a="1"/>
  <c r="B15" i="25" s="1"/>
  <c r="D35" i="25" a="1"/>
  <c r="D35" i="25" s="1"/>
  <c r="B35" i="25" a="1"/>
  <c r="B35" i="25" s="1"/>
  <c r="C35" i="25" a="1"/>
  <c r="C35" i="25" s="1"/>
  <c r="D24" i="25" a="1"/>
  <c r="D24" i="25" s="1"/>
  <c r="C24" i="25" a="1"/>
  <c r="C24" i="25" s="1"/>
  <c r="B24" i="25" a="1"/>
  <c r="B24" i="25" s="1"/>
  <c r="D5" i="25" a="1"/>
  <c r="D5" i="25" s="1"/>
  <c r="C5" i="25" a="1"/>
  <c r="C5" i="25" s="1"/>
  <c r="B5" i="25" a="1"/>
  <c r="B5" i="25" s="1"/>
  <c r="D32" i="25" a="1"/>
  <c r="D32" i="25" s="1"/>
  <c r="B32" i="25" a="1"/>
  <c r="B32" i="25" s="1"/>
  <c r="C32" i="25" a="1"/>
  <c r="C32" i="25" s="1"/>
  <c r="C11" i="25" a="1"/>
  <c r="C11" i="25" s="1"/>
  <c r="B11" i="25" a="1"/>
  <c r="B11" i="25" s="1"/>
  <c r="D11" i="25" a="1"/>
  <c r="D11" i="25" s="1"/>
  <c r="D28" i="25" a="1"/>
  <c r="D28" i="25" s="1"/>
  <c r="B28" i="25" a="1"/>
  <c r="B28" i="25" s="1"/>
  <c r="C28" i="25" a="1"/>
  <c r="C28" i="25" s="1"/>
  <c r="B42" i="25" a="1"/>
  <c r="B42" i="25" s="1"/>
  <c r="D42" i="25" a="1"/>
  <c r="D42" i="25" s="1"/>
  <c r="C42" i="25" a="1"/>
  <c r="C42" i="25" s="1"/>
  <c r="D12" i="25" a="1"/>
  <c r="D12" i="25" s="1"/>
  <c r="C12" i="25" a="1"/>
  <c r="C12" i="25" s="1"/>
  <c r="B12" i="25" a="1"/>
  <c r="B12" i="25" s="1"/>
  <c r="D9" i="25" a="1"/>
  <c r="D9" i="25" s="1"/>
  <c r="B9" i="25" a="1"/>
  <c r="B9" i="25" s="1"/>
  <c r="C9" i="25" a="1"/>
  <c r="C9" i="25" s="1"/>
  <c r="C14" i="25" a="1"/>
  <c r="C14" i="25" s="1"/>
  <c r="D14" i="25" a="1"/>
  <c r="D14" i="25" s="1"/>
  <c r="B14" i="25" a="1"/>
  <c r="B14" i="25" s="1"/>
  <c r="C21" i="25" a="1"/>
  <c r="C21" i="25" s="1"/>
  <c r="B21" i="25" a="1"/>
  <c r="B21" i="25" s="1"/>
  <c r="D26" i="25" a="1"/>
  <c r="D26" i="25" s="1"/>
  <c r="C26" i="25" a="1"/>
  <c r="C26" i="25" s="1"/>
  <c r="B26" i="25" a="1"/>
  <c r="B26" i="25" s="1"/>
  <c r="D6" i="25" a="1"/>
  <c r="D6" i="25" s="1"/>
  <c r="C6" i="25" a="1"/>
  <c r="C6" i="25" s="1"/>
  <c r="B6" i="25" a="1"/>
  <c r="B6" i="25" s="1"/>
  <c r="D23" i="25" a="1"/>
  <c r="D23" i="25" s="1"/>
  <c r="C23" i="25" a="1"/>
  <c r="C23" i="25" s="1"/>
  <c r="B23" i="25" a="1"/>
  <c r="B23" i="25" s="1"/>
  <c r="D18" i="25" a="1"/>
  <c r="D18" i="25" s="1"/>
  <c r="C18" i="25" a="1"/>
  <c r="C18" i="25" s="1"/>
  <c r="B18" i="25" a="1"/>
  <c r="B18" i="25" s="1"/>
  <c r="B22" i="25" a="1"/>
  <c r="B22" i="25" s="1"/>
  <c r="D22" i="25" a="1"/>
  <c r="D22" i="25" s="1"/>
  <c r="C22" i="25" a="1"/>
  <c r="C22" i="25" s="1"/>
  <c r="D7" i="25" a="1"/>
  <c r="D7" i="25" s="1"/>
  <c r="C7" i="25" a="1"/>
  <c r="C7" i="25" s="1"/>
  <c r="B7" i="25" a="1"/>
  <c r="B7" i="25" s="1"/>
  <c r="D25" i="25" a="1"/>
  <c r="D25" i="25" s="1"/>
  <c r="C25" i="25" a="1"/>
  <c r="C25" i="25" s="1"/>
  <c r="B25" i="25" a="1"/>
  <c r="B25" i="25" s="1"/>
  <c r="D44" i="25" a="1"/>
  <c r="D44" i="25" s="1"/>
  <c r="C44" i="25" a="1"/>
  <c r="C44" i="25" s="1"/>
  <c r="B44" i="25" a="1"/>
  <c r="B44" i="25" s="1"/>
  <c r="D43" i="25" a="1"/>
  <c r="D43" i="25" s="1"/>
  <c r="C43" i="25" a="1"/>
  <c r="C43" i="25" s="1"/>
  <c r="B43" i="25" a="1"/>
  <c r="B43" i="25" s="1"/>
  <c r="D13" i="25" a="1"/>
  <c r="D13" i="25" s="1"/>
  <c r="C13" i="25" a="1"/>
  <c r="C13" i="25" s="1"/>
  <c r="B13" i="25" a="1"/>
  <c r="B13" i="25" s="1"/>
  <c r="D4" i="25" a="1"/>
  <c r="D4" i="25" s="1"/>
  <c r="C4" i="25" a="1"/>
  <c r="C4" i="25" s="1"/>
  <c r="B4" i="25" a="1"/>
  <c r="B4" i="25" s="1"/>
  <c r="D30" i="25" a="1"/>
  <c r="D30" i="25" s="1"/>
  <c r="C30" i="25" a="1"/>
  <c r="C30" i="25" s="1"/>
  <c r="B30" i="25" a="1"/>
  <c r="B30" i="25" s="1"/>
  <c r="B37" i="25" a="1"/>
  <c r="B37" i="25" s="1"/>
  <c r="D37" i="25" a="1"/>
  <c r="D37" i="25" s="1"/>
  <c r="C37" i="25" a="1"/>
  <c r="C37" i="25" s="1"/>
  <c r="D8" i="25" a="1"/>
  <c r="D8" i="25" s="1"/>
  <c r="B8" i="25" a="1"/>
  <c r="B8" i="25" s="1"/>
  <c r="C8" i="25" a="1"/>
  <c r="C8" i="25" s="1"/>
  <c r="D33" i="25" a="1"/>
  <c r="D33" i="25" s="1"/>
  <c r="C33" i="25" a="1"/>
  <c r="C33" i="25" s="1"/>
  <c r="B33" i="25" a="1"/>
  <c r="B33" i="25" s="1"/>
  <c r="D38" i="25" a="1"/>
  <c r="D38" i="25" s="1"/>
  <c r="C38" i="25" a="1"/>
  <c r="C38" i="25" s="1"/>
  <c r="B38" i="25" a="1"/>
  <c r="B38" i="25" s="1"/>
  <c r="C40" i="25" a="1"/>
  <c r="C40" i="25" s="1"/>
  <c r="B40" i="25" a="1"/>
  <c r="B40" i="25" s="1"/>
  <c r="D40" i="25" a="1"/>
  <c r="D40" i="25" s="1"/>
  <c r="D36" i="25" a="1"/>
  <c r="D36" i="25" s="1"/>
  <c r="B36" i="25" a="1"/>
  <c r="B36" i="25" s="1"/>
  <c r="C36" i="25" a="1"/>
  <c r="C36" i="25" s="1"/>
  <c r="D41" i="25" a="1"/>
  <c r="D41" i="25" s="1"/>
  <c r="C41" i="25" a="1"/>
  <c r="C41" i="25" s="1"/>
  <c r="B41" i="25" a="1"/>
  <c r="B41" i="25" s="1"/>
  <c r="F9" i="23"/>
  <c r="F29" i="23"/>
  <c r="N52" i="25" l="1"/>
  <c r="M52" i="25"/>
  <c r="N51" i="25"/>
  <c r="M51" i="25"/>
  <c r="N50" i="25"/>
  <c r="M50" i="25"/>
  <c r="N49" i="25"/>
  <c r="M49" i="25"/>
  <c r="N48" i="25"/>
  <c r="M48" i="25"/>
  <c r="H33" i="23"/>
  <c r="H32" i="23"/>
  <c r="F16" i="23"/>
  <c r="F31" i="23"/>
  <c r="F25" i="23"/>
  <c r="F37" i="23"/>
  <c r="F34" i="23"/>
  <c r="F7" i="23"/>
  <c r="F38" i="23"/>
  <c r="F5" i="23"/>
  <c r="F20" i="23"/>
  <c r="F8" i="23"/>
  <c r="F6" i="23"/>
  <c r="F30" i="23"/>
  <c r="F3" i="23"/>
  <c r="F36" i="23"/>
  <c r="F4" i="23"/>
  <c r="H43" i="20" l="1"/>
  <c r="H44" i="20"/>
  <c r="H2" i="20"/>
  <c r="C5" i="19" a="1"/>
  <c r="C5" i="19" s="1"/>
  <c r="D5" i="19" a="1"/>
  <c r="D5" i="19" s="1"/>
  <c r="J2" i="24" l="1"/>
  <c r="J28" i="24"/>
  <c r="B28" i="24" s="1" a="1"/>
  <c r="B28" i="24" s="1"/>
  <c r="J12" i="24"/>
  <c r="B12" i="24" s="1" a="1"/>
  <c r="B12" i="24" s="1"/>
  <c r="J21" i="24"/>
  <c r="B21" i="24" s="1" a="1"/>
  <c r="B21" i="24" s="1"/>
  <c r="J11" i="24"/>
  <c r="B11" i="24" s="1" a="1"/>
  <c r="B11" i="24" s="1"/>
  <c r="J23" i="24"/>
  <c r="B23" i="24" s="1" a="1"/>
  <c r="B23" i="24" s="1"/>
  <c r="J17" i="24"/>
  <c r="B17" i="24" s="1" a="1"/>
  <c r="B17" i="24" s="1"/>
  <c r="J9" i="24"/>
  <c r="B9" i="24" s="1" a="1"/>
  <c r="B9" i="24" s="1"/>
  <c r="J19" i="24"/>
  <c r="B19" i="24" s="1" a="1"/>
  <c r="B19" i="24" s="1"/>
  <c r="J16" i="24"/>
  <c r="B16" i="24" s="1" a="1"/>
  <c r="B16" i="24" s="1"/>
  <c r="J26" i="24"/>
  <c r="B26" i="24" s="1" a="1"/>
  <c r="B26" i="24" s="1"/>
  <c r="J13" i="24"/>
  <c r="B13" i="24" s="1" a="1"/>
  <c r="B13" i="24" s="1"/>
  <c r="J27" i="24"/>
  <c r="B27" i="24" s="1" a="1"/>
  <c r="B27" i="24" s="1"/>
  <c r="J10" i="24"/>
  <c r="B10" i="24" s="1" a="1"/>
  <c r="B10" i="24" s="1"/>
  <c r="J32" i="24"/>
  <c r="B32" i="24" s="1" a="1"/>
  <c r="B32" i="24" s="1"/>
  <c r="J22" i="24"/>
  <c r="B22" i="24" s="1" a="1"/>
  <c r="B22" i="24" s="1"/>
  <c r="J25" i="24"/>
  <c r="B25" i="24" s="1" a="1"/>
  <c r="B25" i="24" s="1"/>
  <c r="J31" i="24"/>
  <c r="B31" i="24" s="1" a="1"/>
  <c r="B31" i="24" s="1"/>
  <c r="J24" i="24"/>
  <c r="B24" i="24" s="1" a="1"/>
  <c r="B24" i="24" s="1"/>
  <c r="J3" i="24"/>
  <c r="J20" i="24"/>
  <c r="B20" i="24" s="1" a="1"/>
  <c r="B20" i="24" s="1"/>
  <c r="J18" i="24"/>
  <c r="B18" i="24" s="1" a="1"/>
  <c r="B18" i="24" s="1"/>
  <c r="J15" i="24"/>
  <c r="B15" i="24" s="1" a="1"/>
  <c r="B15" i="24" s="1"/>
  <c r="J6" i="24"/>
  <c r="B6" i="24" s="1" a="1"/>
  <c r="B6" i="24" s="1"/>
  <c r="J33" i="24"/>
  <c r="B33" i="24" s="1" a="1"/>
  <c r="B33" i="24" s="1"/>
  <c r="J8" i="24"/>
  <c r="B8" i="24" s="1" a="1"/>
  <c r="B8" i="24" s="1"/>
  <c r="J4" i="24"/>
  <c r="J29" i="24"/>
  <c r="B29" i="24" s="1" a="1"/>
  <c r="B29" i="24" s="1"/>
  <c r="J30" i="24"/>
  <c r="B30" i="24" s="1" a="1"/>
  <c r="B30" i="24" s="1"/>
  <c r="J7" i="24"/>
  <c r="B7" i="24" s="1" a="1"/>
  <c r="B7" i="24" s="1"/>
  <c r="J14" i="24"/>
  <c r="B14" i="24" s="1" a="1"/>
  <c r="B14" i="24" s="1"/>
  <c r="F34" i="22"/>
  <c r="H34" i="22" s="1"/>
  <c r="B47" i="22"/>
  <c r="C47" i="22"/>
  <c r="B48" i="22"/>
  <c r="C48" i="22"/>
  <c r="F37" i="22"/>
  <c r="H37" i="22" s="1"/>
  <c r="H21" i="22"/>
  <c r="H8" i="22"/>
  <c r="F17" i="22"/>
  <c r="H17" i="22" s="1"/>
  <c r="H23" i="22"/>
  <c r="H9" i="22"/>
  <c r="H26" i="22"/>
  <c r="F2" i="22"/>
  <c r="H2" i="22"/>
  <c r="F5" i="22"/>
  <c r="H5" i="22" s="1"/>
  <c r="H35" i="22"/>
  <c r="H7" i="22"/>
  <c r="F10" i="22"/>
  <c r="H10" i="22" s="1"/>
  <c r="H3" i="22"/>
  <c r="F18" i="22"/>
  <c r="H18" i="22" s="1"/>
  <c r="H29" i="22"/>
  <c r="F31" i="22"/>
  <c r="H31" i="22" s="1"/>
  <c r="F36" i="22"/>
  <c r="H36" i="22" s="1"/>
  <c r="F38" i="22"/>
  <c r="H38" i="22" s="1"/>
  <c r="F39" i="22"/>
  <c r="H39" i="22" s="1"/>
  <c r="F42" i="22"/>
  <c r="H42" i="22" s="1"/>
  <c r="F43" i="22"/>
  <c r="H43" i="22" s="1"/>
  <c r="F44" i="22"/>
  <c r="H44" i="22" s="1"/>
  <c r="H16" i="22"/>
  <c r="H11" i="22"/>
  <c r="H12" i="22"/>
  <c r="F13" i="22"/>
  <c r="H13" i="22" s="1"/>
  <c r="F14" i="22"/>
  <c r="H14" i="22" s="1"/>
  <c r="F15" i="22"/>
  <c r="H15" i="22" s="1"/>
  <c r="F20" i="22"/>
  <c r="H20" i="22" s="1"/>
  <c r="H19" i="22"/>
  <c r="F22" i="22"/>
  <c r="H22" i="22"/>
  <c r="F24" i="22"/>
  <c r="H24" i="22" s="1"/>
  <c r="F25" i="22"/>
  <c r="H25" i="22" s="1"/>
  <c r="F27" i="22"/>
  <c r="H27" i="22" s="1"/>
  <c r="H28" i="22"/>
  <c r="H33" i="22"/>
  <c r="F32" i="22"/>
  <c r="H32" i="22" s="1"/>
  <c r="H41" i="22"/>
  <c r="F40" i="22"/>
  <c r="H6" i="22"/>
  <c r="H4" i="22"/>
  <c r="H30" i="22"/>
  <c r="C13" i="24" l="1" a="1"/>
  <c r="C13" i="24" s="1"/>
  <c r="D13" i="24" a="1"/>
  <c r="D13" i="24" s="1"/>
  <c r="C18" i="24" a="1"/>
  <c r="C18" i="24" s="1"/>
  <c r="C26" i="24" a="1"/>
  <c r="C26" i="24" s="1"/>
  <c r="C15" i="24" a="1"/>
  <c r="C15" i="24" s="1"/>
  <c r="C16" i="24" a="1"/>
  <c r="C16" i="24" s="1"/>
  <c r="D14" i="24" a="1"/>
  <c r="D14" i="24" s="1"/>
  <c r="C14" i="24" a="1"/>
  <c r="C14" i="24" s="1"/>
  <c r="C20" i="24" a="1"/>
  <c r="C20" i="24" s="1"/>
  <c r="D19" i="24" a="1"/>
  <c r="D19" i="24" s="1"/>
  <c r="C19" i="24" a="1"/>
  <c r="C19" i="24" s="1"/>
  <c r="C6" i="24" a="1"/>
  <c r="C6" i="24" s="1"/>
  <c r="D6" i="24" a="1"/>
  <c r="D6" i="24" s="1"/>
  <c r="C7" i="24" a="1"/>
  <c r="C7" i="24" s="1"/>
  <c r="C9" i="24" a="1"/>
  <c r="C9" i="24" s="1"/>
  <c r="D9" i="24" a="1"/>
  <c r="D9" i="24" s="1"/>
  <c r="C27" i="24" a="1"/>
  <c r="C27" i="24" s="1"/>
  <c r="C30" i="24" a="1"/>
  <c r="C30" i="24" s="1"/>
  <c r="C24" i="24" a="1"/>
  <c r="C24" i="24" s="1"/>
  <c r="C17" i="24" a="1"/>
  <c r="C17" i="24" s="1"/>
  <c r="C29" i="24" a="1"/>
  <c r="C29" i="24" s="1"/>
  <c r="C31" i="24" a="1"/>
  <c r="C31" i="24" s="1"/>
  <c r="C23" i="24" a="1"/>
  <c r="C23" i="24" s="1"/>
  <c r="D11" i="24" a="1"/>
  <c r="D11" i="24" s="1"/>
  <c r="C11" i="24" a="1"/>
  <c r="C11" i="24" s="1"/>
  <c r="C25" i="24" a="1"/>
  <c r="C25" i="24" s="1"/>
  <c r="D25" i="24" a="1"/>
  <c r="D25" i="24" s="1"/>
  <c r="D21" i="24" a="1"/>
  <c r="D21" i="24" s="1"/>
  <c r="C21" i="24" a="1"/>
  <c r="C21" i="24" s="1"/>
  <c r="C22" i="24" a="1"/>
  <c r="C22" i="24" s="1"/>
  <c r="D22" i="24" a="1"/>
  <c r="D22" i="24" s="1"/>
  <c r="C12" i="24" a="1"/>
  <c r="C12" i="24" s="1"/>
  <c r="D8" i="24" a="1"/>
  <c r="D8" i="24" s="1"/>
  <c r="C8" i="24" a="1"/>
  <c r="C8" i="24" s="1"/>
  <c r="C28" i="24" a="1"/>
  <c r="C28" i="24" s="1"/>
  <c r="C32" i="24" a="1"/>
  <c r="C32" i="24" s="1"/>
  <c r="D33" i="24" a="1"/>
  <c r="D33" i="24" s="1"/>
  <c r="C33" i="24" a="1"/>
  <c r="C33" i="24" s="1"/>
  <c r="C10" i="24" a="1"/>
  <c r="C10" i="24" s="1"/>
  <c r="D10" i="24" a="1"/>
  <c r="D10" i="24" s="1"/>
  <c r="J9" i="23"/>
  <c r="J4" i="23"/>
  <c r="J3" i="23"/>
  <c r="J25" i="23"/>
  <c r="J37" i="23"/>
  <c r="J11" i="23"/>
  <c r="J2" i="23"/>
  <c r="J30" i="23"/>
  <c r="B30" i="23" s="1" a="1"/>
  <c r="B30" i="23" s="1"/>
  <c r="J20" i="23"/>
  <c r="J19" i="23"/>
  <c r="J13" i="23"/>
  <c r="J31" i="23"/>
  <c r="J10" i="23"/>
  <c r="J5" i="23"/>
  <c r="J32" i="23"/>
  <c r="J12" i="23"/>
  <c r="J29" i="23"/>
  <c r="J23" i="23"/>
  <c r="J24" i="23"/>
  <c r="J36" i="23"/>
  <c r="J17" i="23"/>
  <c r="J38" i="23"/>
  <c r="J18" i="23"/>
  <c r="J6" i="23"/>
  <c r="J16" i="23"/>
  <c r="J28" i="23"/>
  <c r="J34" i="23"/>
  <c r="J27" i="23"/>
  <c r="J26" i="23"/>
  <c r="J21" i="23"/>
  <c r="J22" i="23"/>
  <c r="J15" i="23"/>
  <c r="J7" i="23"/>
  <c r="J8" i="23"/>
  <c r="J35" i="23"/>
  <c r="J14" i="23"/>
  <c r="J17" i="20"/>
  <c r="B17" i="20" s="1" a="1"/>
  <c r="B17" i="20" s="1"/>
  <c r="J37" i="20"/>
  <c r="B37" i="20" s="1" a="1"/>
  <c r="B37" i="20" s="1"/>
  <c r="J18" i="20"/>
  <c r="B18" i="20" s="1" a="1"/>
  <c r="B18" i="20" s="1"/>
  <c r="J38" i="20"/>
  <c r="B38" i="20" s="1" a="1"/>
  <c r="B38" i="20" s="1"/>
  <c r="J40" i="20"/>
  <c r="B40" i="20" s="1" a="1"/>
  <c r="B40" i="20" s="1"/>
  <c r="J21" i="20"/>
  <c r="B21" i="20" s="1" a="1"/>
  <c r="B21" i="20" s="1"/>
  <c r="J3" i="20"/>
  <c r="B3" i="20" s="1" a="1"/>
  <c r="B3" i="20" s="1"/>
  <c r="J23" i="20"/>
  <c r="B23" i="20" s="1" a="1"/>
  <c r="B23" i="20" s="1"/>
  <c r="J26" i="20"/>
  <c r="B26" i="20" s="1" a="1"/>
  <c r="B26" i="20" s="1"/>
  <c r="J27" i="20"/>
  <c r="B27" i="20" s="1" a="1"/>
  <c r="B27" i="20" s="1"/>
  <c r="J10" i="20"/>
  <c r="B10" i="20" s="1" a="1"/>
  <c r="B10" i="20" s="1"/>
  <c r="J29" i="20"/>
  <c r="B29" i="20" s="1" a="1"/>
  <c r="B29" i="20" s="1"/>
  <c r="J15" i="20"/>
  <c r="B15" i="20" s="1" a="1"/>
  <c r="B15" i="20" s="1"/>
  <c r="J16" i="20"/>
  <c r="B16" i="20" s="1" a="1"/>
  <c r="B16" i="20" s="1"/>
  <c r="J19" i="20"/>
  <c r="B19" i="20" s="1" a="1"/>
  <c r="B19" i="20" s="1"/>
  <c r="J39" i="20"/>
  <c r="B39" i="20" s="1" a="1"/>
  <c r="B39" i="20" s="1"/>
  <c r="J20" i="20"/>
  <c r="B20" i="20" s="1" a="1"/>
  <c r="B20" i="20" s="1"/>
  <c r="J2" i="20"/>
  <c r="B2" i="20" s="1" a="1"/>
  <c r="B2" i="20" s="1"/>
  <c r="J41" i="20"/>
  <c r="B41" i="20" s="1" a="1"/>
  <c r="B41" i="20" s="1"/>
  <c r="J22" i="20"/>
  <c r="B22" i="20" s="1" a="1"/>
  <c r="B22" i="20" s="1"/>
  <c r="J42" i="20"/>
  <c r="B42" i="20" s="1" a="1"/>
  <c r="B42" i="20" s="1"/>
  <c r="J43" i="20"/>
  <c r="B43" i="20" s="1" a="1"/>
  <c r="B43" i="20" s="1"/>
  <c r="J7" i="20"/>
  <c r="B7" i="20" s="1" a="1"/>
  <c r="B7" i="20" s="1"/>
  <c r="J8" i="20"/>
  <c r="B8" i="20" s="1" a="1"/>
  <c r="B8" i="20" s="1"/>
  <c r="J28" i="20"/>
  <c r="B28" i="20" s="1" a="1"/>
  <c r="B28" i="20" s="1"/>
  <c r="J31" i="20"/>
  <c r="B31" i="20" s="1" a="1"/>
  <c r="B31" i="20" s="1"/>
  <c r="J32" i="20"/>
  <c r="B32" i="20" s="1" a="1"/>
  <c r="B32" i="20" s="1"/>
  <c r="J33" i="20"/>
  <c r="B33" i="20" s="1" a="1"/>
  <c r="B33" i="20" s="1"/>
  <c r="J34" i="20"/>
  <c r="B34" i="20" s="1" a="1"/>
  <c r="B34" i="20" s="1"/>
  <c r="J4" i="20"/>
  <c r="B4" i="20" s="1" a="1"/>
  <c r="B4" i="20" s="1"/>
  <c r="J24" i="20"/>
  <c r="B24" i="20" s="1" a="1"/>
  <c r="B24" i="20" s="1"/>
  <c r="J44" i="20"/>
  <c r="B44" i="20" s="1" a="1"/>
  <c r="B44" i="20" s="1"/>
  <c r="J5" i="20"/>
  <c r="B5" i="20" s="1" a="1"/>
  <c r="B5" i="20" s="1"/>
  <c r="J25" i="20"/>
  <c r="B25" i="20" s="1" a="1"/>
  <c r="B25" i="20" s="1"/>
  <c r="J14" i="20"/>
  <c r="B14" i="20" s="1" a="1"/>
  <c r="B14" i="20" s="1"/>
  <c r="J35" i="20"/>
  <c r="B35" i="20" s="1" a="1"/>
  <c r="B35" i="20" s="1"/>
  <c r="J36" i="20"/>
  <c r="B36" i="20" s="1" a="1"/>
  <c r="B36" i="20" s="1"/>
  <c r="J6" i="20"/>
  <c r="B6" i="20" s="1" a="1"/>
  <c r="B6" i="20" s="1"/>
  <c r="J9" i="20"/>
  <c r="B9" i="20" s="1" a="1"/>
  <c r="B9" i="20" s="1"/>
  <c r="J30" i="20"/>
  <c r="B30" i="20" s="1" a="1"/>
  <c r="B30" i="20" s="1"/>
  <c r="J11" i="20"/>
  <c r="B11" i="20" s="1" a="1"/>
  <c r="B11" i="20" s="1"/>
  <c r="J12" i="20"/>
  <c r="B12" i="20" s="1" a="1"/>
  <c r="B12" i="20" s="1"/>
  <c r="J13" i="20"/>
  <c r="B13" i="20" s="1" a="1"/>
  <c r="B13" i="20" s="1"/>
  <c r="H40" i="22"/>
  <c r="C52" i="22" s="1"/>
  <c r="B52" i="22"/>
  <c r="B49" i="22"/>
  <c r="C49" i="22"/>
  <c r="C50" i="22"/>
  <c r="B50" i="22"/>
  <c r="C51" i="22"/>
  <c r="B51" i="22"/>
  <c r="H42" i="20"/>
  <c r="H41" i="20"/>
  <c r="H40" i="20"/>
  <c r="H39" i="20"/>
  <c r="H38" i="20"/>
  <c r="H37" i="20"/>
  <c r="H36" i="20"/>
  <c r="H35" i="20"/>
  <c r="H34" i="20"/>
  <c r="H33" i="20"/>
  <c r="H32" i="20"/>
  <c r="H31" i="20"/>
  <c r="H30" i="20"/>
  <c r="H29" i="20"/>
  <c r="H28" i="20"/>
  <c r="H27" i="20"/>
  <c r="H26" i="20"/>
  <c r="H25" i="20"/>
  <c r="H24" i="20"/>
  <c r="H23" i="20"/>
  <c r="H22" i="20"/>
  <c r="H21" i="20"/>
  <c r="H20" i="20"/>
  <c r="H19" i="20"/>
  <c r="H18" i="20"/>
  <c r="H17" i="20"/>
  <c r="H16" i="20"/>
  <c r="H15" i="20"/>
  <c r="H14" i="20"/>
  <c r="H13" i="20"/>
  <c r="H12" i="20"/>
  <c r="H11" i="20"/>
  <c r="H10" i="20"/>
  <c r="H9" i="20"/>
  <c r="H8" i="20"/>
  <c r="H7" i="20"/>
  <c r="H6" i="20"/>
  <c r="H5" i="20"/>
  <c r="H4" i="20"/>
  <c r="H3" i="20"/>
  <c r="N36" i="24" l="1"/>
  <c r="M37" i="24"/>
  <c r="M40" i="24"/>
  <c r="M39" i="24"/>
  <c r="M38" i="24"/>
  <c r="M36" i="24"/>
  <c r="N37" i="24"/>
  <c r="N38" i="24"/>
  <c r="N39" i="24"/>
  <c r="N40" i="24"/>
  <c r="D33" i="23" a="1"/>
  <c r="D33" i="23" s="1"/>
  <c r="C33" i="23" a="1"/>
  <c r="C33" i="23" s="1"/>
  <c r="C32" i="23" a="1"/>
  <c r="C32" i="23" s="1"/>
  <c r="B33" i="23" a="1"/>
  <c r="B33" i="23" s="1"/>
  <c r="D32" i="23" a="1"/>
  <c r="D32" i="23" s="1"/>
  <c r="B32" i="23" a="1"/>
  <c r="B32" i="23" s="1"/>
  <c r="B21" i="23" a="1"/>
  <c r="B21" i="23" s="1"/>
  <c r="C21" i="23" a="1"/>
  <c r="C21" i="23" s="1"/>
  <c r="D28" i="20" a="1"/>
  <c r="D28" i="20" s="1"/>
  <c r="C28" i="20" a="1"/>
  <c r="C28" i="20" s="1"/>
  <c r="D26" i="20" a="1"/>
  <c r="D26" i="20" s="1"/>
  <c r="C26" i="20" a="1"/>
  <c r="C26" i="20" s="1"/>
  <c r="C26" i="23" a="1"/>
  <c r="C26" i="23" s="1"/>
  <c r="B26" i="23" a="1"/>
  <c r="B26" i="23" s="1"/>
  <c r="D10" i="23" a="1"/>
  <c r="D10" i="23" s="1"/>
  <c r="B10" i="23" a="1"/>
  <c r="B10" i="23" s="1"/>
  <c r="C10" i="23" a="1"/>
  <c r="C10" i="23" s="1"/>
  <c r="C10" i="20" a="1"/>
  <c r="C10" i="20" s="1"/>
  <c r="D10" i="20" a="1"/>
  <c r="D10" i="20" s="1"/>
  <c r="C31" i="20" a="1"/>
  <c r="C31" i="20" s="1"/>
  <c r="D31" i="20" a="1"/>
  <c r="D31" i="20" s="1"/>
  <c r="D30" i="20" a="1"/>
  <c r="D30" i="20" s="1"/>
  <c r="C30" i="20" a="1"/>
  <c r="C30" i="20" s="1"/>
  <c r="D23" i="20" a="1"/>
  <c r="D23" i="20" s="1"/>
  <c r="C23" i="20" a="1"/>
  <c r="C23" i="20" s="1"/>
  <c r="C27" i="23" a="1"/>
  <c r="C27" i="23" s="1"/>
  <c r="D27" i="23" a="1"/>
  <c r="D27" i="23" s="1"/>
  <c r="B27" i="23" a="1"/>
  <c r="B27" i="23" s="1"/>
  <c r="C31" i="23" a="1"/>
  <c r="C31" i="23" s="1"/>
  <c r="B31" i="23" a="1"/>
  <c r="B31" i="23" s="1"/>
  <c r="D31" i="23" a="1"/>
  <c r="D31" i="23" s="1"/>
  <c r="D32" i="20" a="1"/>
  <c r="D32" i="20" s="1"/>
  <c r="C32" i="20" a="1"/>
  <c r="C32" i="20" s="1"/>
  <c r="D7" i="20" a="1"/>
  <c r="D7" i="20" s="1"/>
  <c r="C7" i="20" a="1"/>
  <c r="C7" i="20" s="1"/>
  <c r="C3" i="20" a="1"/>
  <c r="C3" i="20" s="1"/>
  <c r="D3" i="20" a="1"/>
  <c r="D3" i="20" s="1"/>
  <c r="B34" i="23" a="1"/>
  <c r="B34" i="23" s="1"/>
  <c r="C34" i="23" a="1"/>
  <c r="C34" i="23" s="1"/>
  <c r="D34" i="23" a="1"/>
  <c r="D34" i="23" s="1"/>
  <c r="B13" i="23" a="1"/>
  <c r="B13" i="23" s="1"/>
  <c r="C13" i="23" a="1"/>
  <c r="C13" i="23" s="1"/>
  <c r="D13" i="23" a="1"/>
  <c r="D13" i="23" s="1"/>
  <c r="D27" i="20" a="1"/>
  <c r="D27" i="20" s="1"/>
  <c r="C27" i="20" a="1"/>
  <c r="C27" i="20" s="1"/>
  <c r="D11" i="20" a="1"/>
  <c r="D11" i="20" s="1"/>
  <c r="C11" i="20" a="1"/>
  <c r="C11" i="20" s="1"/>
  <c r="C6" i="20" a="1"/>
  <c r="C6" i="20" s="1"/>
  <c r="D6" i="20" a="1"/>
  <c r="D6" i="20" s="1"/>
  <c r="D43" i="20" a="1"/>
  <c r="D43" i="20" s="1"/>
  <c r="C43" i="20" a="1"/>
  <c r="C43" i="20" s="1"/>
  <c r="C21" i="20" a="1"/>
  <c r="C21" i="20" s="1"/>
  <c r="D21" i="20" a="1"/>
  <c r="D21" i="20" s="1"/>
  <c r="C28" i="23" a="1"/>
  <c r="C28" i="23" s="1"/>
  <c r="B28" i="23" a="1"/>
  <c r="B28" i="23" s="1"/>
  <c r="D28" i="23" a="1"/>
  <c r="D28" i="23" s="1"/>
  <c r="D19" i="23" a="1"/>
  <c r="D19" i="23" s="1"/>
  <c r="B19" i="23" a="1"/>
  <c r="B19" i="23" s="1"/>
  <c r="C19" i="23" a="1"/>
  <c r="C19" i="23" s="1"/>
  <c r="D5" i="23" a="1"/>
  <c r="D5" i="23" s="1"/>
  <c r="B5" i="23" a="1"/>
  <c r="B5" i="23" s="1"/>
  <c r="C5" i="23" a="1"/>
  <c r="C5" i="23" s="1"/>
  <c r="C8" i="20" a="1"/>
  <c r="C8" i="20" s="1"/>
  <c r="D8" i="20" a="1"/>
  <c r="D8" i="20" s="1"/>
  <c r="D42" i="20" a="1"/>
  <c r="D42" i="20" s="1"/>
  <c r="C42" i="20" a="1"/>
  <c r="C42" i="20" s="1"/>
  <c r="C40" i="20" a="1"/>
  <c r="C40" i="20" s="1"/>
  <c r="D40" i="20" a="1"/>
  <c r="D40" i="20" s="1"/>
  <c r="D16" i="23" a="1"/>
  <c r="D16" i="23" s="1"/>
  <c r="C16" i="23" a="1"/>
  <c r="C16" i="23" s="1"/>
  <c r="B16" i="23" a="1"/>
  <c r="B16" i="23" s="1"/>
  <c r="C20" i="23" a="1"/>
  <c r="C20" i="23" s="1"/>
  <c r="B20" i="23" a="1"/>
  <c r="B20" i="23" s="1"/>
  <c r="D9" i="20" a="1"/>
  <c r="D9" i="20" s="1"/>
  <c r="C9" i="20" a="1"/>
  <c r="C9" i="20" s="1"/>
  <c r="D36" i="20" a="1"/>
  <c r="D36" i="20" s="1"/>
  <c r="C36" i="20" a="1"/>
  <c r="C36" i="20" s="1"/>
  <c r="C35" i="20" a="1"/>
  <c r="C35" i="20" s="1"/>
  <c r="D35" i="20" a="1"/>
  <c r="D35" i="20" s="1"/>
  <c r="C22" i="20" a="1"/>
  <c r="C22" i="20" s="1"/>
  <c r="D22" i="20" a="1"/>
  <c r="D22" i="20" s="1"/>
  <c r="C38" i="20" a="1"/>
  <c r="C38" i="20" s="1"/>
  <c r="D38" i="20" a="1"/>
  <c r="D38" i="20" s="1"/>
  <c r="B6" i="23" a="1"/>
  <c r="B6" i="23" s="1"/>
  <c r="D6" i="23" a="1"/>
  <c r="D6" i="23" s="1"/>
  <c r="C6" i="23" a="1"/>
  <c r="C6" i="23" s="1"/>
  <c r="D30" i="23" a="1"/>
  <c r="D30" i="23" s="1"/>
  <c r="C30" i="23" a="1"/>
  <c r="C30" i="23" s="1"/>
  <c r="B22" i="23" a="1"/>
  <c r="B22" i="23" s="1"/>
  <c r="D22" i="23" a="1"/>
  <c r="D22" i="23" s="1"/>
  <c r="C22" i="23" a="1"/>
  <c r="C22" i="23" s="1"/>
  <c r="D12" i="20" a="1"/>
  <c r="D12" i="20" s="1"/>
  <c r="C12" i="20" a="1"/>
  <c r="C12" i="20" s="1"/>
  <c r="C14" i="20" a="1"/>
  <c r="C14" i="20" s="1"/>
  <c r="D14" i="20" a="1"/>
  <c r="D14" i="20" s="1"/>
  <c r="D41" i="20" a="1"/>
  <c r="D41" i="20" s="1"/>
  <c r="C41" i="20" a="1"/>
  <c r="C41" i="20" s="1"/>
  <c r="D18" i="20" a="1"/>
  <c r="D18" i="20" s="1"/>
  <c r="C18" i="20" a="1"/>
  <c r="C18" i="20" s="1"/>
  <c r="C18" i="23" a="1"/>
  <c r="C18" i="23" s="1"/>
  <c r="D18" i="23" a="1"/>
  <c r="D18" i="23" s="1"/>
  <c r="B18" i="23" a="1"/>
  <c r="B18" i="23" s="1"/>
  <c r="C2" i="23" a="1"/>
  <c r="C2" i="23" s="1"/>
  <c r="B2" i="23" a="1"/>
  <c r="B2" i="23" s="1"/>
  <c r="C25" i="20" a="1"/>
  <c r="C25" i="20" s="1"/>
  <c r="D25" i="20" a="1"/>
  <c r="D25" i="20" s="1"/>
  <c r="C11" i="23" a="1"/>
  <c r="C11" i="23" s="1"/>
  <c r="B11" i="23" a="1"/>
  <c r="B11" i="23" s="1"/>
  <c r="D11" i="23" a="1"/>
  <c r="D11" i="23" s="1"/>
  <c r="B17" i="23" a="1"/>
  <c r="B17" i="23" s="1"/>
  <c r="D17" i="23" a="1"/>
  <c r="D17" i="23" s="1"/>
  <c r="C17" i="23" a="1"/>
  <c r="C17" i="23" s="1"/>
  <c r="D13" i="20" a="1"/>
  <c r="D13" i="20" s="1"/>
  <c r="C13" i="20" a="1"/>
  <c r="C13" i="20" s="1"/>
  <c r="C2" i="20" a="1"/>
  <c r="C2" i="20" s="1"/>
  <c r="D2" i="20" a="1"/>
  <c r="D2" i="20" s="1"/>
  <c r="C5" i="20" a="1"/>
  <c r="C5" i="20" s="1"/>
  <c r="D5" i="20" a="1"/>
  <c r="D5" i="20" s="1"/>
  <c r="C17" i="20" a="1"/>
  <c r="C17" i="20" s="1"/>
  <c r="D17" i="20" a="1"/>
  <c r="D17" i="20" s="1"/>
  <c r="C44" i="20" a="1"/>
  <c r="C44" i="20" s="1"/>
  <c r="D44" i="20" a="1"/>
  <c r="D44" i="20" s="1"/>
  <c r="D39" i="20" a="1"/>
  <c r="D39" i="20" s="1"/>
  <c r="C39" i="20" a="1"/>
  <c r="C39" i="20" s="1"/>
  <c r="C14" i="23" a="1"/>
  <c r="C14" i="23" s="1"/>
  <c r="B14" i="23" a="1"/>
  <c r="B14" i="23" s="1"/>
  <c r="B36" i="23" a="1"/>
  <c r="B36" i="23" s="1"/>
  <c r="C36" i="23" a="1"/>
  <c r="C36" i="23" s="1"/>
  <c r="B25" i="23" a="1"/>
  <c r="B25" i="23" s="1"/>
  <c r="D25" i="23" a="1"/>
  <c r="D25" i="23" s="1"/>
  <c r="C25" i="23" a="1"/>
  <c r="C25" i="23" s="1"/>
  <c r="C24" i="20" a="1"/>
  <c r="C24" i="20" s="1"/>
  <c r="D24" i="20" a="1"/>
  <c r="D24" i="20" s="1"/>
  <c r="D19" i="20" a="1"/>
  <c r="D19" i="20" s="1"/>
  <c r="C19" i="20" a="1"/>
  <c r="C19" i="20" s="1"/>
  <c r="D35" i="23" a="1"/>
  <c r="D35" i="23" s="1"/>
  <c r="C35" i="23" a="1"/>
  <c r="C35" i="23" s="1"/>
  <c r="B35" i="23" a="1"/>
  <c r="B35" i="23" s="1"/>
  <c r="C24" i="23" a="1"/>
  <c r="C24" i="23" s="1"/>
  <c r="B24" i="23" a="1"/>
  <c r="B24" i="23" s="1"/>
  <c r="D24" i="23" a="1"/>
  <c r="D24" i="23" s="1"/>
  <c r="D3" i="23" a="1"/>
  <c r="D3" i="23" s="1"/>
  <c r="C3" i="23" a="1"/>
  <c r="C3" i="23" s="1"/>
  <c r="B3" i="23" a="1"/>
  <c r="B3" i="23" s="1"/>
  <c r="D20" i="20" a="1"/>
  <c r="D20" i="20" s="1"/>
  <c r="C20" i="20" a="1"/>
  <c r="C20" i="20" s="1"/>
  <c r="D16" i="20" a="1"/>
  <c r="D16" i="20" s="1"/>
  <c r="C16" i="20" a="1"/>
  <c r="C16" i="20" s="1"/>
  <c r="D8" i="23" a="1"/>
  <c r="D8" i="23" s="1"/>
  <c r="C8" i="23" a="1"/>
  <c r="C8" i="23" s="1"/>
  <c r="B8" i="23" a="1"/>
  <c r="B8" i="23" s="1"/>
  <c r="C23" i="23" a="1"/>
  <c r="C23" i="23" s="1"/>
  <c r="B23" i="23" a="1"/>
  <c r="B23" i="23" s="1"/>
  <c r="D23" i="23" a="1"/>
  <c r="D23" i="23" s="1"/>
  <c r="C4" i="23" a="1"/>
  <c r="C4" i="23" s="1"/>
  <c r="D4" i="23" a="1"/>
  <c r="D4" i="23" s="1"/>
  <c r="B4" i="23" a="1"/>
  <c r="B4" i="23" s="1"/>
  <c r="B38" i="23" a="1"/>
  <c r="B38" i="23" s="1"/>
  <c r="C38" i="23" a="1"/>
  <c r="C38" i="23" s="1"/>
  <c r="D37" i="23" a="1"/>
  <c r="D37" i="23" s="1"/>
  <c r="C37" i="23" a="1"/>
  <c r="C37" i="23" s="1"/>
  <c r="B37" i="23" a="1"/>
  <c r="B37" i="23" s="1"/>
  <c r="C4" i="20" a="1"/>
  <c r="C4" i="20" s="1"/>
  <c r="D4" i="20" a="1"/>
  <c r="D4" i="20" s="1"/>
  <c r="C34" i="20" a="1"/>
  <c r="C34" i="20" s="1"/>
  <c r="D34" i="20" a="1"/>
  <c r="D34" i="20" s="1"/>
  <c r="C15" i="20" a="1"/>
  <c r="C15" i="20" s="1"/>
  <c r="D15" i="20" a="1"/>
  <c r="D15" i="20" s="1"/>
  <c r="D7" i="23" a="1"/>
  <c r="D7" i="23" s="1"/>
  <c r="B7" i="23" a="1"/>
  <c r="B7" i="23" s="1"/>
  <c r="C7" i="23" a="1"/>
  <c r="C7" i="23" s="1"/>
  <c r="C29" i="23" a="1"/>
  <c r="C29" i="23" s="1"/>
  <c r="B29" i="23" a="1"/>
  <c r="B29" i="23" s="1"/>
  <c r="D29" i="23" a="1"/>
  <c r="D29" i="23" s="1"/>
  <c r="C9" i="23" a="1"/>
  <c r="C9" i="23" s="1"/>
  <c r="D9" i="23" a="1"/>
  <c r="D9" i="23" s="1"/>
  <c r="B9" i="23" a="1"/>
  <c r="B9" i="23" s="1"/>
  <c r="D37" i="20" a="1"/>
  <c r="D37" i="20" s="1"/>
  <c r="C37" i="20" a="1"/>
  <c r="C37" i="20" s="1"/>
  <c r="D33" i="20" a="1"/>
  <c r="D33" i="20" s="1"/>
  <c r="C33" i="20" a="1"/>
  <c r="C33" i="20" s="1"/>
  <c r="D29" i="20" a="1"/>
  <c r="D29" i="20" s="1"/>
  <c r="C29" i="20" a="1"/>
  <c r="C29" i="20" s="1"/>
  <c r="B15" i="23" a="1"/>
  <c r="B15" i="23" s="1"/>
  <c r="D15" i="23" a="1"/>
  <c r="D15" i="23" s="1"/>
  <c r="C15" i="23" a="1"/>
  <c r="C15" i="23" s="1"/>
  <c r="C12" i="23" a="1"/>
  <c r="C12" i="23" s="1"/>
  <c r="B12" i="23" a="1"/>
  <c r="B12" i="23" s="1"/>
  <c r="H15" i="18"/>
  <c r="F13" i="18"/>
  <c r="H13" i="18" s="1"/>
  <c r="F14" i="18"/>
  <c r="H14" i="18" s="1"/>
  <c r="H11" i="18"/>
  <c r="H12" i="18"/>
  <c r="H10" i="18"/>
  <c r="H9" i="18"/>
  <c r="F49" i="18"/>
  <c r="H49" i="18" s="1"/>
  <c r="H24" i="18"/>
  <c r="F30" i="18"/>
  <c r="H30" i="18" s="1"/>
  <c r="F27" i="18"/>
  <c r="F48" i="18"/>
  <c r="H48" i="18" s="1"/>
  <c r="H3" i="18"/>
  <c r="F7" i="18"/>
  <c r="H7" i="18" s="1"/>
  <c r="F20" i="18"/>
  <c r="H20" i="18" s="1"/>
  <c r="F16" i="18"/>
  <c r="H16" i="18" s="1"/>
  <c r="F38" i="18"/>
  <c r="H38" i="18" s="1"/>
  <c r="F22" i="18"/>
  <c r="H27" i="18"/>
  <c r="F28" i="18"/>
  <c r="H28" i="18" s="1"/>
  <c r="F23" i="18"/>
  <c r="H23" i="18" s="1"/>
  <c r="F25" i="18"/>
  <c r="H25" i="18"/>
  <c r="F46" i="18"/>
  <c r="H46" i="18"/>
  <c r="F17" i="18"/>
  <c r="H17" i="18"/>
  <c r="F29" i="18"/>
  <c r="H29" i="18"/>
  <c r="B60" i="18"/>
  <c r="B59" i="18"/>
  <c r="H52" i="18"/>
  <c r="C60" i="18" s="1"/>
  <c r="H44" i="18"/>
  <c r="H39" i="18"/>
  <c r="F37" i="18"/>
  <c r="H37" i="18" s="1"/>
  <c r="F35" i="18"/>
  <c r="F42" i="18"/>
  <c r="H42" i="18" s="1"/>
  <c r="F41" i="18"/>
  <c r="H41" i="18" s="1"/>
  <c r="H33" i="18"/>
  <c r="H34" i="18"/>
  <c r="H50" i="18"/>
  <c r="H51" i="18"/>
  <c r="C59" i="18" s="1"/>
  <c r="F31" i="18"/>
  <c r="H31" i="18" s="1"/>
  <c r="F36" i="18"/>
  <c r="H19" i="18"/>
  <c r="H18" i="18"/>
  <c r="H32" i="18"/>
  <c r="H45" i="18"/>
  <c r="F40" i="18"/>
  <c r="H40" i="18" s="1"/>
  <c r="H8" i="18"/>
  <c r="F43" i="18"/>
  <c r="H43" i="18" s="1"/>
  <c r="F4" i="18"/>
  <c r="F26" i="18"/>
  <c r="H26" i="18" s="1"/>
  <c r="H6" i="18"/>
  <c r="H21" i="18"/>
  <c r="H47" i="18"/>
  <c r="H2" i="18"/>
  <c r="H5" i="18"/>
  <c r="H9" i="17"/>
  <c r="F12" i="17"/>
  <c r="H12" i="17" s="1"/>
  <c r="H8" i="17"/>
  <c r="B48" i="17"/>
  <c r="H34" i="17"/>
  <c r="H19" i="17"/>
  <c r="H32" i="17"/>
  <c r="H15" i="17"/>
  <c r="H38" i="17"/>
  <c r="H28" i="17"/>
  <c r="H4" i="17"/>
  <c r="H35" i="17"/>
  <c r="H6" i="17"/>
  <c r="H30" i="17"/>
  <c r="C48" i="17" s="1"/>
  <c r="H21" i="17"/>
  <c r="F14" i="17"/>
  <c r="H14" i="17" s="1"/>
  <c r="F10" i="17"/>
  <c r="H10" i="17" s="1"/>
  <c r="F33" i="17"/>
  <c r="H33" i="17"/>
  <c r="F2" i="17"/>
  <c r="H2" i="17" s="1"/>
  <c r="F22" i="17"/>
  <c r="H22" i="17"/>
  <c r="F3" i="17"/>
  <c r="H3" i="17"/>
  <c r="F20" i="17"/>
  <c r="H20" i="17"/>
  <c r="F39" i="17"/>
  <c r="H39" i="17" s="1"/>
  <c r="C47" i="17"/>
  <c r="B47" i="17"/>
  <c r="F26" i="17"/>
  <c r="H26" i="17" s="1"/>
  <c r="F25" i="17"/>
  <c r="H29" i="17"/>
  <c r="F11" i="17"/>
  <c r="H11" i="17" s="1"/>
  <c r="F36" i="17"/>
  <c r="H36" i="17" s="1"/>
  <c r="H7" i="17"/>
  <c r="F27" i="17"/>
  <c r="H27" i="17" s="1"/>
  <c r="F16" i="17"/>
  <c r="F37" i="17"/>
  <c r="H37" i="17" s="1"/>
  <c r="F18" i="17"/>
  <c r="H18" i="17" s="1"/>
  <c r="F31" i="17"/>
  <c r="H31" i="17" s="1"/>
  <c r="F17" i="17"/>
  <c r="H24" i="17"/>
  <c r="H23" i="17"/>
  <c r="F13" i="17"/>
  <c r="H13" i="17" s="1"/>
  <c r="F13" i="16"/>
  <c r="H13" i="16" s="1"/>
  <c r="F17" i="16"/>
  <c r="H17" i="16" s="1"/>
  <c r="F18" i="16"/>
  <c r="H18" i="16"/>
  <c r="H19" i="16"/>
  <c r="H7" i="16"/>
  <c r="F22" i="16"/>
  <c r="H22" i="16" s="1"/>
  <c r="F21" i="16"/>
  <c r="F20" i="16"/>
  <c r="B29" i="16" s="1"/>
  <c r="F12" i="16"/>
  <c r="H12" i="16" s="1"/>
  <c r="F14" i="16"/>
  <c r="H14" i="16" s="1"/>
  <c r="F11" i="16"/>
  <c r="H11" i="16" s="1"/>
  <c r="F6" i="16"/>
  <c r="H6" i="16" s="1"/>
  <c r="F5" i="16"/>
  <c r="H5" i="16" s="1"/>
  <c r="H4" i="16"/>
  <c r="F16" i="16"/>
  <c r="H16" i="16" s="1"/>
  <c r="F10" i="16"/>
  <c r="F3" i="16"/>
  <c r="H3" i="16" s="1"/>
  <c r="F2" i="16"/>
  <c r="H2" i="16" s="1"/>
  <c r="H9" i="16"/>
  <c r="F15" i="16"/>
  <c r="H15" i="16" s="1"/>
  <c r="H8" i="16"/>
  <c r="P24" i="14"/>
  <c r="R24" i="14" s="1"/>
  <c r="P23" i="14"/>
  <c r="R23" i="14" s="1"/>
  <c r="P22" i="14"/>
  <c r="R22" i="14" s="1"/>
  <c r="R21" i="14"/>
  <c r="P20" i="14"/>
  <c r="R20" i="14" s="1"/>
  <c r="R19" i="14"/>
  <c r="P18" i="14"/>
  <c r="R18" i="14" s="1"/>
  <c r="P17" i="14"/>
  <c r="R17" i="14" s="1"/>
  <c r="P16" i="14"/>
  <c r="R16" i="14" s="1"/>
  <c r="R15" i="14"/>
  <c r="P14" i="14"/>
  <c r="R14" i="14" s="1"/>
  <c r="P13" i="14"/>
  <c r="R13" i="14" s="1"/>
  <c r="P12" i="14"/>
  <c r="R12" i="14" s="1"/>
  <c r="P11" i="14"/>
  <c r="R11" i="14" s="1"/>
  <c r="P10" i="14"/>
  <c r="R10" i="14" s="1"/>
  <c r="P9" i="14"/>
  <c r="R9" i="14" s="1"/>
  <c r="P8" i="14"/>
  <c r="R8" i="14" s="1"/>
  <c r="P7" i="14"/>
  <c r="R7" i="14" s="1"/>
  <c r="R6" i="14"/>
  <c r="R5" i="14"/>
  <c r="R4" i="14"/>
  <c r="P3" i="14"/>
  <c r="R3" i="14" s="1"/>
  <c r="P2" i="14"/>
  <c r="R2" i="14" s="1"/>
  <c r="C37" i="14"/>
  <c r="B37" i="14"/>
  <c r="H4" i="14"/>
  <c r="H7" i="14"/>
  <c r="F23" i="14"/>
  <c r="H23" i="14" s="1"/>
  <c r="F25" i="14"/>
  <c r="H25" i="14" s="1"/>
  <c r="F22" i="14"/>
  <c r="F24" i="14"/>
  <c r="H24" i="14" s="1"/>
  <c r="F18" i="14"/>
  <c r="F16" i="14"/>
  <c r="H16" i="14" s="1"/>
  <c r="F21" i="14"/>
  <c r="H21" i="14" s="1"/>
  <c r="F29" i="14"/>
  <c r="H29" i="14" s="1"/>
  <c r="F28" i="14"/>
  <c r="F27" i="14"/>
  <c r="H26" i="14"/>
  <c r="F20" i="14"/>
  <c r="H20" i="14" s="1"/>
  <c r="H17" i="14"/>
  <c r="F19" i="14"/>
  <c r="H19" i="14" s="1"/>
  <c r="F15" i="14"/>
  <c r="H15" i="14" s="1"/>
  <c r="F14" i="14"/>
  <c r="H14" i="14" s="1"/>
  <c r="H13" i="14"/>
  <c r="F12" i="14"/>
  <c r="H12" i="14" s="1"/>
  <c r="F11" i="14"/>
  <c r="H11" i="14" s="1"/>
  <c r="F10" i="14"/>
  <c r="H10" i="14" s="1"/>
  <c r="F9" i="14"/>
  <c r="H9" i="14" s="1"/>
  <c r="F8" i="14"/>
  <c r="H8" i="14" s="1"/>
  <c r="F6" i="14"/>
  <c r="H6" i="14" s="1"/>
  <c r="H3" i="14"/>
  <c r="F5" i="14"/>
  <c r="F2" i="14"/>
  <c r="H4" i="13"/>
  <c r="H5" i="13"/>
  <c r="H6" i="13"/>
  <c r="H19" i="13"/>
  <c r="H21" i="13"/>
  <c r="H15" i="13"/>
  <c r="F7" i="13"/>
  <c r="H7" i="13" s="1"/>
  <c r="F14" i="13"/>
  <c r="H14" i="13" s="1"/>
  <c r="F22" i="13"/>
  <c r="F17" i="13"/>
  <c r="H17" i="13" s="1"/>
  <c r="F16" i="13"/>
  <c r="H16" i="13" s="1"/>
  <c r="F20" i="13"/>
  <c r="H20" i="13" s="1"/>
  <c r="F13" i="13"/>
  <c r="H13" i="13" s="1"/>
  <c r="F9" i="13"/>
  <c r="H9" i="13" s="1"/>
  <c r="F11" i="13"/>
  <c r="H11" i="13" s="1"/>
  <c r="F18" i="13"/>
  <c r="H18" i="13" s="1"/>
  <c r="C28" i="13" s="1"/>
  <c r="F10" i="13"/>
  <c r="H10" i="13" s="1"/>
  <c r="F24" i="13"/>
  <c r="H24" i="13" s="1"/>
  <c r="F23" i="13"/>
  <c r="F12" i="13"/>
  <c r="H12" i="13" s="1"/>
  <c r="F8" i="13"/>
  <c r="H8" i="13" s="1"/>
  <c r="C27" i="13" s="1"/>
  <c r="F3" i="13"/>
  <c r="H3" i="13" s="1"/>
  <c r="F2" i="13"/>
  <c r="H2" i="13" s="1"/>
  <c r="E2" i="12"/>
  <c r="F27" i="12"/>
  <c r="F4" i="12"/>
  <c r="F5" i="12"/>
  <c r="F6" i="12"/>
  <c r="F7" i="12"/>
  <c r="F8" i="12"/>
  <c r="F9" i="12"/>
  <c r="F10" i="12"/>
  <c r="F11" i="12"/>
  <c r="F12" i="12"/>
  <c r="F13" i="12"/>
  <c r="F14" i="12"/>
  <c r="F15" i="12"/>
  <c r="F16" i="12"/>
  <c r="F17" i="12"/>
  <c r="F18" i="12"/>
  <c r="F19" i="12"/>
  <c r="F2" i="12"/>
  <c r="E3" i="12"/>
  <c r="F3" i="12" s="1"/>
  <c r="F6" i="11"/>
  <c r="F14" i="11"/>
  <c r="F13" i="11"/>
  <c r="F25" i="11"/>
  <c r="F24" i="11"/>
  <c r="F28" i="11"/>
  <c r="F23" i="11"/>
  <c r="J5" i="11" s="1"/>
  <c r="F22" i="11"/>
  <c r="F19" i="11"/>
  <c r="F18" i="11"/>
  <c r="F17" i="11"/>
  <c r="F16" i="11"/>
  <c r="J4" i="11" s="1"/>
  <c r="F7" i="11"/>
  <c r="F10" i="11"/>
  <c r="F5" i="11"/>
  <c r="F4" i="11"/>
  <c r="F3" i="11"/>
  <c r="J2" i="11" s="1"/>
  <c r="F22" i="10"/>
  <c r="F21" i="10"/>
  <c r="F20" i="10"/>
  <c r="F18" i="10"/>
  <c r="F16" i="10"/>
  <c r="F15" i="10"/>
  <c r="F14" i="10"/>
  <c r="F12" i="10"/>
  <c r="F11" i="10"/>
  <c r="F10" i="10"/>
  <c r="F9" i="10"/>
  <c r="F5" i="10"/>
  <c r="F4" i="10"/>
  <c r="F8" i="10"/>
  <c r="F7" i="10"/>
  <c r="F10" i="9"/>
  <c r="F23" i="9"/>
  <c r="F21" i="9"/>
  <c r="F24" i="9"/>
  <c r="F22" i="9"/>
  <c r="F19" i="9"/>
  <c r="F18" i="9"/>
  <c r="F17" i="9"/>
  <c r="F16" i="9"/>
  <c r="F9" i="9"/>
  <c r="F15" i="9"/>
  <c r="F8" i="9"/>
  <c r="F7" i="9"/>
  <c r="F14" i="9"/>
  <c r="F13" i="9"/>
  <c r="F3" i="9"/>
  <c r="F2" i="8"/>
  <c r="F3" i="8"/>
  <c r="F5" i="8"/>
  <c r="F6" i="8"/>
  <c r="F13" i="8"/>
  <c r="F14" i="8"/>
  <c r="F15" i="8"/>
  <c r="F16" i="8"/>
  <c r="F24" i="8"/>
  <c r="F21" i="8"/>
  <c r="F17" i="8"/>
  <c r="F22" i="8"/>
  <c r="F23" i="8"/>
  <c r="F27" i="8"/>
  <c r="F18" i="8"/>
  <c r="F25" i="8"/>
  <c r="F26" i="8"/>
  <c r="F19" i="8"/>
  <c r="F4" i="8"/>
  <c r="F14" i="5"/>
  <c r="F2" i="5"/>
  <c r="F3" i="5"/>
  <c r="F11" i="5"/>
  <c r="F21" i="5"/>
  <c r="F22" i="5"/>
  <c r="F17" i="5"/>
  <c r="F18" i="5"/>
  <c r="F12" i="5"/>
  <c r="F19" i="5"/>
  <c r="F20" i="5"/>
  <c r="F13" i="5"/>
  <c r="F10" i="5"/>
  <c r="F9" i="5"/>
  <c r="I3" i="5"/>
  <c r="E11" i="4"/>
  <c r="E10" i="4"/>
  <c r="F10" i="4"/>
  <c r="F21" i="4"/>
  <c r="F16" i="4"/>
  <c r="F4" i="4"/>
  <c r="F11" i="4"/>
  <c r="F5" i="4"/>
  <c r="F6" i="4"/>
  <c r="F7" i="4"/>
  <c r="F13" i="4"/>
  <c r="F14" i="4"/>
  <c r="F8" i="4"/>
  <c r="F15" i="4"/>
  <c r="F22" i="4"/>
  <c r="F20" i="4"/>
  <c r="F17" i="4"/>
  <c r="F18" i="4"/>
  <c r="F19" i="4"/>
  <c r="F3" i="4"/>
  <c r="F6" i="3"/>
  <c r="F7" i="3"/>
  <c r="F13" i="3"/>
  <c r="F9" i="3"/>
  <c r="F2" i="3"/>
  <c r="F3" i="3"/>
  <c r="F10" i="3"/>
  <c r="F16" i="3"/>
  <c r="F17" i="3"/>
  <c r="F5" i="3"/>
  <c r="F11" i="3"/>
  <c r="F14" i="3"/>
  <c r="F15" i="3"/>
  <c r="F2" i="2"/>
  <c r="F3" i="2"/>
  <c r="F4" i="2"/>
  <c r="F5" i="2"/>
  <c r="F6" i="2"/>
  <c r="F7" i="2"/>
  <c r="F8" i="2"/>
  <c r="F9" i="2"/>
  <c r="F10" i="2"/>
  <c r="F11" i="2"/>
  <c r="F12" i="2"/>
  <c r="F13" i="2"/>
  <c r="F14" i="2"/>
  <c r="F15" i="2"/>
  <c r="F16" i="2"/>
  <c r="F17" i="2"/>
  <c r="F18" i="2"/>
  <c r="F28" i="2"/>
  <c r="F2" i="1"/>
  <c r="F3" i="1"/>
  <c r="F4" i="1"/>
  <c r="F5" i="1"/>
  <c r="F6" i="1"/>
  <c r="F7" i="1"/>
  <c r="F8" i="1"/>
  <c r="F13" i="1"/>
  <c r="F14" i="1"/>
  <c r="F15" i="1"/>
  <c r="F17" i="1"/>
  <c r="F18" i="1"/>
  <c r="F19" i="1"/>
  <c r="I4" i="5"/>
  <c r="I5" i="5"/>
  <c r="I2" i="5"/>
  <c r="M42" i="24" l="1"/>
  <c r="U42" i="24" s="1"/>
  <c r="N42" i="24"/>
  <c r="V42" i="24" s="1"/>
  <c r="N6" i="23"/>
  <c r="N7" i="23"/>
  <c r="N3" i="23"/>
  <c r="N5" i="23"/>
  <c r="N4" i="23"/>
  <c r="H4" i="18"/>
  <c r="B56" i="18"/>
  <c r="B55" i="18"/>
  <c r="C55" i="18"/>
  <c r="H22" i="18"/>
  <c r="C56" i="18" s="1"/>
  <c r="B57" i="18"/>
  <c r="H36" i="18"/>
  <c r="C57" i="18" s="1"/>
  <c r="B58" i="18"/>
  <c r="H35" i="18"/>
  <c r="C58" i="18" s="1"/>
  <c r="B43" i="17"/>
  <c r="H17" i="17"/>
  <c r="C43" i="17" s="1"/>
  <c r="B44" i="17"/>
  <c r="H16" i="17"/>
  <c r="B45" i="17"/>
  <c r="C45" i="17"/>
  <c r="B46" i="17"/>
  <c r="H25" i="17"/>
  <c r="C46" i="17" s="1"/>
  <c r="B26" i="16"/>
  <c r="H10" i="16"/>
  <c r="C26" i="16" s="1"/>
  <c r="B27" i="16"/>
  <c r="C27" i="16"/>
  <c r="B28" i="16"/>
  <c r="H20" i="16"/>
  <c r="B30" i="16"/>
  <c r="H21" i="16"/>
  <c r="C30" i="16" s="1"/>
  <c r="H5" i="14"/>
  <c r="B33" i="14"/>
  <c r="H27" i="14"/>
  <c r="C36" i="14" s="1"/>
  <c r="B36" i="14"/>
  <c r="H28" i="14"/>
  <c r="C38" i="14" s="1"/>
  <c r="B38" i="14"/>
  <c r="H18" i="14"/>
  <c r="C34" i="14" s="1"/>
  <c r="B34" i="14"/>
  <c r="H22" i="14"/>
  <c r="C35" i="14" s="1"/>
  <c r="B35" i="14"/>
  <c r="H2" i="14"/>
  <c r="C33" i="14" s="1"/>
  <c r="C26" i="13"/>
  <c r="H23" i="13"/>
  <c r="H22" i="13"/>
  <c r="J3" i="11"/>
  <c r="C44" i="17" l="1"/>
  <c r="C28" i="16"/>
  <c r="C29" i="16"/>
  <c r="H28" i="23" l="1"/>
  <c r="H7" i="23"/>
  <c r="H31" i="23"/>
  <c r="H38" i="23"/>
  <c r="H3" i="23"/>
  <c r="H15" i="23"/>
  <c r="H26" i="23"/>
  <c r="H14" i="23"/>
  <c r="H36" i="23"/>
  <c r="H30" i="23"/>
  <c r="H17" i="23"/>
  <c r="H9" i="23"/>
  <c r="H24" i="23"/>
  <c r="H25" i="23"/>
  <c r="H37" i="23"/>
  <c r="H4" i="23"/>
  <c r="H29" i="23"/>
  <c r="H8" i="23"/>
  <c r="H35" i="23"/>
  <c r="H5" i="23"/>
  <c r="H16" i="23"/>
  <c r="H34" i="23"/>
  <c r="H12" i="23"/>
  <c r="H18" i="23"/>
  <c r="H27" i="23"/>
  <c r="H10" i="23"/>
  <c r="H22" i="23"/>
  <c r="H2" i="23"/>
  <c r="H19" i="23"/>
  <c r="H13" i="23"/>
  <c r="H21" i="23"/>
  <c r="H11" i="23"/>
  <c r="H6" i="23"/>
  <c r="H20" i="23"/>
  <c r="O7" i="23" l="1"/>
  <c r="O5" i="23"/>
  <c r="O6" i="23"/>
  <c r="O3" i="23"/>
  <c r="O4"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tc={4786CF4B-BBEB-42CE-AC2D-8ABB2F3F03C4}</author>
    <author>tc={8CAA3514-2CB5-40C8-8D3E-5A818B87376E}</author>
  </authors>
  <commentList>
    <comment ref="F1" authorId="0" shapeId="0" xr:uid="{4786CF4B-BBEB-42CE-AC2D-8ABB2F3F03C4}">
      <text>
        <t>[Threaded comment]
Your version of Excel allows you to read this threaded comment; however, any edits to it will get removed if the file is opened in a newer version of Excel. Learn more: https://go.microsoft.com/fwlink/?linkid=870924
Comment:
    Enter in estimated amount for hourly tasks</t>
      </text>
    </comment>
    <comment ref="F20" authorId="1" shapeId="0" xr:uid="{8CAA3514-2CB5-40C8-8D3E-5A818B87376E}">
      <text>
        <t>[Threaded comment]
Your version of Excel allows you to read this threaded comment; however, any edits to it will get removed if the file is opened in a newer version of Excel. Learn more: https://go.microsoft.com/fwlink/?linkid=870924
Comment:
    @Castellon, Randy  i know this is TM - I want to see an hourly estimate as to what we'll be charging them, per my email
Reply:
    i seeee. i updated this based on rte and anticipated effort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tc={B330AE8E-119B-422D-A233-7FC4742E7148}</author>
    <author>tc={AF9EB590-4078-4098-8219-2B6FE61F99C8}</author>
  </authors>
  <commentList>
    <comment ref="F1" authorId="0" shapeId="0" xr:uid="{B330AE8E-119B-422D-A233-7FC4742E7148}">
      <text>
        <t>[Threaded comment]
Your version of Excel allows you to read this threaded comment; however, any edits to it will get removed if the file is opened in a newer version of Excel. Learn more: https://go.microsoft.com/fwlink/?linkid=870924
Comment:
    Enter in estimated amount for hourly tasks</t>
      </text>
    </comment>
    <comment ref="E2" authorId="1" shapeId="0" xr:uid="{AF9EB590-4078-4098-8219-2B6FE61F99C8}">
      <text>
        <t>[Threaded comment]
Your version of Excel allows you to read this threaded comment; however, any edits to it will get removed if the file is opened in a newer version of Excel. Learn more: https://go.microsoft.com/fwlink/?linkid=870924
Comment:
    @Dina, Eric  since we'll be invoicing this in june could you please add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tc={BA3CBC0F-F51F-47EE-84B0-2F54E2FF3C61}</author>
  </authors>
  <commentList>
    <comment ref="E2" authorId="0" shapeId="0" xr:uid="{BA3CBC0F-F51F-47EE-84B0-2F54E2FF3C61}">
      <text>
        <t>[Threaded comment]
Your version of Excel allows you to read this threaded comment; however, any edits to it will get removed if the file is opened in a newer version of Excel. Learn more: https://go.microsoft.com/fwlink/?linkid=870924
Comment:
    We are combining this drawing with NBA10014004 so majority of the cost is on the NBA (sitting around $1M for NBA estimate).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tc={835F29D5-FB01-4C8A-9472-7FFFE6116FE4}</author>
    <author>tc={DBB743D8-B57D-4071-BE03-4C04B01B84BD}</author>
  </authors>
  <commentList>
    <comment ref="F2" authorId="0" shapeId="0" xr:uid="{835F29D5-FB01-4C8A-9472-7FFFE6116FE4}">
      <text>
        <t>[Threaded comment]
Your version of Excel allows you to read this threaded comment; however, any edits to it will get removed if the file is opened in a newer version of Excel. Learn more: https://go.microsoft.com/fwlink/?linkid=870924
Comment:
    Probably won't bill this due to low effort.</t>
      </text>
    </comment>
    <comment ref="E3" authorId="1" shapeId="0" xr:uid="{DBB743D8-B57D-4071-BE03-4C04B01B84BD}">
      <text>
        <t>[Threaded comment]
Your version of Excel allows you to read this threaded comment; however, any edits to it will get removed if the file is opened in a newer version of Excel. Learn more: https://go.microsoft.com/fwlink/?linkid=870924
Comment:
    We are combining this drawing with NBA10014004 so majority of the cost is on the NBA (sitting around $1M for NBA estimate).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tc={9AEF8B03-FD45-40B0-9B94-B5EFF83D1BA1}</author>
    <author>tc={4AF63374-8DBB-4DD7-BAE8-C2FB4ED0B709}</author>
  </authors>
  <commentList>
    <comment ref="F6" authorId="0" shapeId="0" xr:uid="{9AEF8B03-FD45-40B0-9B94-B5EFF83D1BA1}">
      <text>
        <t>[Threaded comment]
Your version of Excel allows you to read this threaded comment; however, any edits to it will get removed if the file is opened in a newer version of Excel. Learn more: https://go.microsoft.com/fwlink/?linkid=870924
Comment:
    Hopefully will be able to negotiate out of the second round of CCDOTH comments</t>
      </text>
    </comment>
    <comment ref="F8" authorId="1" shapeId="0" xr:uid="{4AF63374-8DBB-4DD7-BAE8-C2FB4ED0B709}">
      <text>
        <t>[Threaded comment]
Your version of Excel allows you to read this threaded comment; however, any edits to it will get removed if the file is opened in a newer version of Excel. Learn more: https://go.microsoft.com/fwlink/?linkid=870924
Comment:
    Calvin K said they will likely move forward with rock boring so I can see us not billing this for our support effort (currently at $2,735 but don't see it going up much).</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tc={102200B6-8FEC-4BAB-8E38-6BB2D9859B07}</author>
    <author>tc={D8968A45-BD34-4EF9-80A5-470764E3742C}</author>
    <author>tc={E18FF8FA-FA1D-49A2-AAB0-2F1B1D56F7B0}</author>
  </authors>
  <commentList>
    <comment ref="F8" authorId="0" shapeId="0" xr:uid="{102200B6-8FEC-4BAB-8E38-6BB2D9859B07}">
      <text>
        <t>[Threaded comment]
Your version of Excel allows you to read this threaded comment; however, any edits to it will get removed if the file is opened in a newer version of Excel. Learn more: https://go.microsoft.com/fwlink/?linkid=870924
Comment:
    Pending a meeting with Nicor on Monday. If they want to update the current design this could go up.</t>
      </text>
    </comment>
    <comment ref="E18" authorId="1" shapeId="0" xr:uid="{D8968A45-BD34-4EF9-80A5-470764E3742C}">
      <text>
        <t>[Threaded comment]
Your version of Excel allows you to read this threaded comment; however, any edits to it will get removed if the file is opened in a newer version of Excel. Learn more: https://go.microsoft.com/fwlink/?linkid=870924
Comment:
    Conservative Estimate based on anticipated conflicts</t>
      </text>
    </comment>
    <comment ref="E19" authorId="2" shapeId="0" xr:uid="{E18FF8FA-FA1D-49A2-AAB0-2F1B1D56F7B0}">
      <text>
        <t>[Threaded comment]
Your version of Excel allows you to read this threaded comment; however, any edits to it will get removed if the file is opened in a newer version of Excel. Learn more: https://go.microsoft.com/fwlink/?linkid=870924
Comment:
    Conservative Estimate based on anticipated conflicts</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tc={EDC4DB82-6996-4348-AE0D-DAF89BC5CC0C}</author>
    <author>tc={C5F410E5-B482-499A-BE96-C8982994DD8B}</author>
  </authors>
  <commentList>
    <comment ref="E3" authorId="0" shapeId="0" xr:uid="{EDC4DB82-6996-4348-AE0D-DAF89BC5CC0C}">
      <text>
        <t>[Threaded comment]
Your version of Excel allows you to read this threaded comment; however, any edits to it will get removed if the file is opened in a newer version of Excel. Learn more: https://go.microsoft.com/fwlink/?linkid=870924
Comment:
    @Dina, Eric  @Ekstrom, Ethan FYI this ended up at 1.85M so quite a bit higher than anticipated. Please factor that in in future forecasts</t>
      </text>
    </comment>
    <comment ref="F20" authorId="1" shapeId="0" xr:uid="{C5F410E5-B482-499A-BE96-C8982994DD8B}">
      <text>
        <t xml:space="preserve">[Threaded comment]
Your version of Excel allows you to read this threaded comment; however, any edits to it will get removed if the file is opened in a newer version of Excel. Learn more: https://go.microsoft.com/fwlink/?linkid=870924
Comment:
    We just supported on this task due DOT delaying their construction. I can see this not being billed.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tc={7A3E5315-14D2-4660-8FB6-7E1FC4CAF04D}</author>
  </authors>
  <commentList>
    <comment ref="E4" authorId="0" shapeId="0" xr:uid="{7A3E5315-14D2-4660-8FB6-7E1FC4CAF04D}">
      <text>
        <t xml:space="preserve">[Threaded comment]
Your version of Excel allows you to read this threaded comment; however, any edits to it will get removed if the file is opened in a newer version of Excel. Learn more: https://go.microsoft.com/fwlink/?linkid=870924
Comment:
    @Hopkins, Matt  FYI this ended up at almost 1.1M, so significantly higher than the original estimate. Please factor that into future estimates. </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tc={A8118C05-5744-463C-B9BB-44AA9E31F070}</author>
    <author>tc={B8AA0897-42D8-4049-96C7-3104698569EB}</author>
    <author>tc={51F401D7-A520-4D56-B904-2BB11651EC48}</author>
  </authors>
  <commentList>
    <comment ref="E4" authorId="0" shapeId="0" xr:uid="{A8118C05-5744-463C-B9BB-44AA9E31F070}">
      <text>
        <t>[Threaded comment]
Your version of Excel allows you to read this threaded comment; however, any edits to it will get removed if the file is opened in a newer version of Excel. Learn more: https://go.microsoft.com/fwlink/?linkid=870924
Comment:
    This is looking closer to 15 mil</t>
      </text>
    </comment>
    <comment ref="E8" authorId="1" shapeId="0" xr:uid="{B8AA0897-42D8-4049-96C7-3104698569EB}">
      <text>
        <t>[Threaded comment]
Your version of Excel allows you to read this threaded comment; however, any edits to it will get removed if the file is opened in a newer version of Excel. Learn more: https://go.microsoft.com/fwlink/?linkid=870924
Comment:
    @Corbi, Camille i did my best to get values entered but could you please fill the rest of your cells out?</t>
      </text>
    </comment>
    <comment ref="D17" authorId="2" shapeId="0" xr:uid="{51F401D7-A520-4D56-B904-2BB11651EC48}">
      <text>
        <t>[Threaded comment]
Your version of Excel allows you to read this threaded comment; however, any edits to it will get removed if the file is opened in a newer version of Excel. Learn more: https://go.microsoft.com/fwlink/?linkid=870924
Comment:
    @Ekstrom, Ethan please fill these couple out
Reply:
    Done</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tc={97C4F008-60A9-4CAC-8C36-2F6E351EE2AC}</author>
    <author>tc={A34753E2-7343-4C64-B635-1C65BE17ABF3}</author>
  </authors>
  <commentList>
    <comment ref="G2" authorId="0" shapeId="0" xr:uid="{97C4F008-60A9-4CAC-8C36-2F6E351EE2AC}">
      <text>
        <t>[Threaded comment]
Your version of Excel allows you to read this threaded comment; however, any edits to it will get removed if the file is opened in a newer version of Excel. Learn more: https://go.microsoft.com/fwlink/?linkid=870924
Comment:
    @Bruce, Logan  @Rojas, Taylor  i tagged the wrong tab before....please update these red cells
Reply:
    done</t>
      </text>
    </comment>
    <comment ref="G18" authorId="1" shapeId="0" xr:uid="{A34753E2-7343-4C64-B635-1C65BE17ABF3}">
      <text>
        <t>[Threaded comment]
Your version of Excel allows you to read this threaded comment; however, any edits to it will get removed if the file is opened in a newer version of Excel. Learn more: https://go.microsoft.com/fwlink/?linkid=870924
Comment:
    @Bruce, Logan  I correct this off the invoice, you had like 526k in here
Reply:
    this had a previous amount billed when we billed ahead on this in the past. 
Reply:
    it was for 54,670</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tc={56C5BF62-92D6-46CF-B2C0-F820EAF7D27A}</author>
    <author>tc={6F736E5A-EE98-48D1-B24D-BFCAD1D980E7}</author>
    <author>tc={E212064D-85E2-42EB-96C1-8BA26A7778CB}</author>
    <author>tc={D279EB98-907D-4BD9-9650-7B547A33C168}</author>
    <author>tc={F9A0FAFE-51EE-4648-B76C-DBB52D584E7A}</author>
    <author>tc={31309691-9FDC-4F8C-8D5D-9ABFB3710F32}</author>
  </authors>
  <commentList>
    <comment ref="G2" authorId="0" shapeId="0" xr:uid="{56C5BF62-92D6-46CF-B2C0-F820EAF7D27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@Bruce, Logan can you please update this column if there have been any changes?
Reply:
    this is all we have billed for this site
Reply:
    Can you confirm the values for the entire column G?
Reply:
    this matches what was billed ahead in December.
Reply:
    great, thanks</t>
      </text>
    </comment>
    <comment ref="Q2" authorId="1" shapeId="0" xr:uid="{6F736E5A-EE98-48D1-B24D-BFCAD1D980E7}">
      <text>
        <t>[Threaded comment]
Your version of Excel allows you to read this threaded comment; however, any edits to it will get removed if the file is opened in a newer version of Excel. Learn more: https://go.microsoft.com/fwlink/?linkid=870924
Comment:
    @Bruce, Logan  @Rojas, Taylor  i tagged the wrong tab before....please update these red cells
Reply:
    done</t>
      </text>
    </comment>
    <comment ref="D17" authorId="2" shapeId="0" xr:uid="{E212064D-85E2-42EB-96C1-8BA26A7778CB}">
      <text>
        <t>[Threaded comment]
Your version of Excel allows you to read this threaded comment; however, any edits to it will get removed if the file is opened in a newer version of Excel. Learn more: https://go.microsoft.com/fwlink/?linkid=870924
Comment:
    @Dina, Eric  aren't we almost done with this one? do we not think it'll be invoiced in march?
Reply:
    You're right.  Updated.</t>
      </text>
    </comment>
    <comment ref="Q18" authorId="3" shapeId="0" xr:uid="{D279EB98-907D-4BD9-9650-7B547A33C168}">
      <text>
        <t>[Threaded comment]
Your version of Excel allows you to read this threaded comment; however, any edits to it will get removed if the file is opened in a newer version of Excel. Learn more: https://go.microsoft.com/fwlink/?linkid=870924
Comment:
    @Bruce, Logan  I correct this off the invoice, you had like 526k in here
Reply:
    this had a previous amount billed when we billed ahead on this in the past. 
Reply:
    it was for 54,670</t>
      </text>
    </comment>
    <comment ref="E25" authorId="4" shapeId="0" xr:uid="{F9A0FAFE-51EE-4648-B76C-DBB52D584E7A}">
      <text>
        <t>[Threaded comment]
Your version of Excel allows you to read this threaded comment; however, any edits to it will get removed if the file is opened in a newer version of Excel. Learn more: https://go.microsoft.com/fwlink/?linkid=870924
Comment:
    @Dina, Eric Not sure I feel comfortable with an anticipated cost yet. We've been pending a UCM response since November '24, so this still may not become a project.
Reply:
    good w/ me to leave as 0</t>
      </text>
    </comment>
    <comment ref="D27" authorId="5" shapeId="0" xr:uid="{31309691-9FDC-4F8C-8D5D-9ABFB3710F32}">
      <text>
        <t>[Threaded comment]
Your version of Excel allows you to read this threaded comment; however, any edits to it will get removed if the file is opened in a newer version of Excel. Learn more: https://go.microsoft.com/fwlink/?linkid=870924
Comment:
    @Dina, Eric  @Stanley, Mark  i pushed this a month...i really don't think that this is going out in may, let's keep an eye on the date extension
Reply:
    July works for me.  Also, make sure you're using the Apr 2025 SS</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tc={345EEA46-56CD-461E-84E0-E8E2B5795D95}</author>
    <author>tc={861277C9-8AEA-483F-910F-13017BF4788C}</author>
    <author>tc={23117AE0-57E4-46E4-91B2-E781B7A2D072}</author>
    <author>tc={8879AE86-BA74-4841-B5EE-DAA00966B89E}</author>
  </authors>
  <commentList>
    <comment ref="E3" authorId="0" shapeId="0" xr:uid="{345EEA46-56CD-461E-84E0-E8E2B5795D95}">
      <text>
        <t>[Threaded comment]
Your version of Excel allows you to read this threaded comment; however, any edits to it will get removed if the file is opened in a newer version of Excel. Learn more: https://go.microsoft.com/fwlink/?linkid=870924
Comment:
    @Hopkins, Matt  releasing as NOO shortly, correct?
Reply:
    correct, releasing this week</t>
      </text>
    </comment>
    <comment ref="F7" authorId="1" shapeId="0" xr:uid="{861277C9-8AEA-483F-910F-13017BF4788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@Castellon, Randy this project is now running at T/M.  Can you approximate the total invoice based on effort to date and the remainder of the work plan?
Reply:
    I put my approx. Lookoing at RTE + final reviews for this project ot be released, this is what i approximate
Reply:
    @Castellon, Randy  can you please add in subconsultant costs to this?</t>
      </text>
    </comment>
    <comment ref="F8" authorId="2" shapeId="0" xr:uid="{23117AE0-57E4-46E4-91B2-E781B7A2D072}">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@Castellon, Randy this project is now running at T/M.  Can you approximate the total invoice based on effort to date and the remainder of the work plan?
Reply:
    @Castellon, Randy  can you please include subconsultant costs on this?
Reply:
    I have to imagine that this is going to be greater than 300k in effort - let's bump up to like 500k for our forecasts please
Reply:
    nvm ignore - i see we have 600k between the two tasks</t>
      </text>
    </comment>
    <comment ref="F9" authorId="3" shapeId="0" xr:uid="{8879AE86-BA74-4841-B5EE-DAA00966B89E}">
      <text>
        <t>[Threaded comment]
Your version of Excel allows you to read this threaded comment; however, any edits to it will get removed if the file is opened in a newer version of Excel. Learn more: https://go.microsoft.com/fwlink/?linkid=870924
Comment:
    @Castellon, Randy  @Dina, Eric  we have another WO for a portion of this that is going under Nicor System Improvement, right? Have we nailed down how we intend on billing that yet and what that effort might be? I would try and estimate the hourly effort right now for it</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tc={AEEDC17A-484A-4EA0-BBFE-B0D8E441C9E5}</author>
  </authors>
  <commentList>
    <comment ref="F8" authorId="0" shapeId="0" xr:uid="{AEEDC17A-484A-4EA0-BBFE-B0D8E441C9E5}">
      <text>
        <t>[Threaded comment]
Your version of Excel allows you to read this threaded comment; however, any edits to it will get removed if the file is opened in a newer version of Excel. Learn more: https://go.microsoft.com/fwlink/?linkid=870924
Comment:
    @Hopkins, Matt  updated this per ompleted projects</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tc={32528B88-C6A6-477C-8FCA-922C60277190}</author>
  </authors>
  <commentList>
    <comment ref="E5" authorId="0" shapeId="0" xr:uid="{32528B88-C6A6-477C-8FCA-922C60277190}">
      <text>
        <t>[Threaded comment]
Your version of Excel allows you to read this threaded comment; however, any edits to it will get removed if the file is opened in a newer version of Excel. Learn more: https://go.microsoft.com/fwlink/?linkid=870924
Comment:
    @Hopkins, Matt  I see 650k as the number you had helped me enter previously - did that go down?
Reply:
    yes, i really don't have a good grasp on this project until we get a UCM response.
I know 3 separate 2" jumpers for direct conflicts discovered in the field.  I am trying to overshoot since these forecasts are sent to Nicor, I thought 450,000 would be a conservative estimate in case we need to extend the jumpers compared to 650,000</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Hensler, Rachel</author>
    <author>tc={1FA28BE4-F923-4BA1-827F-03F8282C5BB3}</author>
    <author>tc={F24B4130-6D80-49EE-9520-93CC19074D60}</author>
    <author>tc={BEAD6EA1-83F2-45D6-82AA-2535F0625C66}</author>
    <author>tc={68B0C6DC-1B68-4167-9973-8A32024C3537}</author>
    <author>tc={B6506A1A-F264-465A-A677-0FE2B14CC804}</author>
  </authors>
  <commentList>
    <comment ref="J1" authorId="0" shapeId="0" xr:uid="{E92B3D81-5A21-4BB4-9DBB-76F15FE43D0E}">
      <text>
        <r>
          <rPr>
            <sz val="9"/>
            <color indexed="81"/>
            <rFont val="Tahoma"/>
            <family val="2"/>
          </rPr>
          <t>Number assigned to project based on which table the Engineering Number is found in. Uses unique Engineering numbers determined in the Engineering Numbers Ref sheet.</t>
        </r>
      </text>
    </comment>
    <comment ref="E9" authorId="1" shapeId="0" xr:uid="{1FA28BE4-F923-4BA1-827F-03F8282C5BB3}">
      <text>
        <t>[Threaded comment]
Your version of Excel allows you to read this threaded comment; however, any edits to it will get removed if the file is opened in a newer version of Excel. Learn more: https://go.microsoft.com/fwlink/?linkid=870924
Comment:
    @LaPorte, Marissa  have we discussed with Nicor to bill this hourly or is this an assumption? If we haven’t yet we should bring that up soon if we feel we have justification. Or if there’s likely going to be relocation we should have this be the 10% rate
Reply:
    This was an assumption. I can discuss with Eric how we want to handle this with Nicor 
Reply:
    Typically if it's NOO we don't get to invoice it. However, if we had been told to move on design or something originally we could, but I didn't think that was the case here. We can discuss further but to be conservative i would assume no bill</t>
      </text>
    </comment>
    <comment ref="D10" authorId="2" shapeId="0" xr:uid="{F24B4130-6D80-49EE-9520-93CC19074D60}">
      <text>
        <t>[Threaded comment]
Your version of Excel allows you to read this threaded comment; however, any edits to it will get removed if the file is opened in a newer version of Excel. Learn more: https://go.microsoft.com/fwlink/?linkid=870924
Comment:
    @Hopkins, Matt  @Stanley, Mark  @Pohlman, Mitchell  @Corbi, Camille  @Chamernik, Conner  @Lierow, Taylor  can you all review these dates in yellow and if necessary, hard code them to the month you anticipate these projects being released? I have a hard time believing we’ll be releasing quite a few of them all in one month like we show in August?</t>
      </text>
    </comment>
    <comment ref="I15" authorId="3" shapeId="0" xr:uid="{BEAD6EA1-83F2-45D6-82AA-2535F0625C66}">
      <text>
        <t>[Threaded comment]
Your version of Excel allows you to read this threaded comment; however, any edits to it will get removed if the file is opened in a newer version of Excel. Learn more: https://go.microsoft.com/fwlink/?linkid=870924
Comment:
    @Stanley, Mark  @Dina, Eric  maybe i'm not familiar with this one and why it would be hourly? have we had that confirmed by nicor?
Reply:
    No relo anticipated, shouldn’t that be zero anticipated cost then?</t>
      </text>
    </comment>
    <comment ref="E29" authorId="4" shapeId="0" xr:uid="{68B0C6DC-1B68-4167-9973-8A32024C3537}">
      <text>
        <t>[Threaded comment]
Your version of Excel allows you to read this threaded comment; however, any edits to it will get removed if the file is opened in a newer version of Excel. Learn more: https://go.microsoft.com/fwlink/?linkid=870924
Comment:
    @LaPorte, Marissa  @Dina, Eric  why do we think this would be hourly if we are negotiating out of it?
Reply:
    This is still in detailed analysis. we are negotiating out of this project. I think the hourly was a mistake. 
Reply:
    This looks like a mistake. Updating to zero</t>
      </text>
    </comment>
    <comment ref="F32" authorId="5" shapeId="0" xr:uid="{B6506A1A-F264-465A-A677-0FE2B14CC804}">
      <text>
        <t>[Threaded comment]
Your version of Excel allows you to read this threaded comment; however, any edits to it will get removed if the file is opened in a newer version of Excel. Learn more: https://go.microsoft.com/fwlink/?linkid=870924
Comment:
    @Castellon, Randy  @Molloy, Michael  there should be an NIS portion associated with this project that I think got deleted from last month - not sure how that works with the formulas ya’ll have entered here so I’m bumping up the overall hourly fee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Hensler, Rachel</author>
    <author>tc={44166F58-601B-45CE-9013-B9F3226A90F5}</author>
  </authors>
  <commentList>
    <comment ref="J1" authorId="0" shapeId="0" xr:uid="{42E65005-5939-435A-81DD-DBCBCF176220}">
      <text>
        <r>
          <rPr>
            <sz val="9"/>
            <color indexed="81"/>
            <rFont val="Tahoma"/>
            <family val="2"/>
          </rPr>
          <t>Number assigned to project based on which table the Engineering Number is found in. Uses unique Engineering numbers determined in the Engineering Numbers Ref sheet.</t>
        </r>
      </text>
    </comment>
    <comment ref="H5" authorId="1" shapeId="0" xr:uid="{44166F58-601B-45CE-9013-B9F3226A90F5}">
      <text>
        <t>[Threaded comment]
Your version of Excel allows you to read this threaded comment; however, any edits to it will get removed if the file is opened in a newer version of Excel. Learn more: https://go.microsoft.com/fwlink/?linkid=870924
Comment:
    @Dina, Eric @Castellon, Randy   isn’t this more like $375k?
Reply:
    Updated from 240 to 375 just for record</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Hensler, Rachel</author>
  </authors>
  <commentList>
    <comment ref="J1" authorId="0" shapeId="0" xr:uid="{C54BFBAB-76CB-497A-BE58-F3A524C8F8CD}">
      <text>
        <r>
          <rPr>
            <sz val="9"/>
            <color indexed="81"/>
            <rFont val="Tahoma"/>
            <family val="2"/>
          </rPr>
          <t>Number assigned to project based on which table the Engineering Number is found in. Uses unique Engineering numbers determined in the Engineering Numbers Ref sheet.</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Hensler, Rachel</author>
  </authors>
  <commentList>
    <comment ref="J1" authorId="0" shapeId="0" xr:uid="{839A666C-36AE-4C8F-9F78-FAE86BCE448A}">
      <text>
        <r>
          <rPr>
            <sz val="9"/>
            <color indexed="81"/>
            <rFont val="Tahoma"/>
            <family val="2"/>
          </rPr>
          <t>Number assigned to project based on which table the Engineering Number is found in. Uses unique Engineering numbers determined in the Engineering Numbers Ref sheet.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<sst xmlns="http://schemas.openxmlformats.org/spreadsheetml/2006/main" count="2104" uniqueCount="456">
  <si>
    <t>Engineering Number</t>
  </si>
  <si>
    <t>Designer Name</t>
  </si>
  <si>
    <t>Town</t>
  </si>
  <si>
    <t>Anticipated Release Month</t>
  </si>
  <si>
    <t>Anticipated Cost</t>
  </si>
  <si>
    <t>Anticipated Fee</t>
  </si>
  <si>
    <t>SC21051</t>
  </si>
  <si>
    <t>Taylor Lierow</t>
  </si>
  <si>
    <t>OLYMPIA FIELDS</t>
  </si>
  <si>
    <t>N13624</t>
  </si>
  <si>
    <t>Eric Dina</t>
  </si>
  <si>
    <t>PALATINE</t>
  </si>
  <si>
    <t>SC23749</t>
  </si>
  <si>
    <t>Tim Purtell/Matt Hopkins</t>
  </si>
  <si>
    <t>MANTENO</t>
  </si>
  <si>
    <t>SC23762</t>
  </si>
  <si>
    <t>Randy Castellon</t>
  </si>
  <si>
    <t>LOCKPORT</t>
  </si>
  <si>
    <t>N18054-1</t>
  </si>
  <si>
    <t>HOFFMAN ESTATES</t>
  </si>
  <si>
    <t>N16431</t>
  </si>
  <si>
    <t>Conner Chamernik</t>
  </si>
  <si>
    <t>ROCK FALLS</t>
  </si>
  <si>
    <t>SC24208</t>
  </si>
  <si>
    <t>N16291</t>
  </si>
  <si>
    <t>PROSPECT HEIGHTS</t>
  </si>
  <si>
    <t>NA</t>
  </si>
  <si>
    <t>N13257</t>
  </si>
  <si>
    <t>Joey Betland</t>
  </si>
  <si>
    <t>ELGIN</t>
  </si>
  <si>
    <t>N15462</t>
  </si>
  <si>
    <t>LAKE IN THE HILLS</t>
  </si>
  <si>
    <t>N16541</t>
  </si>
  <si>
    <t>ROCKFORD</t>
  </si>
  <si>
    <t>SC23448</t>
  </si>
  <si>
    <t>Tim Purtell</t>
  </si>
  <si>
    <t>PEOTONE</t>
  </si>
  <si>
    <t>M15635</t>
  </si>
  <si>
    <t>BRIDGEVIEW</t>
  </si>
  <si>
    <t>SC23750</t>
  </si>
  <si>
    <t>Joey Betland/Matt Hopkins</t>
  </si>
  <si>
    <t>DOWNERS GROVE</t>
  </si>
  <si>
    <t>SC19500</t>
  </si>
  <si>
    <t>SHOREWOOD</t>
  </si>
  <si>
    <t>SC21396</t>
  </si>
  <si>
    <t>NEW LENOX</t>
  </si>
  <si>
    <t>N14793</t>
  </si>
  <si>
    <t>Camille Corbi</t>
  </si>
  <si>
    <t>WOODSTOCK</t>
  </si>
  <si>
    <t>N13601-1</t>
  </si>
  <si>
    <t>N14915</t>
  </si>
  <si>
    <t>CRYSTAL LAKE</t>
  </si>
  <si>
    <t>N16379</t>
  </si>
  <si>
    <t>CHICAGO</t>
  </si>
  <si>
    <t>Anticipated Billing Month</t>
  </si>
  <si>
    <t>N15193</t>
  </si>
  <si>
    <t>STREAMWOOD</t>
  </si>
  <si>
    <t>Matt Hopkins</t>
  </si>
  <si>
    <t>SC23103</t>
  </si>
  <si>
    <t>Camille Corbi/Ethan Ekstrom</t>
  </si>
  <si>
    <t>NORMAL</t>
  </si>
  <si>
    <t>SC21396-1</t>
  </si>
  <si>
    <t>N17175</t>
  </si>
  <si>
    <t>M15844</t>
  </si>
  <si>
    <t>JUSTICE</t>
  </si>
  <si>
    <t>SC24292</t>
  </si>
  <si>
    <t>PLAINFIELD</t>
  </si>
  <si>
    <t>Hourly</t>
  </si>
  <si>
    <t>N15837</t>
  </si>
  <si>
    <t>Nick Watt</t>
  </si>
  <si>
    <t>N15837-1</t>
  </si>
  <si>
    <t>N18718</t>
  </si>
  <si>
    <t>ELK GROVE VILLAGE</t>
  </si>
  <si>
    <t>SC21701</t>
  </si>
  <si>
    <t>JOLIET</t>
  </si>
  <si>
    <t>SC18611-1</t>
  </si>
  <si>
    <t>M15209</t>
  </si>
  <si>
    <t>Lincolnwood</t>
  </si>
  <si>
    <t>SC20556</t>
  </si>
  <si>
    <t>Eric Dina/Ethan Ekstrom</t>
  </si>
  <si>
    <t>BLOOMINGTON</t>
  </si>
  <si>
    <t>SC20556-1</t>
  </si>
  <si>
    <t>N18337</t>
  </si>
  <si>
    <t>SCHAUMBURG</t>
  </si>
  <si>
    <t>N17815</t>
  </si>
  <si>
    <t>ROUND LAKE BEACH</t>
  </si>
  <si>
    <t>SC23070</t>
  </si>
  <si>
    <t>AURORA</t>
  </si>
  <si>
    <t>N18056</t>
  </si>
  <si>
    <t>BUFFALO GROVE</t>
  </si>
  <si>
    <t>N17890</t>
  </si>
  <si>
    <t>CHEMUNG</t>
  </si>
  <si>
    <t>N18693</t>
  </si>
  <si>
    <t>GENESEO</t>
  </si>
  <si>
    <t>N18268</t>
  </si>
  <si>
    <t>M15450</t>
  </si>
  <si>
    <t>PROVISO TWP</t>
  </si>
  <si>
    <t>M11560</t>
  </si>
  <si>
    <t>NORTHLAKE</t>
  </si>
  <si>
    <t>N12987</t>
  </si>
  <si>
    <t>N10173</t>
  </si>
  <si>
    <t>HAWTHORN WOODS</t>
  </si>
  <si>
    <t>Total</t>
  </si>
  <si>
    <t>SC18611</t>
  </si>
  <si>
    <t xml:space="preserve">SC21364 </t>
  </si>
  <si>
    <t>ST CHARLES</t>
  </si>
  <si>
    <t>`</t>
  </si>
  <si>
    <t>Mark Stanley</t>
  </si>
  <si>
    <t>N18640</t>
  </si>
  <si>
    <t>M14194</t>
  </si>
  <si>
    <t>SCHILLER PARK</t>
  </si>
  <si>
    <t>SC17551</t>
  </si>
  <si>
    <t>Taylor Lierow/Ethan Ekstrom</t>
  </si>
  <si>
    <t>SC23070-1</t>
  </si>
  <si>
    <t xml:space="preserve">N18640 </t>
  </si>
  <si>
    <t>SC24952</t>
  </si>
  <si>
    <t>BLOOMINGDALE</t>
  </si>
  <si>
    <t xml:space="preserve">16,237.50	</t>
  </si>
  <si>
    <t>N14359</t>
  </si>
  <si>
    <t>Barrington</t>
  </si>
  <si>
    <t>N12480</t>
  </si>
  <si>
    <t>CARPENTERSVILLE</t>
  </si>
  <si>
    <t>N18617</t>
  </si>
  <si>
    <t>MT MORRIS</t>
  </si>
  <si>
    <t>N17865</t>
  </si>
  <si>
    <t>SC24631</t>
  </si>
  <si>
    <t>N16744</t>
  </si>
  <si>
    <t>BARRINGTON</t>
  </si>
  <si>
    <t>N18692</t>
  </si>
  <si>
    <t>Randy Castellon/Caroline Kulach</t>
  </si>
  <si>
    <t>MONROE CENTER</t>
  </si>
  <si>
    <t>N13606</t>
  </si>
  <si>
    <t>STOCKTON</t>
  </si>
  <si>
    <t>JPB Notes</t>
  </si>
  <si>
    <t>Misc Completed Projects to be Billed</t>
  </si>
  <si>
    <t xml:space="preserve">N18056
N18056
SC19500
N18640 
M10905
M15450
</t>
  </si>
  <si>
    <t xml:space="preserve">Reimbursable conversations happening now with Nicor/DOT but anticipating to release this before 12/15 to bill in December. </t>
  </si>
  <si>
    <t>There's a chance this pushes to being released after 12/15 so it'll be up to us when to fully bill.</t>
  </si>
  <si>
    <t>ENG wants to wait for adjacent NBA to be finalized. Customer has not given load requirements yet.</t>
  </si>
  <si>
    <t>We just supported on this task due DOT delaying their construction. I can see this not being billed.</t>
  </si>
  <si>
    <t xml:space="preserve">Per call wtih Chip on 10/30, regardless of design he confirmed to keep task open for construction support. </t>
  </si>
  <si>
    <t>We only have about $3,6000 of KH effort right now, I assume shactee will come in with another $3,000. After internal commments and PAFC, I anticipate another $1,000.</t>
  </si>
  <si>
    <t xml:space="preserve">Reimburable convos are complete - should be released by mid-December. </t>
  </si>
  <si>
    <t>M16177</t>
  </si>
  <si>
    <t>SC19879</t>
  </si>
  <si>
    <t>M10905</t>
  </si>
  <si>
    <t xml:space="preserve">ENG wants to wait for adjacent NBA to be finalized. Customer has not given load requirements yet. There is a chance this could go up due to coordination with muliple departments on sizing and adjustments of the proposed vault due to Rivian improvements. </t>
  </si>
  <si>
    <t>SC24047</t>
  </si>
  <si>
    <t>N17081</t>
  </si>
  <si>
    <t>FREEPORT</t>
  </si>
  <si>
    <t xml:space="preserve">M15904 </t>
  </si>
  <si>
    <t>Marissa LaPorte</t>
  </si>
  <si>
    <t>MAYWOOD</t>
  </si>
  <si>
    <t>SC18359</t>
  </si>
  <si>
    <t>OSWEGO</t>
  </si>
  <si>
    <t>N18674</t>
  </si>
  <si>
    <t>Ethan Ekstrom</t>
  </si>
  <si>
    <t>N19030</t>
  </si>
  <si>
    <t>TBD</t>
  </si>
  <si>
    <t xml:space="preserve">TBD </t>
  </si>
  <si>
    <t>Cannot say right now as we are pending the UCM.</t>
  </si>
  <si>
    <t>M16016</t>
  </si>
  <si>
    <t>CHICAGO HEIGHTS</t>
  </si>
  <si>
    <t>N19002</t>
  </si>
  <si>
    <t>Taylor Lierow/Caroline Kulach</t>
  </si>
  <si>
    <t>OREGON</t>
  </si>
  <si>
    <t>SC25118</t>
  </si>
  <si>
    <t>WESTMONT</t>
  </si>
  <si>
    <t>SC23981</t>
  </si>
  <si>
    <t>WHEATLAND TWP</t>
  </si>
  <si>
    <t>SC18498</t>
  </si>
  <si>
    <t>WILMINGTON</t>
  </si>
  <si>
    <t>May not be a revision</t>
  </si>
  <si>
    <t xml:space="preserve">Joey: Need to discuss with Josh. </t>
  </si>
  <si>
    <t>M15904</t>
  </si>
  <si>
    <t>ROSEMONT</t>
  </si>
  <si>
    <t>Not anticipating updated plans until Fall 2025</t>
  </si>
  <si>
    <t>M16089</t>
  </si>
  <si>
    <t>OAK FOREST</t>
  </si>
  <si>
    <t>N14298</t>
  </si>
  <si>
    <t>STERLING</t>
  </si>
  <si>
    <t>HOURLY</t>
  </si>
  <si>
    <t>Task to remain open during construction of project.</t>
  </si>
  <si>
    <t xml:space="preserve">Eric Dina </t>
  </si>
  <si>
    <t>I don't see us billing this as we are just supporting coordination.</t>
  </si>
  <si>
    <t>Wilmington</t>
  </si>
  <si>
    <t>Amount previously billed</t>
  </si>
  <si>
    <t>Net Fee</t>
  </si>
  <si>
    <t xml:space="preserve">SC20245 </t>
  </si>
  <si>
    <t>Carol Stream</t>
  </si>
  <si>
    <t>N14359-1</t>
  </si>
  <si>
    <t>N18674-1</t>
  </si>
  <si>
    <t>N17865/-1</t>
  </si>
  <si>
    <t>Combining both WOs here</t>
  </si>
  <si>
    <t>Not scoped yet so hard to say</t>
  </si>
  <si>
    <t xml:space="preserve">February </t>
  </si>
  <si>
    <t>March</t>
  </si>
  <si>
    <t>April</t>
  </si>
  <si>
    <t>N14793 BID DOCS</t>
  </si>
  <si>
    <t>SC19500 REV2</t>
  </si>
  <si>
    <t>Hard to say the effort needed on this. I need to dive into this more and coordinate with Nicor/DOT but this is what I'm estimating for now.</t>
  </si>
  <si>
    <t>CAROL STREAM</t>
  </si>
  <si>
    <t>SC25418</t>
  </si>
  <si>
    <t>SC19879 REV3</t>
  </si>
  <si>
    <t>N18592</t>
  </si>
  <si>
    <t>MCHENRY</t>
  </si>
  <si>
    <t>N13645</t>
  </si>
  <si>
    <t>Pending UCM response.</t>
  </si>
  <si>
    <t>I anticipate IDOT not being able to confirm no conflict, so I think we'll have jumpers at 5 various locations.  300K is a rough estimate</t>
  </si>
  <si>
    <t>SC25031</t>
  </si>
  <si>
    <t>ROCKDALE</t>
  </si>
  <si>
    <t>N18492</t>
  </si>
  <si>
    <t>LONG GROVE</t>
  </si>
  <si>
    <t>Still pending UCM response, hard to say right now.</t>
  </si>
  <si>
    <t>I can likely see us not billing this as we are just supporting coordination.</t>
  </si>
  <si>
    <t>Billing Month</t>
  </si>
  <si>
    <t>Anticipated Net Fee</t>
  </si>
  <si>
    <t xml:space="preserve">DOT is getting potholes on this project so some relocation may go away. </t>
  </si>
  <si>
    <t>M16177 REV1</t>
  </si>
  <si>
    <t>MWH - Updated Developer Linework &amp; Reimbursable Estimate</t>
  </si>
  <si>
    <t>SC18611-1 REV1</t>
  </si>
  <si>
    <t>Pending roundabout plans.</t>
  </si>
  <si>
    <t>Going to need to redesign part of this project.</t>
  </si>
  <si>
    <t>SC25712</t>
  </si>
  <si>
    <t>PONTIAC</t>
  </si>
  <si>
    <t>SC25578</t>
  </si>
  <si>
    <t>MWH- I dont anticipate this being a conflict requiring relocation</t>
  </si>
  <si>
    <t>N17141</t>
  </si>
  <si>
    <t>HUNTLEY</t>
  </si>
  <si>
    <t>Marissa - I recommend entering RTE cost + $2k and entering a couple months out for the billing month.</t>
  </si>
  <si>
    <t>Comments</t>
  </si>
  <si>
    <t>M12594</t>
  </si>
  <si>
    <t>Caroline Kulach</t>
  </si>
  <si>
    <t>NILES</t>
  </si>
  <si>
    <t>Pending UCM Response</t>
  </si>
  <si>
    <t>M15194</t>
  </si>
  <si>
    <t>OAK PARK</t>
  </si>
  <si>
    <t>NOO.</t>
  </si>
  <si>
    <t>M15242-T</t>
  </si>
  <si>
    <t>BERWYN</t>
  </si>
  <si>
    <t>M15898-T</t>
  </si>
  <si>
    <t>Mitchell Pohlman</t>
  </si>
  <si>
    <t>GLENVIEW</t>
  </si>
  <si>
    <t>Negotiations, conflict analysis, close out</t>
  </si>
  <si>
    <t>M16521-T</t>
  </si>
  <si>
    <t>BENSENVILLE</t>
  </si>
  <si>
    <t>Effort will be pothole coordination to negotiate out of conflict</t>
  </si>
  <si>
    <t>This is estimated hourly effort including subconsultant costs</t>
  </si>
  <si>
    <t>Will be scoped end of April. This is estimated hourly effort including subconsultant costs</t>
  </si>
  <si>
    <t>N16744 NIS</t>
  </si>
  <si>
    <t>Crystal Lake</t>
  </si>
  <si>
    <t>MR Portion of Crystal Lake (8" replacement)</t>
  </si>
  <si>
    <t>N17019</t>
  </si>
  <si>
    <t>MT PROSPECT</t>
  </si>
  <si>
    <t>Will be scoped beginning of May</t>
  </si>
  <si>
    <t>Pending Reimbusrable Confirmation</t>
  </si>
  <si>
    <t>N17865-1</t>
  </si>
  <si>
    <t>N17865-T</t>
  </si>
  <si>
    <t>N17925</t>
  </si>
  <si>
    <t>N18293-T</t>
  </si>
  <si>
    <t>N BARRINGTON</t>
  </si>
  <si>
    <t>On hold.</t>
  </si>
  <si>
    <t>~3 sheets of PE jumpers, compared the cost to N16291</t>
  </si>
  <si>
    <t>~300' of 4" PE</t>
  </si>
  <si>
    <t>~800' of 2" PE</t>
  </si>
  <si>
    <t>N19216-T</t>
  </si>
  <si>
    <t>Ongoing access negotiations with Nicor depts. Pending PF plans.</t>
  </si>
  <si>
    <t>N19472</t>
  </si>
  <si>
    <t>HANOVER PARK</t>
  </si>
  <si>
    <t>Currently working on UCM</t>
  </si>
  <si>
    <t>N19637-T</t>
  </si>
  <si>
    <t>Pending potholes from ISTHA</t>
  </si>
  <si>
    <t>N19731</t>
  </si>
  <si>
    <t>MACHESNEY PARK</t>
  </si>
  <si>
    <t>Pending Pre-final plans</t>
  </si>
  <si>
    <t>ReDesign no longer necessary.</t>
  </si>
  <si>
    <t>Not anticipating updated plans until Spring 2025</t>
  </si>
  <si>
    <t>SC23843-T</t>
  </si>
  <si>
    <t>PILOT</t>
  </si>
  <si>
    <t>Effort will be coordinating with Land &amp; Engineering on proposed crossing for Wind Development</t>
  </si>
  <si>
    <t>SC24452-T</t>
  </si>
  <si>
    <t>Pending PF plans, potholes, locates.</t>
  </si>
  <si>
    <t>SC25259-T</t>
  </si>
  <si>
    <t>ELWOOD</t>
  </si>
  <si>
    <t>SC25330</t>
  </si>
  <si>
    <t>GRANT PARK</t>
  </si>
  <si>
    <t>SC25337-T</t>
  </si>
  <si>
    <t>Pending final NC items from developer.</t>
  </si>
  <si>
    <t>SC25507-T</t>
  </si>
  <si>
    <t>Pending analysis path forward confirmation from Nicor.</t>
  </si>
  <si>
    <t>-500' of 2" STL</t>
  </si>
  <si>
    <t>400' of 4" PE</t>
  </si>
  <si>
    <t>SC25811-T</t>
  </si>
  <si>
    <t>OAKBROOK TERRACE</t>
  </si>
  <si>
    <t>Effort will be coordinating with Land to review encroachment</t>
  </si>
  <si>
    <t>SC25957</t>
  </si>
  <si>
    <t>GILMAN</t>
  </si>
  <si>
    <t>Pending CAD files and initial information.</t>
  </si>
  <si>
    <t>Pending locates</t>
  </si>
  <si>
    <t>Redesign, in depth coordination with Village</t>
  </si>
  <si>
    <t>3 small jumpers - 2 with proposed casing</t>
  </si>
  <si>
    <t xml:space="preserve">Pending </t>
  </si>
  <si>
    <t>Progressing WO</t>
  </si>
  <si>
    <t>Release end of May</t>
  </si>
  <si>
    <t>Northlake</t>
  </si>
  <si>
    <t>Manteno</t>
  </si>
  <si>
    <t>Rosemont</t>
  </si>
  <si>
    <t>N17865 REV 1</t>
  </si>
  <si>
    <t>M15984</t>
  </si>
  <si>
    <t>Berwyn</t>
  </si>
  <si>
    <t>8" Jumpers, conservative estimate.  Pending Locates</t>
  </si>
  <si>
    <t>KH completing UCM to issue to DOT</t>
  </si>
  <si>
    <t>N15864</t>
  </si>
  <si>
    <t>Anticipate NOO</t>
  </si>
  <si>
    <t>N19534</t>
  </si>
  <si>
    <t>SC24663</t>
  </si>
  <si>
    <t>Release beginning of June</t>
  </si>
  <si>
    <t>SC25757</t>
  </si>
  <si>
    <t>SC25775</t>
  </si>
  <si>
    <t>SC25832</t>
  </si>
  <si>
    <t>BRADLEY</t>
  </si>
  <si>
    <t>1,300' of proposed 8" relocation</t>
  </si>
  <si>
    <t>SC25858</t>
  </si>
  <si>
    <t>Pending updated PF plans from DOT</t>
  </si>
  <si>
    <t>Large relocation along cook county road</t>
  </si>
  <si>
    <t>Pending UCM response</t>
  </si>
  <si>
    <t>Pending PF plans</t>
  </si>
  <si>
    <t>~300'/400' of 8" relocation</t>
  </si>
  <si>
    <t>Anticipate coordination with Engineering, Land, &amp; Corrosion to close project out</t>
  </si>
  <si>
    <t>Pending PF plans; KH coordinating reimbursable work with Nicor.</t>
  </si>
  <si>
    <t>SC25188</t>
  </si>
  <si>
    <t>Multiple jumpers with a lot of removal</t>
  </si>
  <si>
    <t>Anticipate coordination with Engineering &amp; Land to close out project</t>
  </si>
  <si>
    <t>SC25745</t>
  </si>
  <si>
    <t>FORD HEIGHTS</t>
  </si>
  <si>
    <t>SC25777</t>
  </si>
  <si>
    <t>Anticpate NOO with Transmission Section</t>
  </si>
  <si>
    <t>3 2" Jumpers, conservative estimate.</t>
  </si>
  <si>
    <t>Anticpate NOO with Transmission Section, coordination needed for potholes.</t>
  </si>
  <si>
    <t>Phase 2 (800' of 2" PE relocation). Pending confirmation on 90' of 8" STL jumper</t>
  </si>
  <si>
    <t>This might be NOO. LMK if you want to change this cost</t>
  </si>
  <si>
    <t xml:space="preserve">Minor conflicts. If unable to adjsut from UCM to be provided on 6/18, i anticipate this cost to be higher. </t>
  </si>
  <si>
    <t>2 sheet 2" PE relocation, releasing at EOM June.</t>
  </si>
  <si>
    <t>Smaller relocation scope</t>
  </si>
  <si>
    <t>Pending finalized plans</t>
  </si>
  <si>
    <t>Anticipating release in June</t>
  </si>
  <si>
    <t xml:space="preserve">This may be NOO, however we may be able to make this hourly for the work done. </t>
  </si>
  <si>
    <t xml:space="preserve">Potential scope depends on SC25775 meeting </t>
  </si>
  <si>
    <t>Pending PF plans, expected in late Summer or early Fall.</t>
  </si>
  <si>
    <t>~2,900' of 2" PE</t>
  </si>
  <si>
    <t>Caroline/Taylor</t>
  </si>
  <si>
    <t>Cost estimate meeting 6/18</t>
  </si>
  <si>
    <t>Caroline Kulach/Matt Hopkins</t>
  </si>
  <si>
    <t>1,000' 2" PE Relocation</t>
  </si>
  <si>
    <t>Pending scope meeting scheduled for 6/16</t>
  </si>
  <si>
    <t>Pending developer plans</t>
  </si>
  <si>
    <t>Project Location Code</t>
  </si>
  <si>
    <t>T&amp;M -Pending finalized drainage and grading plans.</t>
  </si>
  <si>
    <t>Pending plans to know how much main is in conflict.</t>
  </si>
  <si>
    <t>Pending final UCM confirmation</t>
  </si>
  <si>
    <t>8" and 6" install</t>
  </si>
  <si>
    <t>2" install</t>
  </si>
  <si>
    <t>Potential 2" Stream relocaiton</t>
  </si>
  <si>
    <t xml:space="preserve">No relocation - Nicor negotating reimbursment for prootection around vault. </t>
  </si>
  <si>
    <t>T&amp;M -</t>
  </si>
  <si>
    <t>SC25895-T</t>
  </si>
  <si>
    <t>SC26238</t>
  </si>
  <si>
    <t xml:space="preserve">No relocation anticipated. Pending MAOP verification to complete final blas analysis. </t>
  </si>
  <si>
    <t>Pending UCM response, 3 2" PE jumpers at minimum</t>
  </si>
  <si>
    <t>N19953</t>
  </si>
  <si>
    <t>Anticipate 6" jumper required in addition to retirement.  Pending potholes to confirm scope</t>
  </si>
  <si>
    <t>N19953-T</t>
  </si>
  <si>
    <t>T&amp;M - Coordination for 20" TR line</t>
  </si>
  <si>
    <t>T&amp;M - JPB UPDATED FEE NUMBER TO ACCOUNT FOR HOURLY CONVERSION</t>
  </si>
  <si>
    <t>T&amp;M - Finalizing for release.</t>
  </si>
  <si>
    <t>Large open cut section</t>
  </si>
  <si>
    <t>N17865-T/-1</t>
  </si>
  <si>
    <t>T&amp;M - We are only going to be able to bill ~20-25% of our effort</t>
  </si>
  <si>
    <t>T&amp;M - Pending developer's confirmation on clearances, then release as NOO.</t>
  </si>
  <si>
    <t>T&amp;M - pending Nicor confirmation to close.</t>
  </si>
  <si>
    <t xml:space="preserve">Closing out project as NOO. </t>
  </si>
  <si>
    <t>N14920</t>
  </si>
  <si>
    <t>T&amp;M</t>
  </si>
  <si>
    <t>T&amp;M - This is the NIS portion for Crystal Lake</t>
  </si>
  <si>
    <t xml:space="preserve">This will most likely be NOO. </t>
  </si>
  <si>
    <t>Pending Pre-Final plans, anticipated in September.</t>
  </si>
  <si>
    <t>N18185</t>
  </si>
  <si>
    <t>Anticipate releasing in December, will send date extension after UCM is sent.</t>
  </si>
  <si>
    <t>This tab will produce an updated list of the unique engineering numbers listed in the referenced spreadsheets</t>
  </si>
  <si>
    <t>Nicor DI Project Status DOT Projects</t>
  </si>
  <si>
    <t>Nicor DI Project Status T&amp;M</t>
  </si>
  <si>
    <t>Nicor TR Project Status DOT TR</t>
  </si>
  <si>
    <t>Nicor TR Project Status T&amp;M</t>
  </si>
  <si>
    <t>New Lenox</t>
  </si>
  <si>
    <t>Released 8/12</t>
  </si>
  <si>
    <t>Plainfield</t>
  </si>
  <si>
    <t>Negotiated Out Of on 8/13</t>
  </si>
  <si>
    <t>Prospect Heights</t>
  </si>
  <si>
    <t>Hawthorn Woods</t>
  </si>
  <si>
    <t>Shactee to provide cost estimate</t>
  </si>
  <si>
    <t xml:space="preserve">Project might be NOO, or reduced scope. </t>
  </si>
  <si>
    <t>N17936</t>
  </si>
  <si>
    <t>Locates due back EOD 8/14, locates to determine NOO or scope.</t>
  </si>
  <si>
    <t>Rate base.</t>
  </si>
  <si>
    <t>NIS.</t>
  </si>
  <si>
    <t>Pending UCM</t>
  </si>
  <si>
    <t>M16521</t>
  </si>
  <si>
    <t>Detailed Analysis phase pending plans, no cost yet. 20'' TR portion most likely to be NOO.</t>
  </si>
  <si>
    <t>M12980</t>
  </si>
  <si>
    <t xml:space="preserve">Pending prefinal plans, assuming scope reduced as well. </t>
  </si>
  <si>
    <t>Pending developer plans to determine relocation scope. RGC Update: Truly unkown, most likely to be a relocation. No preliminary plans provided.</t>
  </si>
  <si>
    <t>SC20310</t>
  </si>
  <si>
    <t>Pending Pre-final plans, 4" mop in potential conflict with box culvert. Helix locates showed deeper than culver though.</t>
  </si>
  <si>
    <t>SC24323</t>
  </si>
  <si>
    <t>Prefinal anticipated October 2025.</t>
  </si>
  <si>
    <t>SC25268</t>
  </si>
  <si>
    <t>N13882</t>
  </si>
  <si>
    <t xml:space="preserve">Pending pre-final plans this fall/winter. This estiamte is based off 4" relo only, assuming the full true relocation may offset costs. </t>
  </si>
  <si>
    <t>SC18317</t>
  </si>
  <si>
    <t>Pending Preliminary plans - gas main attached to bridge will need to be relocated.</t>
  </si>
  <si>
    <t>N14644</t>
  </si>
  <si>
    <t>Prelim 2 mi roadway reconstruction project/prefinal anticipated July 2026.</t>
  </si>
  <si>
    <t>September</t>
  </si>
  <si>
    <t>August</t>
  </si>
  <si>
    <t>Difference</t>
  </si>
  <si>
    <t>Fee</t>
  </si>
  <si>
    <t>Increase</t>
  </si>
  <si>
    <t>50k CL</t>
  </si>
  <si>
    <t>15k</t>
  </si>
  <si>
    <t>Decrease</t>
  </si>
  <si>
    <t>12.5k</t>
  </si>
  <si>
    <t>25k</t>
  </si>
  <si>
    <t>5k</t>
  </si>
  <si>
    <t>45k</t>
  </si>
  <si>
    <t>LaGrange</t>
  </si>
  <si>
    <t xml:space="preserve">Increase </t>
  </si>
  <si>
    <t>40k</t>
  </si>
  <si>
    <t>Machesney</t>
  </si>
  <si>
    <t>Arlington</t>
  </si>
  <si>
    <t>SC25188-1</t>
  </si>
  <si>
    <t>N20224</t>
  </si>
  <si>
    <t>Hanover Park</t>
  </si>
  <si>
    <t>N19472 (ADA)</t>
  </si>
  <si>
    <t>October</t>
  </si>
  <si>
    <t>Filled out on behalf of Camille</t>
  </si>
  <si>
    <t>From PCTS estimate</t>
  </si>
  <si>
    <t>ADA</t>
  </si>
  <si>
    <t>Reduced scope led to cost estimate decrease</t>
  </si>
  <si>
    <t>A street of services no longer need to be transferred over - anticipated cost decreased from past months.</t>
  </si>
  <si>
    <t>Design pending several items, including easement feasability. High level anticipated cost. Nicor isnt pushing on this one too much so anticipating this going into next year.</t>
  </si>
  <si>
    <t xml:space="preserve">Project scope not confirmed, may not become a relocation. </t>
  </si>
  <si>
    <t>Non-reimbursable</t>
  </si>
  <si>
    <t>Reimbursable, pending reimbursement coordination between Nicor and project owner (BNWRD)</t>
  </si>
  <si>
    <t xml:space="preserve"> </t>
  </si>
  <si>
    <t>-</t>
  </si>
  <si>
    <t>Rate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</si>
</sst>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quot;$&quot;#,##0.0"/>
    <numFmt numFmtId="166" formatCode="_([$$-409]* #,##0.00_);_([$$-409]* \(#,##0.00\);_([$$-409]* &quot;-&quot;??_);_(@_)"/>
  </numFmts>
  <fonts count="12" x14ac:knownFonts="1">
    <font>
      <sz val="11"/>
      <color theme="1"/>
      <name val="Calibri"/>
      <family val="2"/>
      <scheme val="minor"/>
    </font>
    <font>
      <b/>
      <sz val="11"/>
      <color rgb="FFFFFFFF"/>
      <name val="Calibri"/>
      <family val="2"/>
      <scheme val="minor"/>
    </font>
    <font>
      <sz val="11"/>
      <color rgb="FF000000"/>
      <name val="Calibri"/>
      <family val="2"/>
      <scheme val="minor"/>
    </font>
    <font>
      <sz val="11"/>
      <color rgb="FF000000"/>
      <name val="Calibri"/>
      <family val="2"/>
    </font>
    <font>
      <b/>
      <sz val="11"/>
      <color theme="1"/>
      <name val="Calibri"/>
      <family val="2"/>
      <scheme val="minor"/>
    </font>
    <font>
      <b/>
      <sz val="11"/>
      <color theme="0"/>
      <name val="Calibri"/>
      <family val="2"/>
      <scheme val="minor"/>
    </font>
    <font>
      <b/>
      <u/>
      <sz val="11"/>
      <color theme="1"/>
      <name val="Calibri"/>
      <family val="2"/>
      <scheme val="minor"/>
    </font>
    <font>
      <sz val="9"/>
      <color indexed="81"/>
      <name val="Tahoma"/>
      <family val="2"/>
    </font>
    <font>
      <sz val="11"/>
      <color theme="1"/>
      <name val="Calibri"/>
      <family val="2"/>
      <scheme val="minor"/>
    </font>
    <font>
      <b/>
      <sz val="11"/>
      <color rgb="FF000000"/>
      <name val="Calibri"/>
      <family val="2"/>
      <scheme val="minor"/>
    </font>
    <font>
      <sz val="11"/>
      <name val="Calibri"/>
      <family val="2"/>
      <scheme val="minor"/>
    </font>
    <font>
      <b/>
      <sz val="11"/>
      <name val="Calibri"/>
      <family val="2"/>
      <scheme val="minor"/>
    </font>
  </fonts>
  <fills count="16">
    <fill>
      <patternFill patternType="none"/>
    </fill>
    <fill>
      <patternFill patternType="gray125"/>
    </fill>
    <fill>
      <patternFill patternType="solid">
        <fgColor rgb="FF4F81BD"/>
        <bgColor rgb="FF4F81BD"/>
      </patternFill>
    </fill>
    <fill>
      <patternFill patternType="solid">
        <fgColor rgb="FFDCE6F1"/>
        <bgColor rgb="FFDCE6F1"/>
      </patternFill>
    </fill>
    <fill>
      <patternFill patternType="solid">
        <fgColor rgb="FFFF0000"/>
        <bgColor indexed="64"/>
      </patternFill>
    </fill>
    <fill>
      <patternFill patternType="solid">
        <fgColor rgb="FF00B0F0"/>
        <bgColor indexed="64"/>
      </patternFill>
    </fill>
    <fill>
      <patternFill patternType="solid">
        <fgColor rgb="FF7030A0"/>
        <bgColor indexed="64"/>
      </patternFill>
    </fill>
    <fill>
      <patternFill patternType="solid">
        <fgColor rgb="FFFFFF00"/>
        <bgColor indexed="64"/>
      </patternFill>
    </fill>
    <fill>
      <patternFill patternType="solid">
        <fgColor rgb="FF92D050"/>
        <bgColor indexed="64"/>
      </patternFill>
    </fill>
    <fill>
      <patternFill patternType="solid">
        <fgColor theme="4"/>
        <bgColor theme="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tint="-0.499984740745262"/>
        <bgColor indexed="64"/>
      </patternFill>
    </fill>
    <fill>
      <patternFill patternType="solid">
        <fgColor theme="2" tint="-0.249977111117893"/>
        <bgColor indexed="64"/>
      </patternFill>
    </fill>
    <fill>
      <patternFill patternType="solid">
        <fgColor theme="4" tint="0.79998168889431442"/>
        <bgColor theme="4" tint="0.79998168889431442"/>
      </patternFill>
    </fill>
    <fill>
      <patternFill patternType="solid">
        <fgColor theme="5" tint="0.79998168889431442"/>
        <bgColor theme="5" tint="0.79998168889431442"/>
      </patternFill>
    </fill>
  </fills>
  <borders count="30">
    <border>
      <left/>
      <right/>
      <top/>
      <bottom/>
      <diagonal/>
    </border>
    <border>
      <left/>
      <right/>
      <top style="thin">
        <color rgb="FF95B3D7"/>
      </top>
      <bottom/>
      <diagonal/>
    </border>
    <border>
      <left/>
      <right/>
      <top/>
      <bottom style="thin">
        <color rgb="FF95B3D7"/>
      </bottom>
      <diagonal/>
    </border>
    <border>
      <left/>
      <right/>
      <top style="thin">
        <color rgb="FF95B3D7"/>
      </top>
      <bottom style="thin">
        <color rgb="FF95B3D7"/>
      </bottom>
      <diagonal/>
    </border>
    <border>
      <left/>
      <right/>
      <top style="thin">
        <color theme="4" tint="0.39997558519241921"/>
      </top>
      <bottom style="thin">
        <color theme="4" tint="0.39997558519241921"/>
      </bottom>
      <diagonal/>
    </border>
    <border>
      <left/>
      <right/>
      <top style="thin">
        <color theme="4" tint="0.39994506668294322"/>
      </top>
      <bottom/>
      <diagonal/>
    </border>
    <border>
      <left/>
      <right/>
      <top style="thin">
        <color theme="4" tint="0.39994506668294322"/>
      </top>
      <bottom style="thin">
        <color theme="4" tint="0.39994506668294322"/>
      </bottom>
      <diagonal/>
    </border>
    <border>
      <left style="thin">
        <color rgb="FF000000"/>
      </left>
      <right style="thin">
        <color rgb="FF000000"/>
      </right>
      <top style="thin">
        <color rgb="FF000000"/>
      </top>
      <bottom style="thin">
        <color rgb="FF000000"/>
      </bottom>
      <diagonal/>
    </border>
    <border>
      <left style="thin">
        <color theme="4" tint="0.39997558519241921"/>
      </left>
      <right/>
      <top style="thin">
        <color rgb="FF95B3D7"/>
      </top>
      <bottom style="thin">
        <color theme="4" tint="0.39997558519241921"/>
      </bottom>
      <diagonal/>
    </border>
    <border>
      <left/>
      <right/>
      <top style="thin">
        <color rgb="FF95B3D7"/>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rgb="FF95B3D7"/>
      </bottom>
      <diagonal/>
    </border>
    <border>
      <left/>
      <right/>
      <top style="thin">
        <color theme="4" tint="0.39997558519241921"/>
      </top>
      <bottom style="thin">
        <color rgb="FF95B3D7"/>
      </bottom>
      <diagonal/>
    </border>
    <border>
      <left style="thin">
        <color theme="4" tint="0.39997558519241921"/>
      </left>
      <right/>
      <top style="thin">
        <color rgb="FF95B3D7"/>
      </top>
      <bottom style="thin">
        <color rgb="FF95B3D7"/>
      </bottom>
      <diagonal/>
    </border>
    <border>
      <left/>
      <right/>
      <top style="thin">
        <color theme="4" tint="0.39994506668294322"/>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indexed="64"/>
      </top>
      <bottom style="thin">
        <color theme="4" tint="0.39997558519241921"/>
      </bottom>
      <diagonal/>
    </border>
    <border>
      <left/>
      <right/>
      <top style="thin">
        <color indexed="64"/>
      </top>
      <bottom style="thin">
        <color theme="4" tint="0.39997558519241921"/>
      </bottom>
      <diagonal/>
    </border>
    <border>
      <left/>
      <right style="thin">
        <color theme="4" tint="0.39997558519241921"/>
      </right>
      <top style="thin">
        <color indexed="64"/>
      </top>
      <bottom style="thin">
        <color theme="4" tint="0.39997558519241921"/>
      </bottom>
      <diagonal/>
    </border>
    <border>
      <left/>
      <right/>
      <top style="thin">
        <color theme="5" tint="0.39997558519241921"/>
      </top>
      <bottom style="thin">
        <color theme="5" tint="0.39997558519241921"/>
      </bottom>
      <diagonal/>
    </border>
    <border>
      <left/>
      <right/>
      <top style="thin">
        <color theme="7" tint="0.39994506668294322"/>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4" fontId="8" fillId="0" borderId="0" applyFont="0" applyFill="0" applyBorder="0" applyAlignment="0" applyProtection="0"/>
  </cellStyleXfs>
  <cellXfs count="258">
    <xf numFmtId="0" fontId="0" fillId="0" borderId="0" xfId="0"/>
    <xf numFmtId="0" fontId="1" fillId="2" borderId="1" xfId="0" applyFont="1" applyFill="1" applyBorder="1" applyAlignment="1">
      <alignment horizontal="center" wrapText="1"/>
    </xf>
    <xf numFmtId="0" fontId="1" fillId="2" borderId="0" xfId="0" applyFont="1" applyFill="1" applyAlignment="1">
      <alignment horizontal="center" wrapText="1"/>
    </xf>
    <xf numFmtId="0" fontId="2" fillId="3" borderId="2" xfId="0" applyFont="1" applyFill="1" applyBorder="1" applyAlignment="1">
      <alignment horizontal="left" wrapText="1"/>
    </xf>
    <xf numFmtId="14" fontId="0" fillId="0" borderId="0" xfId="0" applyNumberFormat="1" applyAlignment="1">
      <alignment horizontal="left"/>
    </xf>
    <xf numFmtId="164" fontId="0" fillId="0" borderId="0" xfId="0" applyNumberFormat="1" applyAlignment="1">
      <alignment horizontal="left"/>
    </xf>
    <xf numFmtId="165" fontId="2" fillId="0" borderId="0" xfId="0" applyNumberFormat="1" applyFont="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left"/>
    </xf>
    <xf numFmtId="0" fontId="2" fillId="0" borderId="0" xfId="0" applyFont="1" applyAlignment="1">
      <alignment horizontal="left" wrapText="1"/>
    </xf>
    <xf numFmtId="0" fontId="2" fillId="0" borderId="0" xfId="0" applyFont="1" applyAlignment="1">
      <alignment horizontal="left"/>
    </xf>
    <xf numFmtId="165" fontId="2" fillId="4" borderId="0" xfId="0" applyNumberFormat="1" applyFont="1" applyFill="1" applyAlignment="1">
      <alignment horizontal="left" wrapText="1"/>
    </xf>
    <xf numFmtId="14" fontId="0" fillId="4" borderId="0" xfId="0" applyNumberFormat="1" applyFill="1" applyAlignment="1">
      <alignment horizontal="left"/>
    </xf>
    <xf numFmtId="0" fontId="3" fillId="0" borderId="3" xfId="0" applyFont="1" applyBorder="1" applyAlignment="1">
      <alignment wrapText="1"/>
    </xf>
    <xf numFmtId="165" fontId="2" fillId="4" borderId="2" xfId="0" applyNumberFormat="1" applyFont="1" applyFill="1" applyBorder="1" applyAlignment="1">
      <alignment horizontal="left" wrapText="1"/>
    </xf>
    <xf numFmtId="165" fontId="2" fillId="0" borderId="2" xfId="0" applyNumberFormat="1" applyFont="1" applyBorder="1" applyAlignment="1">
      <alignment horizontal="left" wrapText="1"/>
    </xf>
    <xf numFmtId="14" fontId="0" fillId="5" borderId="0" xfId="0" applyNumberFormat="1" applyFill="1" applyAlignment="1">
      <alignment horizontal="left"/>
    </xf>
    <xf numFmtId="164" fontId="0" fillId="5" borderId="0" xfId="0" applyNumberFormat="1" applyFill="1" applyAlignment="1">
      <alignment horizontal="left"/>
    </xf>
    <xf numFmtId="165" fontId="2" fillId="5" borderId="0" xfId="0" applyNumberFormat="1" applyFont="1" applyFill="1" applyAlignment="1">
      <alignment horizontal="left" wrapText="1"/>
    </xf>
    <xf numFmtId="0" fontId="2" fillId="3" borderId="2" xfId="0" applyFont="1" applyFill="1" applyBorder="1" applyAlignment="1">
      <alignment wrapText="1"/>
    </xf>
    <xf numFmtId="0" fontId="2" fillId="0" borderId="2" xfId="0" applyFont="1" applyBorder="1" applyAlignment="1">
      <alignment wrapText="1"/>
    </xf>
    <xf numFmtId="0" fontId="2" fillId="0" borderId="0" xfId="0" applyFont="1"/>
    <xf numFmtId="0" fontId="2" fillId="0" borderId="0" xfId="0" applyFont="1" applyAlignment="1">
      <alignment wrapText="1"/>
    </xf>
    <xf numFmtId="0" fontId="2" fillId="0" borderId="2" xfId="0" applyFont="1" applyBorder="1"/>
    <xf numFmtId="0" fontId="2" fillId="3" borderId="0" xfId="0" applyFont="1" applyFill="1" applyAlignment="1">
      <alignment wrapText="1"/>
    </xf>
    <xf numFmtId="14" fontId="2" fillId="5" borderId="0" xfId="0" applyNumberFormat="1" applyFont="1" applyFill="1" applyAlignment="1">
      <alignment horizontal="left"/>
    </xf>
    <xf numFmtId="164" fontId="2" fillId="5" borderId="0" xfId="0" applyNumberFormat="1" applyFont="1" applyFill="1" applyAlignment="1">
      <alignment horizontal="left"/>
    </xf>
    <xf numFmtId="165" fontId="2" fillId="5" borderId="2" xfId="0" applyNumberFormat="1" applyFont="1" applyFill="1" applyBorder="1" applyAlignment="1">
      <alignment horizontal="left" wrapText="1"/>
    </xf>
    <xf numFmtId="49" fontId="0" fillId="0" borderId="5" xfId="0" applyNumberFormat="1" applyBorder="1" applyAlignment="1">
      <alignment wrapText="1"/>
    </xf>
    <xf numFmtId="49" fontId="0" fillId="0" borderId="6" xfId="0" applyNumberFormat="1" applyBorder="1" applyAlignment="1">
      <alignment wrapText="1"/>
    </xf>
    <xf numFmtId="49" fontId="2" fillId="0" borderId="5" xfId="0" applyNumberFormat="1" applyFont="1" applyBorder="1" applyAlignment="1">
      <alignment wrapText="1"/>
    </xf>
    <xf numFmtId="49" fontId="2" fillId="0" borderId="6" xfId="0" applyNumberFormat="1" applyFont="1" applyBorder="1" applyAlignment="1">
      <alignment wrapText="1"/>
    </xf>
    <xf numFmtId="0" fontId="0" fillId="0" borderId="0" xfId="0" applyAlignment="1">
      <alignment wrapText="1"/>
    </xf>
    <xf numFmtId="49" fontId="0" fillId="0" borderId="0" xfId="0" applyNumberFormat="1"/>
    <xf numFmtId="166" fontId="0" fillId="0" borderId="0" xfId="0" applyNumberFormat="1"/>
    <xf numFmtId="14" fontId="0" fillId="0" borderId="7" xfId="0" applyNumberFormat="1" applyBorder="1"/>
    <xf numFmtId="166" fontId="0" fillId="0" borderId="7" xfId="0" applyNumberFormat="1" applyBorder="1"/>
    <xf numFmtId="0" fontId="0" fillId="0" borderId="5" xfId="0" applyBorder="1"/>
    <xf numFmtId="49" fontId="0" fillId="0" borderId="0" xfId="0" applyNumberFormat="1" applyAlignment="1">
      <alignment wrapText="1"/>
    </xf>
    <xf numFmtId="0" fontId="0" fillId="0" borderId="6" xfId="0" applyBorder="1"/>
    <xf numFmtId="49" fontId="2" fillId="0" borderId="5" xfId="0" applyNumberFormat="1" applyFont="1" applyBorder="1" applyAlignment="1">
      <alignment horizontal="left" wrapText="1"/>
    </xf>
    <xf numFmtId="0" fontId="0" fillId="0" borderId="2" xfId="0" applyBorder="1"/>
    <xf numFmtId="49" fontId="0" fillId="0" borderId="5" xfId="0" applyNumberFormat="1" applyBorder="1"/>
    <xf numFmtId="49" fontId="0" fillId="0" borderId="4" xfId="0" applyNumberFormat="1" applyBorder="1" applyAlignment="1">
      <alignment wrapText="1"/>
    </xf>
    <xf numFmtId="0" fontId="0" fillId="0" borderId="5" xfId="0" applyBorder="1" applyAlignment="1">
      <alignment wrapText="1"/>
    </xf>
    <xf numFmtId="49" fontId="2" fillId="0" borderId="0" xfId="0" applyNumberFormat="1" applyFont="1" applyAlignment="1">
      <alignment wrapText="1"/>
    </xf>
    <xf numFmtId="0" fontId="0" fillId="0" borderId="6" xfId="0" applyBorder="1" applyAlignment="1">
      <alignment wrapText="1"/>
    </xf>
    <xf numFmtId="0" fontId="0" fillId="0" borderId="2" xfId="0" applyBorder="1" applyAlignment="1">
      <alignment wrapText="1"/>
    </xf>
    <xf numFmtId="49" fontId="2" fillId="0" borderId="4" xfId="0" applyNumberFormat="1" applyFont="1" applyBorder="1" applyAlignment="1">
      <alignment wrapText="1"/>
    </xf>
    <xf numFmtId="166" fontId="0" fillId="0" borderId="7" xfId="0" applyNumberFormat="1" applyBorder="1" applyAlignment="1">
      <alignment horizontal="right"/>
    </xf>
    <xf numFmtId="49" fontId="0" fillId="0" borderId="3" xfId="0" applyNumberFormat="1" applyBorder="1" applyAlignment="1">
      <alignment wrapText="1"/>
    </xf>
    <xf numFmtId="49" fontId="2" fillId="0" borderId="3" xfId="0" applyNumberFormat="1" applyFont="1" applyBorder="1" applyAlignment="1">
      <alignment wrapText="1"/>
    </xf>
    <xf numFmtId="0" fontId="0" fillId="0" borderId="3" xfId="0" applyBorder="1"/>
    <xf numFmtId="0" fontId="0" fillId="0" borderId="3" xfId="0" applyBorder="1" applyAlignment="1">
      <alignment wrapText="1"/>
    </xf>
    <xf numFmtId="49" fontId="0" fillId="0" borderId="3" xfId="0" applyNumberFormat="1" applyBorder="1"/>
    <xf numFmtId="0" fontId="2" fillId="0" borderId="3" xfId="0" applyFont="1" applyBorder="1" applyAlignment="1">
      <alignment horizontal="left" wrapText="1"/>
    </xf>
    <xf numFmtId="49" fontId="0" fillId="0" borderId="2" xfId="0" applyNumberFormat="1" applyBorder="1" applyAlignment="1">
      <alignment wrapText="1"/>
    </xf>
    <xf numFmtId="49" fontId="2" fillId="0" borderId="2" xfId="0" applyNumberFormat="1" applyFont="1" applyBorder="1" applyAlignment="1">
      <alignment wrapText="1"/>
    </xf>
    <xf numFmtId="0" fontId="0" fillId="6" borderId="3" xfId="0" applyFill="1" applyBorder="1"/>
    <xf numFmtId="0" fontId="2" fillId="6" borderId="3" xfId="0" applyFont="1" applyFill="1" applyBorder="1" applyAlignment="1">
      <alignment horizontal="left" wrapText="1"/>
    </xf>
    <xf numFmtId="49" fontId="0" fillId="6" borderId="3" xfId="0" applyNumberFormat="1" applyFill="1" applyBorder="1" applyAlignment="1">
      <alignment wrapText="1"/>
    </xf>
    <xf numFmtId="14" fontId="0" fillId="7" borderId="0" xfId="0" applyNumberFormat="1" applyFill="1" applyAlignment="1">
      <alignment horizontal="left"/>
    </xf>
    <xf numFmtId="14" fontId="2" fillId="7" borderId="0" xfId="0" applyNumberFormat="1" applyFont="1" applyFill="1" applyAlignment="1">
      <alignment horizontal="left"/>
    </xf>
    <xf numFmtId="164" fontId="2" fillId="7" borderId="0" xfId="0" applyNumberFormat="1" applyFont="1" applyFill="1" applyAlignment="1">
      <alignment horizontal="left"/>
    </xf>
    <xf numFmtId="164" fontId="0" fillId="7" borderId="0" xfId="0" applyNumberFormat="1" applyFill="1" applyAlignment="1">
      <alignment horizontal="left"/>
    </xf>
    <xf numFmtId="165" fontId="2" fillId="7" borderId="2" xfId="0" applyNumberFormat="1" applyFont="1" applyFill="1" applyBorder="1" applyAlignment="1">
      <alignment horizontal="left" wrapText="1"/>
    </xf>
    <xf numFmtId="165" fontId="2" fillId="7" borderId="0" xfId="0" applyNumberFormat="1" applyFont="1" applyFill="1" applyAlignment="1">
      <alignment horizontal="left" wrapText="1"/>
    </xf>
    <xf numFmtId="0" fontId="2" fillId="0" borderId="0" xfId="0" applyFont="1" applyAlignment="1">
      <alignment horizontal="left" vertical="top" wrapText="1"/>
    </xf>
    <xf numFmtId="0" fontId="0" fillId="5" borderId="2" xfId="0" applyFill="1" applyBorder="1"/>
    <xf numFmtId="49" fontId="0" fillId="0" borderId="2" xfId="0" applyNumberFormat="1" applyBorder="1"/>
    <xf numFmtId="49" fontId="2" fillId="0" borderId="3" xfId="0" applyNumberFormat="1" applyFont="1" applyBorder="1" applyAlignment="1">
      <alignment horizontal="left" wrapText="1"/>
    </xf>
    <xf numFmtId="49" fontId="2" fillId="0" borderId="3" xfId="0" applyNumberFormat="1" applyFont="1" applyBorder="1" applyAlignment="1">
      <alignment horizontal="left" vertical="top" wrapText="1"/>
    </xf>
    <xf numFmtId="0" fontId="0" fillId="0" borderId="0" xfId="0" applyAlignment="1">
      <alignment vertical="top" wrapText="1"/>
    </xf>
    <xf numFmtId="0" fontId="2" fillId="0" borderId="2" xfId="0" applyFont="1" applyBorder="1" applyAlignment="1">
      <alignment horizontal="left" vertical="top" wrapText="1"/>
    </xf>
    <xf numFmtId="49" fontId="2" fillId="0" borderId="0" xfId="0" applyNumberFormat="1" applyFont="1" applyAlignment="1">
      <alignment horizontal="left" wrapText="1"/>
    </xf>
    <xf numFmtId="0" fontId="2" fillId="7" borderId="0" xfId="0" applyFont="1" applyFill="1" applyAlignment="1">
      <alignment horizontal="left" vertical="top" wrapText="1"/>
    </xf>
    <xf numFmtId="0" fontId="0" fillId="0" borderId="4" xfId="0" applyBorder="1"/>
    <xf numFmtId="49" fontId="2" fillId="0" borderId="0" xfId="0" applyNumberFormat="1" applyFont="1" applyAlignment="1">
      <alignment vertical="top" wrapText="1"/>
    </xf>
    <xf numFmtId="0" fontId="0" fillId="0" borderId="4" xfId="0" applyBorder="1" applyAlignment="1">
      <alignment vertical="top" wrapText="1"/>
    </xf>
    <xf numFmtId="49" fontId="0" fillId="0" borderId="0" xfId="0" applyNumberFormat="1" applyAlignment="1">
      <alignment vertical="top"/>
    </xf>
    <xf numFmtId="0" fontId="2" fillId="0" borderId="5" xfId="0" applyFont="1" applyBorder="1" applyAlignment="1">
      <alignment horizontal="left" wrapText="1"/>
    </xf>
    <xf numFmtId="0" fontId="2" fillId="0" borderId="5" xfId="0" applyFont="1" applyBorder="1" applyAlignment="1">
      <alignment horizontal="left" vertical="top" wrapText="1"/>
    </xf>
    <xf numFmtId="0" fontId="2" fillId="5" borderId="0" xfId="0" applyFont="1" applyFill="1" applyAlignment="1">
      <alignment horizontal="left" vertical="top" wrapText="1"/>
    </xf>
    <xf numFmtId="14" fontId="4" fillId="0" borderId="0" xfId="0" applyNumberFormat="1" applyFont="1"/>
    <xf numFmtId="166" fontId="4" fillId="0" borderId="0" xfId="0" applyNumberFormat="1" applyFont="1"/>
    <xf numFmtId="0" fontId="2" fillId="5" borderId="0" xfId="0" applyFont="1" applyFill="1" applyAlignment="1">
      <alignment horizontal="left" wrapText="1"/>
    </xf>
    <xf numFmtId="165" fontId="2" fillId="8" borderId="2" xfId="0" applyNumberFormat="1" applyFont="1" applyFill="1" applyBorder="1" applyAlignment="1">
      <alignment horizontal="left" wrapText="1"/>
    </xf>
    <xf numFmtId="164" fontId="0" fillId="8" borderId="0" xfId="0" applyNumberFormat="1" applyFill="1" applyAlignment="1">
      <alignment horizontal="left"/>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5" fillId="9" borderId="4" xfId="0" applyFont="1" applyFill="1" applyBorder="1" applyAlignment="1">
      <alignment wrapText="1"/>
    </xf>
    <xf numFmtId="0" fontId="5" fillId="9" borderId="4" xfId="0" applyFont="1" applyFill="1" applyBorder="1"/>
    <xf numFmtId="0" fontId="1" fillId="2" borderId="4" xfId="0" applyFont="1" applyFill="1" applyBorder="1" applyAlignment="1">
      <alignment horizontal="center" wrapText="1"/>
    </xf>
    <xf numFmtId="0" fontId="1" fillId="2" borderId="10" xfId="0" applyFont="1" applyFill="1" applyBorder="1" applyAlignment="1">
      <alignment horizontal="center" wrapText="1"/>
    </xf>
    <xf numFmtId="0" fontId="3" fillId="0" borderId="11" xfId="0" applyFont="1" applyBorder="1" applyAlignment="1">
      <alignment wrapText="1"/>
    </xf>
    <xf numFmtId="0" fontId="3" fillId="0" borderId="3" xfId="0" applyFont="1" applyBorder="1" applyAlignment="1">
      <alignment vertical="top" wrapText="1"/>
    </xf>
    <xf numFmtId="14" fontId="0" fillId="0" borderId="4" xfId="0" applyNumberFormat="1" applyBorder="1" applyAlignment="1">
      <alignment horizontal="left"/>
    </xf>
    <xf numFmtId="164" fontId="0" fillId="0" borderId="4" xfId="0" applyNumberFormat="1" applyBorder="1" applyAlignment="1">
      <alignment horizontal="left"/>
    </xf>
    <xf numFmtId="0" fontId="2" fillId="0" borderId="10" xfId="0" applyFont="1" applyBorder="1" applyAlignment="1">
      <alignment horizontal="left" vertical="top" wrapText="1"/>
    </xf>
    <xf numFmtId="0" fontId="3" fillId="0" borderId="13" xfId="0" applyFont="1" applyBorder="1" applyAlignment="1">
      <alignment wrapText="1"/>
    </xf>
    <xf numFmtId="0" fontId="2" fillId="0" borderId="11" xfId="0" applyFont="1" applyBorder="1" applyAlignment="1">
      <alignment horizontal="left" wrapText="1"/>
    </xf>
    <xf numFmtId="0" fontId="3" fillId="0" borderId="14" xfId="0" applyFont="1" applyBorder="1" applyAlignment="1">
      <alignment wrapText="1"/>
    </xf>
    <xf numFmtId="0" fontId="2" fillId="0" borderId="12" xfId="0" applyFont="1" applyBorder="1" applyAlignment="1">
      <alignment horizontal="left" vertical="top" wrapText="1"/>
    </xf>
    <xf numFmtId="0" fontId="2" fillId="0" borderId="10" xfId="0" applyFont="1" applyBorder="1" applyAlignment="1">
      <alignment horizontal="left" wrapText="1"/>
    </xf>
    <xf numFmtId="0" fontId="3" fillId="0" borderId="15" xfId="0" applyFont="1" applyBorder="1" applyAlignment="1">
      <alignment wrapText="1"/>
    </xf>
    <xf numFmtId="0" fontId="3" fillId="0" borderId="4" xfId="0" applyFont="1" applyBorder="1" applyAlignment="1">
      <alignment wrapText="1"/>
    </xf>
    <xf numFmtId="0" fontId="3" fillId="0" borderId="4" xfId="0" applyFont="1" applyBorder="1" applyAlignment="1">
      <alignment vertical="top" wrapText="1"/>
    </xf>
    <xf numFmtId="0" fontId="2" fillId="0" borderId="15" xfId="0" applyFont="1" applyBorder="1" applyAlignment="1">
      <alignment horizontal="left" wrapText="1"/>
    </xf>
    <xf numFmtId="49" fontId="2" fillId="0" borderId="4" xfId="0" applyNumberFormat="1" applyFont="1" applyBorder="1" applyAlignment="1">
      <alignment horizontal="left" wrapText="1"/>
    </xf>
    <xf numFmtId="0" fontId="2" fillId="0" borderId="4" xfId="0" applyFont="1" applyBorder="1" applyAlignment="1">
      <alignment horizontal="left" vertical="top" wrapText="1"/>
    </xf>
    <xf numFmtId="0" fontId="2" fillId="0" borderId="4" xfId="0" applyFont="1" applyBorder="1" applyAlignment="1">
      <alignment horizontal="left" wrapText="1"/>
    </xf>
    <xf numFmtId="0" fontId="2" fillId="0" borderId="12" xfId="0" applyFont="1" applyBorder="1" applyAlignment="1">
      <alignment horizontal="left" wrapText="1"/>
    </xf>
    <xf numFmtId="0" fontId="3" fillId="0" borderId="12" xfId="0" applyFont="1" applyBorder="1" applyAlignment="1">
      <alignment wrapText="1"/>
    </xf>
    <xf numFmtId="0" fontId="3" fillId="0" borderId="12" xfId="0" applyFont="1" applyBorder="1" applyAlignment="1">
      <alignment vertical="top" wrapText="1"/>
    </xf>
    <xf numFmtId="0" fontId="0" fillId="0" borderId="15" xfId="0" applyBorder="1"/>
    <xf numFmtId="49" fontId="0" fillId="0" borderId="4" xfId="0" applyNumberFormat="1" applyBorder="1"/>
    <xf numFmtId="49" fontId="0" fillId="0" borderId="15" xfId="0" applyNumberFormat="1" applyBorder="1" applyAlignment="1">
      <alignment wrapText="1"/>
    </xf>
    <xf numFmtId="49" fontId="2" fillId="0" borderId="4" xfId="0" applyNumberFormat="1" applyFont="1" applyBorder="1" applyAlignment="1">
      <alignment vertical="top" wrapText="1"/>
    </xf>
    <xf numFmtId="14" fontId="0" fillId="5" borderId="4" xfId="0" applyNumberFormat="1" applyFill="1" applyBorder="1" applyAlignment="1">
      <alignment horizontal="left"/>
    </xf>
    <xf numFmtId="165" fontId="2" fillId="5" borderId="16" xfId="0" applyNumberFormat="1" applyFont="1" applyFill="1" applyBorder="1" applyAlignment="1">
      <alignment horizontal="left" wrapText="1"/>
    </xf>
    <xf numFmtId="165" fontId="2" fillId="5" borderId="4" xfId="0" applyNumberFormat="1" applyFont="1" applyFill="1" applyBorder="1" applyAlignment="1">
      <alignment horizontal="left" wrapText="1"/>
    </xf>
    <xf numFmtId="164" fontId="0" fillId="5" borderId="4" xfId="0" applyNumberFormat="1" applyFill="1" applyBorder="1" applyAlignment="1">
      <alignment horizontal="left"/>
    </xf>
    <xf numFmtId="165" fontId="2" fillId="0" borderId="16" xfId="0" applyNumberFormat="1" applyFont="1" applyBorder="1" applyAlignment="1">
      <alignment horizontal="left" wrapText="1"/>
    </xf>
    <xf numFmtId="166" fontId="2" fillId="0" borderId="12" xfId="0" applyNumberFormat="1" applyFont="1" applyBorder="1" applyAlignment="1">
      <alignment horizontal="left" wrapText="1"/>
    </xf>
    <xf numFmtId="166" fontId="2" fillId="5" borderId="16" xfId="0" applyNumberFormat="1" applyFont="1" applyFill="1" applyBorder="1" applyAlignment="1">
      <alignment horizontal="left" wrapText="1"/>
    </xf>
    <xf numFmtId="166" fontId="2" fillId="5" borderId="4" xfId="0" applyNumberFormat="1" applyFont="1" applyFill="1" applyBorder="1" applyAlignment="1">
      <alignment horizontal="left" wrapText="1"/>
    </xf>
    <xf numFmtId="165" fontId="2" fillId="0" borderId="4" xfId="0" applyNumberFormat="1" applyFont="1" applyBorder="1" applyAlignment="1">
      <alignment horizontal="left" wrapText="1"/>
    </xf>
    <xf numFmtId="165" fontId="2" fillId="0" borderId="12" xfId="0" applyNumberFormat="1" applyFont="1" applyBorder="1" applyAlignment="1">
      <alignment horizontal="left" wrapText="1"/>
    </xf>
    <xf numFmtId="165" fontId="0" fillId="0" borderId="0" xfId="0" applyNumberFormat="1"/>
    <xf numFmtId="0" fontId="3" fillId="0" borderId="0" xfId="0" applyFont="1" applyAlignment="1">
      <alignment wrapText="1"/>
    </xf>
    <xf numFmtId="0" fontId="3" fillId="0" borderId="0" xfId="0" applyFont="1" applyAlignment="1">
      <alignment vertical="top" wrapText="1"/>
    </xf>
    <xf numFmtId="165" fontId="2" fillId="7" borderId="12" xfId="0" applyNumberFormat="1" applyFont="1" applyFill="1" applyBorder="1" applyAlignment="1">
      <alignment horizontal="left" wrapText="1"/>
    </xf>
    <xf numFmtId="0" fontId="6" fillId="0" borderId="0" xfId="0" applyFont="1" applyAlignment="1">
      <alignment wrapText="1"/>
    </xf>
    <xf numFmtId="0" fontId="6" fillId="0" borderId="0" xfId="0" applyFont="1"/>
    <xf numFmtId="165" fontId="6" fillId="0" borderId="0" xfId="0" applyNumberFormat="1" applyFont="1"/>
    <xf numFmtId="14" fontId="0" fillId="0" borderId="0" xfId="0" applyNumberFormat="1"/>
    <xf numFmtId="0" fontId="3" fillId="5" borderId="15" xfId="0" applyFont="1" applyFill="1" applyBorder="1" applyAlignment="1">
      <alignment wrapText="1"/>
    </xf>
    <xf numFmtId="0" fontId="2" fillId="5" borderId="15" xfId="0" applyFont="1" applyFill="1" applyBorder="1" applyAlignment="1">
      <alignment horizontal="left" wrapText="1"/>
    </xf>
    <xf numFmtId="165" fontId="2" fillId="5" borderId="12" xfId="0" applyNumberFormat="1" applyFont="1" applyFill="1" applyBorder="1" applyAlignment="1">
      <alignment horizontal="left" wrapText="1"/>
    </xf>
    <xf numFmtId="49" fontId="0" fillId="5" borderId="15" xfId="0" applyNumberFormat="1" applyFill="1" applyBorder="1" applyAlignment="1">
      <alignment wrapText="1"/>
    </xf>
    <xf numFmtId="0" fontId="0" fillId="5" borderId="15" xfId="0" applyFill="1" applyBorder="1" applyAlignment="1">
      <alignment wrapText="1"/>
    </xf>
    <xf numFmtId="0" fontId="2" fillId="8" borderId="15" xfId="0" applyFont="1" applyFill="1" applyBorder="1" applyAlignment="1">
      <alignment horizontal="left" wrapText="1"/>
    </xf>
    <xf numFmtId="0" fontId="3" fillId="8" borderId="15" xfId="0" applyFont="1" applyFill="1" applyBorder="1" applyAlignment="1">
      <alignment wrapText="1"/>
    </xf>
    <xf numFmtId="0" fontId="2" fillId="8" borderId="11" xfId="0" applyFont="1" applyFill="1" applyBorder="1" applyAlignment="1">
      <alignment horizontal="left" wrapText="1"/>
    </xf>
    <xf numFmtId="0" fontId="0" fillId="0" borderId="15" xfId="0" applyBorder="1" applyAlignment="1">
      <alignment wrapText="1"/>
    </xf>
    <xf numFmtId="0" fontId="2" fillId="5" borderId="10" xfId="0" applyFont="1" applyFill="1" applyBorder="1" applyAlignment="1">
      <alignment horizontal="left" vertical="top" wrapText="1"/>
    </xf>
    <xf numFmtId="14" fontId="0" fillId="0" borderId="0" xfId="0" applyNumberFormat="1" applyAlignment="1">
      <alignment wrapText="1"/>
    </xf>
    <xf numFmtId="0" fontId="0" fillId="0" borderId="10" xfId="0" applyBorder="1"/>
    <xf numFmtId="0" fontId="0" fillId="0" borderId="10" xfId="0" applyBorder="1" applyAlignment="1">
      <alignment wrapText="1"/>
    </xf>
    <xf numFmtId="0" fontId="2" fillId="0" borderId="0" xfId="0" quotePrefix="1" applyFont="1" applyAlignment="1">
      <alignment horizontal="left" vertical="top" wrapText="1"/>
    </xf>
    <xf numFmtId="14" fontId="2" fillId="0" borderId="4" xfId="0" applyNumberFormat="1" applyFont="1" applyBorder="1" applyAlignment="1">
      <alignment horizontal="left"/>
    </xf>
    <xf numFmtId="0" fontId="0" fillId="7" borderId="15" xfId="0" applyFill="1" applyBorder="1" applyAlignment="1">
      <alignment wrapText="1"/>
    </xf>
    <xf numFmtId="0" fontId="0" fillId="7" borderId="0" xfId="0" applyFill="1" applyAlignment="1">
      <alignment wrapText="1"/>
    </xf>
    <xf numFmtId="0" fontId="2" fillId="7" borderId="0" xfId="0" applyFont="1" applyFill="1" applyAlignment="1">
      <alignment horizontal="left" wrapText="1"/>
    </xf>
    <xf numFmtId="0" fontId="3" fillId="7" borderId="0" xfId="0" applyFont="1" applyFill="1" applyAlignment="1">
      <alignment wrapText="1"/>
    </xf>
    <xf numFmtId="0" fontId="3" fillId="7" borderId="15" xfId="0" applyFont="1" applyFill="1" applyBorder="1" applyAlignment="1">
      <alignment wrapText="1"/>
    </xf>
    <xf numFmtId="0" fontId="2" fillId="7" borderId="15" xfId="0" applyFont="1" applyFill="1" applyBorder="1" applyAlignment="1">
      <alignment horizontal="left" wrapText="1"/>
    </xf>
    <xf numFmtId="0" fontId="0" fillId="10" borderId="15" xfId="0" applyFill="1" applyBorder="1" applyAlignment="1">
      <alignment wrapText="1"/>
    </xf>
    <xf numFmtId="49" fontId="0" fillId="10" borderId="15" xfId="0" applyNumberFormat="1" applyFill="1" applyBorder="1" applyAlignment="1">
      <alignment wrapText="1"/>
    </xf>
    <xf numFmtId="0" fontId="2" fillId="10" borderId="15" xfId="0" applyFont="1" applyFill="1" applyBorder="1" applyAlignment="1">
      <alignment horizontal="left" wrapText="1"/>
    </xf>
    <xf numFmtId="0" fontId="3" fillId="10" borderId="15" xfId="0" applyFont="1" applyFill="1" applyBorder="1" applyAlignment="1">
      <alignment wrapText="1"/>
    </xf>
    <xf numFmtId="49" fontId="0" fillId="7" borderId="0" xfId="0" applyNumberFormat="1" applyFill="1" applyAlignment="1">
      <alignment wrapText="1"/>
    </xf>
    <xf numFmtId="0" fontId="1" fillId="2" borderId="17" xfId="0" applyFont="1" applyFill="1" applyBorder="1" applyAlignment="1">
      <alignment horizontal="center" wrapText="1"/>
    </xf>
    <xf numFmtId="0" fontId="1" fillId="2" borderId="18" xfId="0" applyFont="1" applyFill="1" applyBorder="1" applyAlignment="1">
      <alignment horizontal="center" wrapText="1"/>
    </xf>
    <xf numFmtId="0" fontId="5" fillId="9" borderId="18" xfId="0" applyFont="1" applyFill="1" applyBorder="1" applyAlignment="1">
      <alignment wrapText="1"/>
    </xf>
    <xf numFmtId="0" fontId="5" fillId="9" borderId="18" xfId="0" applyFont="1" applyFill="1" applyBorder="1"/>
    <xf numFmtId="0" fontId="1" fillId="2" borderId="19" xfId="0" applyFont="1" applyFill="1" applyBorder="1" applyAlignment="1">
      <alignment horizontal="center" wrapText="1"/>
    </xf>
    <xf numFmtId="49" fontId="0" fillId="0" borderId="6" xfId="0" applyNumberFormat="1" applyBorder="1"/>
    <xf numFmtId="0" fontId="0" fillId="0" borderId="6" xfId="0" applyBorder="1" applyAlignment="1">
      <alignment vertical="top" wrapText="1"/>
    </xf>
    <xf numFmtId="49" fontId="0" fillId="0" borderId="14" xfId="0" applyNumberFormat="1" applyBorder="1" applyAlignment="1">
      <alignment wrapText="1"/>
    </xf>
    <xf numFmtId="49" fontId="0" fillId="0" borderId="12" xfId="0" applyNumberFormat="1" applyBorder="1" applyAlignment="1">
      <alignment wrapText="1"/>
    </xf>
    <xf numFmtId="0" fontId="2" fillId="7" borderId="10" xfId="0" applyFont="1" applyFill="1" applyBorder="1" applyAlignment="1">
      <alignment horizontal="left" vertical="top" wrapText="1"/>
    </xf>
    <xf numFmtId="44" fontId="0" fillId="5" borderId="4" xfId="0" applyNumberFormat="1" applyFill="1" applyBorder="1"/>
    <xf numFmtId="49" fontId="0" fillId="0" borderId="20" xfId="0" applyNumberFormat="1" applyBorder="1" applyAlignment="1">
      <alignment wrapText="1"/>
    </xf>
    <xf numFmtId="0" fontId="0" fillId="5" borderId="10" xfId="0" applyFill="1" applyBorder="1"/>
    <xf numFmtId="44" fontId="0" fillId="5" borderId="4" xfId="1" applyFont="1" applyFill="1" applyBorder="1"/>
    <xf numFmtId="0" fontId="0" fillId="5" borderId="10" xfId="0" applyFill="1" applyBorder="1" applyAlignment="1">
      <alignment wrapText="1"/>
    </xf>
    <xf numFmtId="44" fontId="2" fillId="0" borderId="12" xfId="1" applyFont="1" applyBorder="1" applyAlignment="1">
      <alignment horizontal="left" wrapText="1"/>
    </xf>
    <xf numFmtId="44" fontId="2" fillId="5" borderId="12" xfId="1" applyFont="1" applyFill="1" applyBorder="1" applyAlignment="1">
      <alignment horizontal="left" wrapText="1"/>
    </xf>
    <xf numFmtId="44" fontId="0" fillId="0" borderId="0" xfId="1" applyFont="1"/>
    <xf numFmtId="44" fontId="0" fillId="0" borderId="0" xfId="1" applyFont="1" applyBorder="1"/>
    <xf numFmtId="0" fontId="2" fillId="0" borderId="12" xfId="0" applyFont="1" applyBorder="1" applyAlignment="1">
      <alignment wrapText="1"/>
    </xf>
    <xf numFmtId="0" fontId="2" fillId="0" borderId="6" xfId="0" applyFont="1" applyBorder="1" applyAlignment="1">
      <alignment wrapText="1"/>
    </xf>
    <xf numFmtId="0" fontId="2" fillId="0" borderId="14" xfId="0" applyFont="1" applyBorder="1" applyAlignment="1">
      <alignment wrapText="1"/>
    </xf>
    <xf numFmtId="0" fontId="0" fillId="0" borderId="14" xfId="0" applyBorder="1"/>
    <xf numFmtId="0" fontId="0" fillId="0" borderId="14" xfId="0" applyBorder="1" applyAlignment="1">
      <alignment wrapText="1"/>
    </xf>
    <xf numFmtId="49" fontId="0" fillId="0" borderId="14" xfId="0" applyNumberFormat="1" applyBorder="1"/>
    <xf numFmtId="44" fontId="0" fillId="5" borderId="4" xfId="1" applyFont="1" applyFill="1" applyBorder="1" applyAlignment="1">
      <alignment horizontal="left"/>
    </xf>
    <xf numFmtId="0" fontId="0" fillId="11" borderId="4" xfId="0" applyFill="1" applyBorder="1"/>
    <xf numFmtId="0" fontId="0" fillId="11" borderId="4" xfId="0" applyFill="1" applyBorder="1" applyAlignment="1">
      <alignment vertical="top" wrapText="1"/>
    </xf>
    <xf numFmtId="14" fontId="0" fillId="11" borderId="4" xfId="0" applyNumberFormat="1" applyFill="1" applyBorder="1" applyAlignment="1">
      <alignment horizontal="left"/>
    </xf>
    <xf numFmtId="44" fontId="2" fillId="11" borderId="16" xfId="1" applyFont="1" applyFill="1" applyBorder="1" applyAlignment="1">
      <alignment horizontal="left" wrapText="1"/>
    </xf>
    <xf numFmtId="166" fontId="0" fillId="4" borderId="4" xfId="0" applyNumberFormat="1" applyFill="1" applyBorder="1"/>
    <xf numFmtId="14" fontId="0" fillId="7" borderId="4" xfId="0" applyNumberFormat="1" applyFill="1" applyBorder="1" applyAlignment="1">
      <alignment horizontal="left"/>
    </xf>
    <xf numFmtId="44" fontId="2" fillId="0" borderId="16" xfId="1" applyFont="1" applyBorder="1" applyAlignment="1">
      <alignment horizontal="left" wrapText="1"/>
    </xf>
    <xf numFmtId="14" fontId="4" fillId="7" borderId="4" xfId="0" applyNumberFormat="1" applyFont="1" applyFill="1" applyBorder="1" applyAlignment="1">
      <alignment horizontal="left"/>
    </xf>
    <xf numFmtId="44" fontId="2" fillId="5" borderId="16" xfId="1" applyFont="1" applyFill="1" applyBorder="1" applyAlignment="1">
      <alignment horizontal="left" wrapText="1"/>
    </xf>
    <xf numFmtId="14" fontId="0" fillId="4" borderId="4" xfId="0" applyNumberFormat="1" applyFill="1" applyBorder="1" applyAlignment="1">
      <alignment horizontal="left"/>
    </xf>
    <xf numFmtId="14" fontId="4" fillId="11" borderId="4" xfId="0" applyNumberFormat="1" applyFont="1" applyFill="1" applyBorder="1" applyAlignment="1">
      <alignment horizontal="left"/>
    </xf>
    <xf numFmtId="14" fontId="4" fillId="5" borderId="4" xfId="0" applyNumberFormat="1" applyFont="1" applyFill="1" applyBorder="1" applyAlignment="1">
      <alignment horizontal="left"/>
    </xf>
    <xf numFmtId="44" fontId="9" fillId="0" borderId="16" xfId="1" applyFont="1" applyBorder="1" applyAlignment="1">
      <alignment horizontal="left" wrapText="1"/>
    </xf>
    <xf numFmtId="14" fontId="0" fillId="12" borderId="4" xfId="0" applyNumberFormat="1" applyFill="1" applyBorder="1" applyAlignment="1">
      <alignment horizontal="left"/>
    </xf>
    <xf numFmtId="44" fontId="0" fillId="12" borderId="4" xfId="1" applyFont="1" applyFill="1" applyBorder="1"/>
    <xf numFmtId="44" fontId="2" fillId="12" borderId="16" xfId="1" applyFont="1" applyFill="1" applyBorder="1" applyAlignment="1">
      <alignment horizontal="left" wrapText="1"/>
    </xf>
    <xf numFmtId="0" fontId="2" fillId="12" borderId="10" xfId="0" applyFont="1" applyFill="1" applyBorder="1" applyAlignment="1">
      <alignment horizontal="left" vertical="top" wrapText="1"/>
    </xf>
    <xf numFmtId="0" fontId="0" fillId="12" borderId="4" xfId="0" applyFill="1" applyBorder="1"/>
    <xf numFmtId="0" fontId="0" fillId="12" borderId="4" xfId="0" applyFill="1" applyBorder="1" applyAlignment="1">
      <alignment vertical="top" wrapText="1"/>
    </xf>
    <xf numFmtId="0" fontId="0" fillId="0" borderId="21" xfId="0" applyBorder="1"/>
    <xf numFmtId="0" fontId="0" fillId="11" borderId="0" xfId="0" applyFill="1"/>
    <xf numFmtId="44" fontId="4" fillId="5" borderId="4" xfId="1" applyFont="1" applyFill="1" applyBorder="1"/>
    <xf numFmtId="0" fontId="10" fillId="13" borderId="4" xfId="0" applyFont="1" applyFill="1" applyBorder="1"/>
    <xf numFmtId="0" fontId="10" fillId="13" borderId="4" xfId="0" applyFont="1" applyFill="1" applyBorder="1" applyAlignment="1">
      <alignment vertical="top" wrapText="1"/>
    </xf>
    <xf numFmtId="14" fontId="11" fillId="13" borderId="4" xfId="0" applyNumberFormat="1" applyFont="1" applyFill="1" applyBorder="1" applyAlignment="1">
      <alignment horizontal="left"/>
    </xf>
    <xf numFmtId="44" fontId="10" fillId="13" borderId="4" xfId="1" applyFont="1" applyFill="1" applyBorder="1"/>
    <xf numFmtId="44" fontId="10" fillId="13" borderId="16" xfId="1" applyFont="1" applyFill="1" applyBorder="1" applyAlignment="1">
      <alignment horizontal="left" wrapText="1"/>
    </xf>
    <xf numFmtId="0" fontId="10" fillId="13" borderId="10" xfId="0" applyFont="1" applyFill="1" applyBorder="1" applyAlignment="1">
      <alignment horizontal="left" vertical="top" wrapText="1"/>
    </xf>
    <xf numFmtId="0" fontId="0" fillId="0" borderId="25" xfId="0" applyBorder="1"/>
    <xf numFmtId="0" fontId="0" fillId="0" borderId="26" xfId="0" applyBorder="1"/>
    <xf numFmtId="14" fontId="0" fillId="0" borderId="25" xfId="0" applyNumberFormat="1" applyBorder="1"/>
    <xf numFmtId="166" fontId="0" fillId="0" borderId="26" xfId="0" applyNumberFormat="1" applyBorder="1"/>
    <xf numFmtId="14" fontId="0" fillId="0" borderId="27" xfId="0" applyNumberFormat="1" applyBorder="1"/>
    <xf numFmtId="166" fontId="0" fillId="0" borderId="28" xfId="0" applyNumberFormat="1" applyBorder="1"/>
    <xf numFmtId="166" fontId="0" fillId="0" borderId="29" xfId="0" applyNumberFormat="1" applyBorder="1"/>
    <xf numFmtId="0" fontId="6" fillId="0" borderId="25" xfId="0" applyFont="1" applyBorder="1" applyAlignment="1">
      <alignment wrapText="1"/>
    </xf>
    <xf numFmtId="165" fontId="6" fillId="0" borderId="26" xfId="0" applyNumberFormat="1" applyFont="1" applyBorder="1"/>
    <xf numFmtId="14" fontId="0" fillId="0" borderId="25" xfId="0" applyNumberFormat="1" applyBorder="1" applyAlignment="1">
      <alignment wrapText="1"/>
    </xf>
    <xf numFmtId="166" fontId="0" fillId="0" borderId="27" xfId="0" applyNumberFormat="1" applyBorder="1"/>
    <xf numFmtId="3" fontId="0" fillId="0" borderId="0" xfId="0" applyNumberFormat="1"/>
    <xf numFmtId="3" fontId="0" fillId="0" borderId="0" xfId="0" applyNumberFormat="1" applyAlignment="1">
      <alignment horizontal="left"/>
    </xf>
    <xf numFmtId="0" fontId="0" fillId="0" borderId="0" xfId="0" applyAlignment="1">
      <alignment horizontal="left"/>
    </xf>
    <xf numFmtId="44" fontId="2" fillId="5" borderId="4" xfId="1" applyFont="1" applyFill="1" applyBorder="1" applyAlignment="1">
      <alignment horizontal="left" wrapText="1"/>
    </xf>
    <xf numFmtId="44" fontId="2" fillId="12" borderId="12" xfId="1" applyFont="1" applyFill="1" applyBorder="1" applyAlignment="1">
      <alignment horizontal="left" wrapText="1"/>
    </xf>
    <xf numFmtId="44" fontId="2" fillId="0" borderId="4" xfId="1" applyFont="1" applyBorder="1" applyAlignment="1">
      <alignment horizontal="left" wrapText="1"/>
    </xf>
    <xf numFmtId="44" fontId="2" fillId="6" borderId="16" xfId="1" applyFont="1" applyFill="1" applyBorder="1" applyAlignment="1">
      <alignment horizontal="left" wrapText="1"/>
    </xf>
    <xf numFmtId="0" fontId="3" fillId="0" borderId="5" xfId="0" applyFont="1" applyBorder="1" applyAlignment="1">
      <alignment wrapText="1"/>
    </xf>
    <xf numFmtId="0" fontId="3" fillId="0" borderId="2" xfId="0" applyFont="1" applyBorder="1" applyAlignment="1">
      <alignment wrapText="1"/>
    </xf>
    <xf numFmtId="0" fontId="3" fillId="6" borderId="3" xfId="0" applyFont="1" applyFill="1" applyBorder="1" applyAlignment="1">
      <alignment wrapText="1"/>
    </xf>
    <xf numFmtId="0" fontId="3" fillId="6" borderId="5" xfId="0" applyFont="1" applyFill="1" applyBorder="1" applyAlignment="1">
      <alignment wrapText="1"/>
    </xf>
    <xf numFmtId="0" fontId="3" fillId="6" borderId="2" xfId="0" applyFont="1" applyFill="1" applyBorder="1" applyAlignment="1">
      <alignment wrapText="1"/>
    </xf>
    <xf numFmtId="0" fontId="3" fillId="6" borderId="0" xfId="0" applyFont="1" applyFill="1" applyAlignment="1">
      <alignment wrapText="1"/>
    </xf>
    <xf numFmtId="0" fontId="3" fillId="5" borderId="2" xfId="0" applyFont="1" applyFill="1" applyBorder="1" applyAlignment="1">
      <alignment wrapText="1"/>
    </xf>
    <xf numFmtId="0" fontId="3" fillId="5" borderId="3" xfId="0" applyFont="1" applyFill="1" applyBorder="1" applyAlignment="1">
      <alignment wrapText="1"/>
    </xf>
    <xf numFmtId="0" fontId="3" fillId="5" borderId="5" xfId="0" applyFont="1" applyFill="1" applyBorder="1" applyAlignment="1">
      <alignment wrapText="1"/>
    </xf>
    <xf numFmtId="0" fontId="3" fillId="5" borderId="0" xfId="0" applyFont="1" applyFill="1" applyAlignment="1">
      <alignment wrapText="1"/>
    </xf>
    <xf numFmtId="0" fontId="3" fillId="0" borderId="5" xfId="0" applyFont="1" applyBorder="1" applyAlignment="1">
      <alignment vertical="top" wrapText="1"/>
    </xf>
    <xf numFmtId="0" fontId="3" fillId="0" borderId="2" xfId="0" applyFont="1" applyBorder="1" applyAlignment="1">
      <alignment vertical="top" wrapText="1"/>
    </xf>
    <xf numFmtId="0" fontId="3" fillId="0" borderId="14" xfId="0" applyFont="1" applyBorder="1" applyAlignment="1">
      <alignment vertical="top" wrapText="1"/>
    </xf>
    <xf numFmtId="49" fontId="0" fillId="14" borderId="14" xfId="0" applyNumberFormat="1" applyFill="1" applyBorder="1" applyAlignment="1">
      <alignment wrapText="1"/>
    </xf>
    <xf numFmtId="49" fontId="0" fillId="14" borderId="6" xfId="0" applyNumberFormat="1" applyFill="1" applyBorder="1" applyAlignment="1">
      <alignment wrapText="1"/>
    </xf>
    <xf numFmtId="49" fontId="0" fillId="14" borderId="20" xfId="0" applyNumberFormat="1" applyFill="1" applyBorder="1" applyAlignment="1">
      <alignment wrapText="1"/>
    </xf>
    <xf numFmtId="0" fontId="0" fillId="14" borderId="14" xfId="0" applyFill="1" applyBorder="1"/>
    <xf numFmtId="0" fontId="0" fillId="4" borderId="4" xfId="0" applyFill="1" applyBorder="1"/>
    <xf numFmtId="0" fontId="0" fillId="15" borderId="14" xfId="0" applyFill="1" applyBorder="1" applyAlignment="1">
      <alignment wrapText="1"/>
    </xf>
    <xf numFmtId="49" fontId="0" fillId="14" borderId="4" xfId="0" applyNumberFormat="1" applyFill="1" applyBorder="1" applyAlignment="1">
      <alignment wrapText="1"/>
    </xf>
    <xf numFmtId="0" fontId="0" fillId="0" borderId="7"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cellXfs>
  <cellStyles count="2">
    <cellStyle name="Currency" xfId="1" builtinId="4"/>
    <cellStyle name="Normal" xfId="0" builtinId="0"/>
  </cellStyles>
  <dxfs count="78">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165" formatCode="&quot;$&quot;#,##0.0"/>
      <fill>
        <patternFill patternType="solid">
          <fgColor indexed="64"/>
          <bgColor rgb="FFFFFF00"/>
        </patternFill>
      </fill>
      <alignment horizontal="left" vertical="bottom" textRotation="0" wrapText="1" indent="0" justifyLastLine="0" shrinkToFit="0" readingOrder="0"/>
      <border diagonalUp="0" diagonalDown="0">
        <left/>
        <right/>
        <top/>
        <bottom style="thin">
          <color rgb="FF95B3D7"/>
        </bottom>
      </border>
    </dxf>
    <dxf>
      <numFmt numFmtId="164" formatCode="&quot;$&quot;#,##0.00"/>
      <fill>
        <patternFill patternType="solid">
          <fgColor indexed="64"/>
          <bgColor rgb="FFFFFF00"/>
        </patternFill>
      </fill>
      <alignment horizontal="left"/>
    </dxf>
    <dxf>
      <numFmt numFmtId="19" formatCode="m/d/yyyy"/>
      <fill>
        <patternFill patternType="solid">
          <fgColor indexed="64"/>
          <bgColor rgb="FFFFFF00"/>
        </patternFill>
      </fill>
      <alignment horizontal="left"/>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top" textRotation="0" wrapText="1" indent="0" justifyLastLine="0" shrinkToFit="0" readingOrder="0"/>
      <border diagonalUp="0" diagonalDown="0">
        <left/>
        <right/>
        <top/>
        <bottom style="thin">
          <color rgb="FF95B3D7"/>
        </bottom>
      </border>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dxf>
    <dxf>
      <font>
        <b/>
        <i val="0"/>
        <strike val="0"/>
        <condense val="0"/>
        <extend val="0"/>
        <outline val="0"/>
        <shadow val="0"/>
        <u val="none"/>
        <vertAlign val="baseline"/>
        <sz val="11"/>
        <color rgb="FFFFFFFF"/>
        <name val="Calibri"/>
        <family val="2"/>
        <scheme val="minor"/>
      </font>
      <fill>
        <patternFill patternType="solid">
          <fgColor rgb="FF4F81BD"/>
          <bgColor rgb="FF4F81BD"/>
        </patternFill>
      </fill>
      <alignment horizontal="center"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165" formatCode="&quot;$&quot;#,##0.0"/>
      <fill>
        <patternFill patternType="solid">
          <fgColor indexed="64"/>
          <bgColor rgb="FFFFFF00"/>
        </patternFill>
      </fill>
      <alignment horizontal="left" vertical="bottom" textRotation="0" wrapText="1" indent="0" justifyLastLine="0" shrinkToFit="0" readingOrder="0"/>
      <border diagonalUp="0" diagonalDown="0">
        <left/>
        <right/>
        <top/>
        <bottom style="thin">
          <color rgb="FF95B3D7"/>
        </bottom>
      </border>
    </dxf>
    <dxf>
      <numFmt numFmtId="164" formatCode="&quot;$&quot;#,##0.00"/>
      <fill>
        <patternFill patternType="solid">
          <fgColor indexed="64"/>
          <bgColor rgb="FFFFFF00"/>
        </patternFill>
      </fill>
      <alignment horizontal="left"/>
    </dxf>
    <dxf>
      <numFmt numFmtId="19" formatCode="m/d/yyyy"/>
      <fill>
        <patternFill patternType="solid">
          <fgColor indexed="64"/>
          <bgColor rgb="FFFFFF00"/>
        </patternFill>
      </fill>
      <alignment horizontal="left"/>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border diagonalUp="0" diagonalDown="0" outline="0">
        <left/>
        <right/>
        <top/>
        <bottom style="thin">
          <color rgb="FF95B3D7"/>
        </bottom>
      </border>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dxf>
    <dxf>
      <font>
        <b/>
        <i val="0"/>
        <strike val="0"/>
        <condense val="0"/>
        <extend val="0"/>
        <outline val="0"/>
        <shadow val="0"/>
        <u val="none"/>
        <vertAlign val="baseline"/>
        <sz val="11"/>
        <color rgb="FFFFFFFF"/>
        <name val="Calibri"/>
        <family val="2"/>
        <scheme val="minor"/>
      </font>
      <fill>
        <patternFill patternType="solid">
          <fgColor rgb="FF4F81BD"/>
          <bgColor rgb="FF4F81BD"/>
        </patternFill>
      </fill>
      <alignment horizontal="center"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165" formatCode="&quot;$&quot;#,##0.0"/>
      <fill>
        <patternFill patternType="solid">
          <fgColor indexed="64"/>
          <bgColor rgb="FFFFFF00"/>
        </patternFill>
      </fill>
      <alignment horizontal="left" vertical="bottom" textRotation="0" wrapText="1" indent="0" justifyLastLine="0" shrinkToFit="0" readingOrder="0"/>
      <border diagonalUp="0" diagonalDown="0">
        <left/>
        <right/>
        <top/>
        <bottom style="thin">
          <color rgb="FF95B3D7"/>
        </bottom>
      </border>
    </dxf>
    <dxf>
      <numFmt numFmtId="164" formatCode="&quot;$&quot;#,##0.00"/>
      <fill>
        <patternFill patternType="solid">
          <fgColor indexed="64"/>
          <bgColor rgb="FFFFFF00"/>
        </patternFill>
      </fill>
      <alignment horizontal="left"/>
    </dxf>
    <dxf>
      <numFmt numFmtId="19" formatCode="m/d/yyyy"/>
      <fill>
        <patternFill patternType="solid">
          <fgColor indexed="64"/>
          <bgColor rgb="FFFFFF00"/>
        </patternFill>
      </fill>
      <alignment horizontal="left"/>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border diagonalUp="0" diagonalDown="0" outline="0">
        <left/>
        <right/>
        <top/>
        <bottom style="thin">
          <color rgb="FF95B3D7"/>
        </bottom>
      </border>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dxf>
    <dxf>
      <font>
        <b/>
        <i val="0"/>
        <strike val="0"/>
        <condense val="0"/>
        <extend val="0"/>
        <outline val="0"/>
        <shadow val="0"/>
        <u val="none"/>
        <vertAlign val="baseline"/>
        <sz val="11"/>
        <color rgb="FFFFFFFF"/>
        <name val="Calibri"/>
        <family val="2"/>
        <scheme val="minor"/>
      </font>
      <fill>
        <patternFill patternType="solid">
          <fgColor rgb="FF4F81BD"/>
          <bgColor rgb="FF4F81BD"/>
        </patternFill>
      </fill>
      <alignment horizontal="center"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165" formatCode="&quot;$&quot;#,##0.0"/>
      <fill>
        <patternFill patternType="solid">
          <fgColor indexed="64"/>
          <bgColor rgb="FFFFFF00"/>
        </patternFill>
      </fill>
      <alignment horizontal="left" vertical="bottom" textRotation="0" wrapText="1" indent="0" justifyLastLine="0" shrinkToFit="0" readingOrder="0"/>
      <border diagonalUp="0" diagonalDown="0">
        <left/>
        <right/>
        <top/>
        <bottom style="thin">
          <color rgb="FF95B3D7"/>
        </bottom>
      </border>
    </dxf>
    <dxf>
      <numFmt numFmtId="164" formatCode="&quot;$&quot;#,##0.00"/>
      <fill>
        <patternFill patternType="solid">
          <fgColor indexed="64"/>
          <bgColor rgb="FFFFFF00"/>
        </patternFill>
      </fill>
      <alignment horizontal="left"/>
    </dxf>
    <dxf>
      <numFmt numFmtId="19" formatCode="m/d/yyyy"/>
      <fill>
        <patternFill patternType="solid">
          <fgColor indexed="64"/>
          <bgColor rgb="FFFFFF00"/>
        </patternFill>
      </fill>
      <alignment horizontal="left"/>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border diagonalUp="0" diagonalDown="0" outline="0">
        <left/>
        <right/>
        <top/>
        <bottom style="thin">
          <color rgb="FF95B3D7"/>
        </bottom>
      </border>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dxf>
    <dxf>
      <font>
        <b/>
        <i val="0"/>
        <strike val="0"/>
        <condense val="0"/>
        <extend val="0"/>
        <outline val="0"/>
        <shadow val="0"/>
        <u val="none"/>
        <vertAlign val="baseline"/>
        <sz val="11"/>
        <color rgb="FFFFFFFF"/>
        <name val="Calibri"/>
        <family val="2"/>
        <scheme val="minor"/>
      </font>
      <fill>
        <patternFill patternType="solid">
          <fgColor rgb="FF4F81BD"/>
          <bgColor rgb="FF4F81BD"/>
        </patternFill>
      </fill>
      <alignment horizontal="center"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165" formatCode="&quot;$&quot;#,##0.0"/>
      <fill>
        <patternFill patternType="none">
          <fgColor indexed="64"/>
          <bgColor auto="1"/>
        </patternFill>
      </fill>
      <alignment horizontal="left" vertical="bottom" textRotation="0" wrapText="1" indent="0" justifyLastLine="0" shrinkToFit="0" readingOrder="0"/>
      <border diagonalUp="0" diagonalDown="0" outline="0">
        <left/>
        <right/>
        <top/>
        <bottom style="thin">
          <color rgb="FF95B3D7"/>
        </bottom>
      </border>
    </dxf>
    <dxf>
      <numFmt numFmtId="164" formatCode="&quot;$&quot;#,##0.00"/>
      <fill>
        <patternFill patternType="none">
          <fgColor indexed="64"/>
          <bgColor auto="1"/>
        </patternFill>
      </fill>
      <alignment horizontal="left"/>
    </dxf>
    <dxf>
      <numFmt numFmtId="19" formatCode="m/d/yyyy"/>
      <fill>
        <patternFill patternType="solid">
          <fgColor indexed="64"/>
          <bgColor rgb="FFFFFF00"/>
        </patternFill>
      </fill>
      <alignment horizontal="left"/>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border diagonalUp="0" diagonalDown="0" outline="0">
        <left/>
        <right/>
        <top/>
        <bottom style="thin">
          <color rgb="FF95B3D7"/>
        </bottom>
      </border>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dxf>
    <dxf>
      <font>
        <b/>
        <i val="0"/>
        <strike val="0"/>
        <condense val="0"/>
        <extend val="0"/>
        <outline val="0"/>
        <shadow val="0"/>
        <u val="none"/>
        <vertAlign val="baseline"/>
        <sz val="11"/>
        <color rgb="FFFFFFFF"/>
        <name val="Calibri"/>
        <family val="2"/>
        <scheme val="minor"/>
      </font>
      <fill>
        <patternFill patternType="solid">
          <fgColor rgb="FF4F81BD"/>
          <bgColor rgb="FF4F81BD"/>
        </patternFill>
      </fill>
      <alignment horizontal="center"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165" formatCode="&quot;$&quot;#,##0.0"/>
      <fill>
        <patternFill patternType="none">
          <fgColor indexed="64"/>
          <bgColor auto="1"/>
        </patternFill>
      </fill>
      <alignment horizontal="left" vertical="bottom" textRotation="0" wrapText="1" indent="0" justifyLastLine="0" shrinkToFit="0" readingOrder="0"/>
      <border diagonalUp="0" diagonalDown="0">
        <left/>
        <right/>
        <top/>
        <bottom style="thin">
          <color rgb="FF95B3D7"/>
        </bottom>
      </border>
    </dxf>
    <dxf>
      <numFmt numFmtId="164" formatCode="&quot;$&quot;#,##0.00"/>
      <fill>
        <patternFill patternType="none">
          <fgColor indexed="64"/>
          <bgColor auto="1"/>
        </patternFill>
      </fill>
      <alignment horizontal="left"/>
    </dxf>
    <dxf>
      <numFmt numFmtId="19" formatCode="m/d/yyyy"/>
      <fill>
        <patternFill patternType="none">
          <fgColor indexed="64"/>
          <bgColor auto="1"/>
        </patternFill>
      </fill>
      <alignment horizontal="left"/>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border diagonalUp="0" diagonalDown="0">
        <left/>
        <right/>
        <top/>
        <bottom style="thin">
          <color rgb="FF95B3D7"/>
        </bottom>
      </border>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none">
          <fgColor rgb="FFDCE6F1"/>
          <bgColor rgb="FFDCE6F1"/>
        </patternFill>
      </fill>
      <alignment horizontal="left" vertical="bottom" textRotation="0" wrapText="1" indent="0" justifyLastLine="0" shrinkToFit="0" readingOrder="0"/>
    </dxf>
    <dxf>
      <font>
        <b/>
        <i val="0"/>
        <strike val="0"/>
        <condense val="0"/>
        <extend val="0"/>
        <outline val="0"/>
        <shadow val="0"/>
        <u val="none"/>
        <vertAlign val="baseline"/>
        <sz val="11"/>
        <color rgb="FFFFFFFF"/>
        <name val="Calibri"/>
        <family val="2"/>
        <scheme val="minor"/>
      </font>
      <fill>
        <patternFill patternType="solid">
          <fgColor rgb="FF4F81BD"/>
          <bgColor rgb="FF4F81BD"/>
        </patternFill>
      </fill>
      <alignment horizontal="center"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165" formatCode="&quot;$&quot;#,##0.0"/>
      <fill>
        <patternFill patternType="none">
          <fgColor indexed="64"/>
          <bgColor auto="1"/>
        </patternFill>
      </fill>
      <alignment horizontal="left" vertical="bottom" textRotation="0" wrapText="1" indent="0" justifyLastLine="0" shrinkToFit="0" readingOrder="0"/>
      <border diagonalUp="0" diagonalDown="0">
        <left/>
        <right/>
        <top/>
        <bottom style="thin">
          <color rgb="FF95B3D7"/>
        </bottom>
      </border>
    </dxf>
    <dxf>
      <numFmt numFmtId="164" formatCode="&quot;$&quot;#,##0.00"/>
      <fill>
        <patternFill patternType="none">
          <fgColor indexed="64"/>
          <bgColor auto="1"/>
        </patternFill>
      </fill>
      <alignment horizontal="left"/>
    </dxf>
    <dxf>
      <numFmt numFmtId="19" formatCode="m/d/yyyy"/>
      <fill>
        <patternFill patternType="none">
          <fgColor indexed="64"/>
          <bgColor auto="1"/>
        </patternFill>
      </fill>
      <alignment horizontal="left"/>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alignment horizontal="left" vertical="bottom" textRotation="0" wrapText="1" indent="0" justifyLastLine="0" shrinkToFit="0" readingOrder="0"/>
      <border diagonalUp="0" diagonalDown="0" outline="0">
        <left/>
        <right/>
        <top/>
        <bottom style="thin">
          <color rgb="FF95B3D7"/>
        </bottom>
      </border>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alignment horizontal="left" vertical="bottom" textRotation="0" wrapText="1" indent="0" justifyLastLine="0" shrinkToFit="0" readingOrder="0"/>
    </dxf>
    <dxf>
      <font>
        <b/>
        <i val="0"/>
        <strike val="0"/>
        <condense val="0"/>
        <extend val="0"/>
        <outline val="0"/>
        <shadow val="0"/>
        <u val="none"/>
        <vertAlign val="baseline"/>
        <sz val="11"/>
        <color rgb="FFFFFFFF"/>
        <name val="Calibri"/>
        <family val="2"/>
        <scheme val="minor"/>
      </font>
      <fill>
        <patternFill patternType="solid">
          <fgColor rgb="FF4F81BD"/>
          <bgColor rgb="FF4F81BD"/>
        </patternFill>
      </fill>
      <alignment horizontal="center"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165" formatCode="&quot;$&quot;#,##0.0"/>
      <fill>
        <patternFill patternType="none">
          <fgColor indexed="64"/>
          <bgColor auto="1"/>
        </patternFill>
      </fill>
      <alignment horizontal="left" vertical="bottom" textRotation="0" wrapText="1" indent="0" justifyLastLine="0" shrinkToFit="0" readingOrder="0"/>
      <border diagonalUp="0" diagonalDown="0">
        <left/>
        <right/>
        <top/>
        <bottom style="thin">
          <color rgb="FF95B3D7"/>
        </bottom>
      </border>
    </dxf>
    <dxf>
      <numFmt numFmtId="164" formatCode="&quot;$&quot;#,##0.00"/>
      <alignment horizontal="left"/>
    </dxf>
    <dxf>
      <numFmt numFmtId="19" formatCode="m/d/yyyy"/>
      <alignment horizontal="left"/>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alignment horizontal="left" vertical="bottom" textRotation="0" wrapText="1" indent="0" justifyLastLine="0" shrinkToFit="0" readingOrder="0"/>
    </dxf>
    <dxf>
      <font>
        <b/>
        <i val="0"/>
        <strike val="0"/>
        <condense val="0"/>
        <extend val="0"/>
        <outline val="0"/>
        <shadow val="0"/>
        <u val="none"/>
        <vertAlign val="baseline"/>
        <sz val="11"/>
        <color rgb="FFFFFFFF"/>
        <name val="Calibri"/>
        <family val="2"/>
        <scheme val="minor"/>
      </font>
      <fill>
        <patternFill patternType="solid">
          <fgColor rgb="FF4F81BD"/>
          <bgColor rgb="FF4F81BD"/>
        </patternFill>
      </fill>
      <alignment horizontal="center"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165" formatCode="&quot;$&quot;#,##0.0"/>
      <fill>
        <patternFill patternType="none">
          <fgColor indexed="64"/>
          <bgColor auto="1"/>
        </patternFill>
      </fill>
      <alignment horizontal="left" vertical="bottom" textRotation="0" wrapText="1" indent="0" justifyLastLine="0" shrinkToFit="0" readingOrder="0"/>
      <border diagonalUp="0" diagonalDown="0">
        <left/>
        <right/>
        <top/>
        <bottom style="thin">
          <color rgb="FF95B3D7"/>
        </bottom>
      </border>
    </dxf>
    <dxf>
      <numFmt numFmtId="164" formatCode="&quot;$&quot;#,##0.00"/>
      <alignment horizontal="left"/>
    </dxf>
    <dxf>
      <numFmt numFmtId="19" formatCode="m/d/yyyy"/>
      <alignment horizontal="left"/>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alignment horizontal="left" vertical="bottom" textRotation="0" wrapText="1" indent="0" justifyLastLine="0" shrinkToFit="0" readingOrder="0"/>
      <border diagonalUp="0" diagonalDown="0">
        <left/>
        <right/>
        <top/>
        <bottom style="thin">
          <color rgb="FF95B3D7"/>
        </bottom>
        <vertical/>
        <horizontal/>
      </border>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alignment horizontal="left" vertical="bottom" textRotation="0" wrapText="1" indent="0" justifyLastLine="0" shrinkToFit="0" readingOrder="0"/>
    </dxf>
    <dxf>
      <font>
        <b/>
        <i val="0"/>
        <strike val="0"/>
        <condense val="0"/>
        <extend val="0"/>
        <outline val="0"/>
        <shadow val="0"/>
        <u val="none"/>
        <vertAlign val="baseline"/>
        <sz val="11"/>
        <color rgb="FFFFFFFF"/>
        <name val="Calibri"/>
        <family val="2"/>
        <scheme val="minor"/>
      </font>
      <fill>
        <patternFill patternType="solid">
          <fgColor rgb="FF4F81BD"/>
          <bgColor rgb="FF4F81BD"/>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sheetMetadata" Target="metadata.xml"/></Relationships>
</file>

<file path=xl/documenttasks/documenttask1.xml><?xml version="1.0" encoding="utf-8"?>
<Tasks xmlns="http://schemas.microsoft.com/office/tasks/2019/documenttasks">
  <Task id="{256259BC-2B70-40D4-9710-CFB081B83DFF}">
    <Anchor>
      <Comment id="{56C5BF62-92D6-46CF-B2C0-F820EAF7D27A}"/>
    </Anchor>
    <History>
      <Event time="2025-02-13T15:06:28.57" id="{9696EC28-F345-4636-BDB3-B6C27B006764}">
        <Attribution userId="S::eric.dina@kimley-horn.com::8f3d4d55-8829-47e8-9dd2-c16db35781e2" userName="Dina, Eric" userProvider="AD"/>
        <Anchor>
          <Comment id="{56C5BF62-92D6-46CF-B2C0-F820EAF7D27A}"/>
        </Anchor>
        <Create/>
      </Event>
      <Event time="2025-02-13T15:06:28.57" id="{202520F5-97F3-4979-9A32-A31F71D49A7F}">
        <Attribution userId="S::eric.dina@kimley-horn.com::8f3d4d55-8829-47e8-9dd2-c16db35781e2" userName="Dina, Eric" userProvider="AD"/>
        <Anchor>
          <Comment id="{56C5BF62-92D6-46CF-B2C0-F820EAF7D27A}"/>
        </Anchor>
        <Assign userId="S::Logan.Bruce@kimley-horn.com::fa90410d-13aa-49e0-b51a-7b3616f87ee9" userName="Bruce, Logan" userProvider="AD"/>
      </Event>
      <Event time="2025-02-13T15:06:28.57" id="{E97A334E-4B76-4303-8D5E-B74AA5064E2A}">
        <Attribution userId="S::eric.dina@kimley-horn.com::8f3d4d55-8829-47e8-9dd2-c16db35781e2" userName="Dina, Eric" userProvider="AD"/>
        <Anchor>
          <Comment id="{56C5BF62-92D6-46CF-B2C0-F820EAF7D27A}"/>
        </Anchor>
        <SetTitle title="@Bruce, Logan can you please update this column if there have been any changes?"/>
      </Event>
    </History>
  </Task>
</Tasks>
</file>

<file path=xl/documenttasks/documenttask2.xml><?xml version="1.0" encoding="utf-8"?>
<Tasks xmlns="http://schemas.microsoft.com/office/tasks/2019/documenttasks">
  <Task id="{85857648-CD06-4765-A2D7-6C6D3FB9FAD6}">
    <Anchor>
      <Comment id="{861277C9-8AEA-483F-910F-13017BF4788C}"/>
    </Anchor>
    <History>
      <Event time="2025-04-18T15:29:56.68" id="{0435691C-25C7-4969-92AC-78BD90C0F818}">
        <Attribution userId="S::eric.dina@kimley-horn.com::8f3d4d55-8829-47e8-9dd2-c16db35781e2" userName="Dina, Eric" userProvider="AD"/>
        <Anchor>
          <Comment id="{861277C9-8AEA-483F-910F-13017BF4788C}"/>
        </Anchor>
        <Create/>
      </Event>
      <Event time="2025-04-18T15:29:56.68" id="{EC717378-6113-41D6-B93A-09CA8AD58BA2}">
        <Attribution userId="S::eric.dina@kimley-horn.com::8f3d4d55-8829-47e8-9dd2-c16db35781e2" userName="Dina, Eric" userProvider="AD"/>
        <Anchor>
          <Comment id="{861277C9-8AEA-483F-910F-13017BF4788C}"/>
        </Anchor>
        <Assign userId="S::Randy.Castellon@kimley-horn.com::a8b4d359-bfa0-474b-8818-d9491bf2ecd0" userName="Castellon, Randy" userProvider="AD"/>
      </Event>
      <Event time="2025-04-18T15:29:56.68" id="{6980C25A-2E46-4FE5-BFB5-9206EE059AC8}">
        <Attribution userId="S::eric.dina@kimley-horn.com::8f3d4d55-8829-47e8-9dd2-c16db35781e2" userName="Dina, Eric" userProvider="AD"/>
        <Anchor>
          <Comment id="{861277C9-8AEA-483F-910F-13017BF4788C}"/>
        </Anchor>
        <SetTitle title="@Castellon, Randy this project is now running at T/M. Can you approximate the total invoice based on effort to date and the remainder of the work plan?"/>
      </Event>
      <Event time="2025-04-22T16:40:34.19" id="{878E828E-A28E-40D4-814B-448044426115}">
        <Attribution userId="S::Randy.Castellon@kimley-horn.com::a8b4d359-bfa0-474b-8818-d9491bf2ecd0" userName="Castellon, Randy" userProvider="AD"/>
        <Progress percentComplete="100"/>
      </Event>
    </History>
  </Task>
  <Task id="{716AAFA6-0D03-4F02-B706-DA8B7E446652}">
    <Anchor>
      <Comment id="{23117AE0-57E4-46E4-91B2-E781B7A2D072}"/>
    </Anchor>
    <History>
      <Event time="2025-04-18T15:30:09.54" id="{344CDCF8-CC64-41C2-9F8F-126947F13FE5}">
        <Attribution userId="S::eric.dina@kimley-horn.com::8f3d4d55-8829-47e8-9dd2-c16db35781e2" userName="Dina, Eric" userProvider="AD"/>
        <Anchor>
          <Comment id="{23117AE0-57E4-46E4-91B2-E781B7A2D072}"/>
        </Anchor>
        <Create/>
      </Event>
      <Event time="2025-04-18T15:30:09.54" id="{512884E1-AB93-4F7A-AC73-22D7DDB03939}">
        <Attribution userId="S::eric.dina@kimley-horn.com::8f3d4d55-8829-47e8-9dd2-c16db35781e2" userName="Dina, Eric" userProvider="AD"/>
        <Anchor>
          <Comment id="{23117AE0-57E4-46E4-91B2-E781B7A2D072}"/>
        </Anchor>
        <Assign userId="S::Randy.Castellon@kimley-horn.com::a8b4d359-bfa0-474b-8818-d9491bf2ecd0" userName="Castellon, Randy" userProvider="AD"/>
      </Event>
      <Event time="2025-04-18T15:30:09.54" id="{F6F31DE7-7F76-44F1-A9F5-A3633B5D7514}">
        <Attribution userId="S::eric.dina@kimley-horn.com::8f3d4d55-8829-47e8-9dd2-c16db35781e2" userName="Dina, Eric" userProvider="AD"/>
        <Anchor>
          <Comment id="{23117AE0-57E4-46E4-91B2-E781B7A2D072}"/>
        </Anchor>
        <SetTitle title="@Castellon, Randy this project is now running at T/M. Can you approximate the total invoice based on effort to date and the remainder of the work plan?"/>
      </Event>
    </History>
  </Task>
</Tasks>
</file>

<file path=xl/externalLinks/_rels/externalLink1.xml.rels><?xml version="1.0" encoding="UTF-8" standalone="yes"?>
<Relationships xmlns="http://schemas.openxmlformats.org/package/2006/relationships"><Relationship Id="rId2" Type="http://schemas.openxmlformats.org/officeDocument/2006/relationships/externalLinkPath" Target="https://kimleyhorn.sharepoint.com/sites/Nicor/Shared%20Documents/Transmission/Nicor%20TR%20Project%20Status.xlsx" TargetMode="External"/><Relationship Id="rId1" Type="http://schemas.openxmlformats.org/officeDocument/2006/relationships/externalLinkPath" Target="https://kimleyhorn.sharepoint.com/sites/Nicor/Shared%20Documents/Transmission/Nicor%20TR%20Project%20Status.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kimleyhorn.sharepoint.com/sites/Nicor/Shared%20Documents/General/Nicor%20DI%20Project%20Status.xlsm" TargetMode="External"/><Relationship Id="rId1" Type="http://schemas.openxmlformats.org/officeDocument/2006/relationships/externalLinkPath" Target="https://kimleyhorn.sharepoint.com/sites/Nicor/Shared%20Documents/General/Nicor%20DI%20Project%20Statu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6iED_6RMS0WJnKtI0BlNvbGg8FtM5jBNrLTbQTG5JWrexxIiVI0cTLMuXmfbmg3b" itemId="01PEPCV5YCXBDZ26VEL5BZU2BVYINOXC7I">
      <xxl21:absoluteUrl r:id="rId2"/>
    </xxl21:alternateUrls>
    <sheetNames>
      <sheetName val="KH Expenses"/>
      <sheetName val="TR Projects"/>
      <sheetName val="TIMP Digs"/>
      <sheetName val="DOT TR"/>
      <sheetName val="On-Hold"/>
      <sheetName val="Non-DOT"/>
      <sheetName val="T&amp;M"/>
      <sheetName val="Completed Projects"/>
      <sheetName val="Requisitions"/>
      <sheetName val="Nicor TR Project Status"/>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6iED_6RMS0WJnKtI0BlNvbGg8FtM5jBNrLTbQTG5JWrexxIiVI0cTLMuXmfbmg3b" itemId="01PEPCV57TOHZNWMAKXFB2SGQH7L5PGIHK">
      <xxl21:absoluteUrl r:id="rId2"/>
    </xxl21:alternateUrls>
    <sheetNames>
      <sheetName val="Reporting"/>
      <sheetName val="RequisitionsOLD"/>
      <sheetName val="2024 - RECONCILE 2"/>
      <sheetName val="Completed Projects Archive"/>
      <sheetName val="2025 - RECONCILE 1"/>
      <sheetName val="CRA &amp; TW Projects"/>
      <sheetName val="Non-DOT Projects"/>
      <sheetName val="DOT Projects"/>
      <sheetName val="T&amp;M"/>
      <sheetName val="Requisitions"/>
      <sheetName val="Completed Projects"/>
      <sheetName val="2025 - RECONCILE 2"/>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Randy" id="{E3651822-1C46-4D92-A8DC-B0F71D4A06E6}">
    <nsvFilter filterId="{87267334-FB0F-4B5C-9926-8B490E0A53C3}" ref="A1:I39" tableId="0">
      <columnFilter colId="1">
        <filter colId="1">
          <x:filters>
            <x:filter val="Randy Castellon"/>
          </x:filters>
        </filter>
      </columnFilter>
      <sortRules>
        <sortRule colId="3">
          <sortCondition ref="D1:D39"/>
        </sortRule>
      </sortRules>
    </nsvFilter>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Ethan" id="{680347B6-9B64-4219-9B2B-82B355C68CCB}">
    <nsvFilter filterId="{87267334-FB0F-4B5C-9926-8B490E0A53C3}" ref="A1:I52" tableId="0">
      <columnFilter colId="1">
        <filter colId="1">
          <x:filters>
            <x:filter val="Ethan Ekstrom"/>
          </x:filters>
        </filter>
      </columnFilter>
      <sortRules>
        <sortRule colId="0">
          <sortCondition ref="A1:A52"/>
        </sortRule>
      </sortRules>
    </nsvFilter>
  </namedSheetView>
  <namedSheetView name="Randy" id="{C31A6BB1-FA39-41A9-923D-A627DB8DD3CA}">
    <nsvFilter filterId="{87267334-FB0F-4B5C-9926-8B490E0A53C3}" ref="A1:I52" tableId="0">
      <columnFilter colId="1">
        <filter colId="1">
          <x:filters>
            <x:filter val="Randy Castellon"/>
          </x:filters>
        </filter>
      </columnFilter>
      <sortRules>
        <sortRule colId="3">
          <sortCondition ref="D1:D52"/>
        </sortRule>
      </sortRules>
    </nsvFilter>
  </namedSheetView>
</namedSheetViews>
</file>

<file path=xl/namedSheetViews/namedSheetView3.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Ethan" id="{EA76BFAA-B42B-43A9-9D3E-A97E2A3E2935}">
    <nsvFilter filterId="{87267334-FB0F-4B5C-9926-8B490E0A53C3}" ref="A1:I44" tableId="0">
      <columnFilter colId="1">
        <filter colId="1">
          <x:filters>
            <x:filter val="Ethan Ekstrom"/>
          </x:filters>
        </filter>
      </columnFilter>
      <sortRules>
        <sortRule colId="0">
          <sortCondition ref="A1:A44"/>
        </sortRule>
      </sortRules>
    </nsvFilter>
  </namedSheetView>
  <namedSheetView name="Randy" id="{756553F7-5432-440C-A36D-170311060D0C}">
    <nsvFilter filterId="{87267334-FB0F-4B5C-9926-8B490E0A53C3}" ref="A1:I44" tableId="0">
      <columnFilter colId="1">
        <filter colId="1">
          <x:filters>
            <x:filter val="Randy Castellon"/>
          </x:filters>
        </filter>
      </columnFilter>
      <sortRules>
        <sortRule colId="3">
          <sortCondition ref="D1:D44"/>
        </sortRule>
      </sortRules>
    </nsvFilter>
  </namedSheetView>
</namedSheetViews>
</file>

<file path=xl/namedSheetViews/namedSheetView4.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Ethan" id="{7A9C9D9D-F7B4-43BD-960A-B8C538C068F7}">
    <nsvFilter filterId="{87267334-FB0F-4B5C-9926-8B490E0A53C3}" ref="A1:J47" tableId="0">
      <columnFilter colId="0">
        <filter colId="0">
          <x:filters>
            <x:filter val="SC25188"/>
          </x:filters>
        </filter>
      </columnFilter>
      <sortRules>
        <sortRule colId="0">
          <sortCondition ref="A1:A47"/>
        </sortRule>
      </sortRules>
    </nsvFilter>
  </namedSheetView>
  <namedSheetView name="Randy" id="{71649C2E-2B3A-49A2-BB00-FF1DB7F00D33}">
    <nsvFilter filterId="{87267334-FB0F-4B5C-9926-8B490E0A53C3}" ref="A1:J47" tableId="0">
      <sortRules>
        <sortRule colId="0">
          <sortCondition ref="A1:A47"/>
        </sortRule>
      </sortRules>
    </nsvFilter>
  </namedSheetView>
</namedSheetViews>
</file>

<file path=xl/namedSheetViews/namedSheetView5.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Ethan" id="{85BD17D9-2E8A-48AA-8E4C-36999E5C80CD}">
    <nsvFilter filterId="{87267334-FB0F-4B5C-9926-8B490E0A53C3}" ref="A1:J38" tableId="0">
      <columnFilter colId="1">
        <filter colId="1">
          <x:filters>
            <x:filter val="Ethan Ekstrom"/>
          </x:filters>
        </filter>
      </columnFilter>
      <sortRules>
        <sortRule colId="0">
          <sortCondition ref="A1:A38"/>
        </sortRule>
      </sortRules>
    </nsvFilter>
  </namedSheetView>
  <namedSheetView name="Randy" id="{5C208AA0-F213-4D5B-9B44-865316EC313D}">
    <nsvFilter filterId="{87267334-FB0F-4B5C-9926-8B490E0A53C3}" ref="A1:J38" tableId="0">
      <columnFilter colId="1">
        <filter colId="1">
          <x:filters>
            <x:filter val="Randy Castellon"/>
          </x:filters>
        </filter>
      </columnFilter>
      <sortRules>
        <sortRule colId="4">
          <sortCondition ref="E1:E38"/>
        </sortRule>
      </sortRules>
    </nsvFilter>
  </namedSheetView>
</namedSheetViews>
</file>

<file path=xl/namedSheetViews/namedSheetView6.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Ethan" id="{F943F354-EA1D-47E2-AA3E-C6BD2165C256}">
    <nsvFilter filterId="{87267334-FB0F-4B5C-9926-8B490E0A53C3}" ref="A1:J49" tableId="0">
      <columnFilter colId="1">
        <filter colId="1">
          <x:filters>
            <x:filter val="Ethan Ekstrom"/>
            <x:filter val="Taylor Lierow/Ethan Ekstrom"/>
          </x:filters>
        </filter>
      </columnFilter>
      <sortRules>
        <sortRule colId="0">
          <sortCondition ref="A1:A49"/>
        </sortRule>
      </sortRules>
    </nsvFilter>
  </namedSheetView>
  <namedSheetView name="Randy" id="{F8BF3A0A-B756-45FD-A723-4542A83A36DB}">
    <nsvFilter filterId="{87267334-FB0F-4B5C-9926-8B490E0A53C3}" ref="A1:J49" tableId="0">
      <sortRules>
        <sortRule colId="4">
          <sortCondition ref="E1:E49"/>
        </sortRule>
      </sortRules>
    </nsvFilter>
  </namedSheetView>
</namedSheetViews>
</file>

<file path=xl/namedSheetViews/namedSheetView7.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Ethan" id="{77B99DB4-B4EA-49E2-AA6C-DC39FDFE7B22}">
    <nsvFilter filterId="{87267334-FB0F-4B5C-9926-8B490E0A53C3}" ref="A1:J49" tableId="0">
      <columnFilter colId="1">
        <filter colId="1">
          <x:filters>
            <x:filter val="Ethan Ekstrom"/>
          </x:filters>
        </filter>
      </columnFilter>
      <sortRules>
        <sortRule colId="0">
          <sortCondition ref="A1:A49"/>
        </sortRule>
      </sortRules>
    </nsvFilter>
  </namedSheetView>
  <namedSheetView name="Randy" id="{4678E09C-5940-440F-B6EA-D49786D2AA57}">
    <nsvFilter filterId="{87267334-FB0F-4B5C-9926-8B490E0A53C3}" ref="A1:J49" tableId="0">
      <columnFilter colId="1">
        <filter colId="1">
          <x:filters>
            <x:filter val="Randy Castellon"/>
          </x:filters>
        </filter>
      </columnFilter>
      <sortRules>
        <sortRule colId="4">
          <sortCondition ref="E1:E49"/>
        </sortRule>
      </sortRules>
    </nsvFilter>
  </namedSheetView>
</namedSheetViews>
</file>

<file path=xl/persons/person.xml><?xml version="1.0" encoding="utf-8"?>
<personList xmlns="http://schemas.microsoft.com/office/spreadsheetml/2018/threadedcomments" xmlns:x="http://schemas.openxmlformats.org/spreadsheetml/2006/main">
  <person displayName="Dina, Eric" id="{A4CDD843-ECF6-4B1F-ABDB-22A3D7E538F6}" userId="Eric.Dina@kimley-horn.com" providerId="PeoplePicker"/>
  <person displayName="Bruce, Logan" id="{03DA59AC-A4FF-4624-89AA-BDB85761FCB9}" userId="Logan.Bruce@kimley-horn.com" providerId="PeoplePicker"/>
  <person displayName="Stanley, Mark" id="{438671D6-F1DC-44F0-9B73-88C22C9E498B}" userId="Mark.Stanley@kimley-horn.com" providerId="PeoplePicker"/>
  <person displayName="Hopkins, Matt" id="{CEB951BC-F9E9-4AEB-8809-348478C1FBD6}" userId="Matt.Hopkins@kimley-horn.com" providerId="PeoplePicker"/>
  <person displayName="Rojas, Taylor" id="{A0CAE781-6B95-4721-ABB0-6EB1229E5592}" userId="Taylor.Rojas@kimley-horn.com" providerId="PeoplePicker"/>
  <person displayName="Corbi, Camille" id="{D36D41E7-7C7B-4C61-B4EB-984337E2B8AB}" userId="Camille.Corbi@kimley-horn.com" providerId="PeoplePicker"/>
  <person displayName="Ekstrom, Ethan" id="{F5DDEB97-D893-440A-AE27-FE1DA0AD57C0}" userId="Ethan.Ekstrom@kimley-horn.com" providerId="PeoplePicker"/>
  <person displayName="Lierow, Taylor" id="{51D169DE-BF6F-437C-A402-7B8B60C18ABB}" userId="Taylor.Lierow@kimley-horn.com" providerId="PeoplePicker"/>
  <person displayName="Molloy, Michael" id="{A8E450A8-8ECB-4202-AEEB-CE853ED6935B}" userId="Michael.Molloy@kimley-horn.com" providerId="PeoplePicker"/>
  <person displayName="LaPorte, Marissa" id="{3CE8C8B7-A814-4F85-9595-D516EB50CB06}" userId="Marissa.LaPorte@kimley-horn.com" providerId="PeoplePicker"/>
  <person displayName="Castellon, Randy" id="{691130C5-A819-43B5-9D63-AC23735E5F67}" userId="Randy.Castellon@kimley-horn.com" providerId="PeoplePicker"/>
  <person displayName="Chamernik, Conner" id="{4DDFC689-7E01-4482-8E69-619F73063347}" userId="Conner.Chamernik@kimley-horn.com" providerId="PeoplePicker"/>
  <person displayName="Pohlman, Mitchell" id="{DC23700E-C8BD-4B50-8752-C18CA16562C2}" userId="Mitchell.Pohlman@kimley-horn.com" providerId="PeoplePicker"/>
  <person displayName="Dina, Eric" id="{12CC137A-5D2F-4357-852F-DE562BA0D55F}" userId="S::eric.dina@kimley-horn.com::8f3d4d55-8829-47e8-9dd2-c16db35781e2" providerId="AD"/>
  <person displayName="Bruce, Logan" id="{81A8784C-3981-4ED0-B801-DC4D4851FB57}" userId="S::logan.bruce@kimley-horn.com::fa90410d-13aa-49e0-b51a-7b3616f87ee9" providerId="AD"/>
  <person displayName="Hopkins, Matt" id="{37A388D7-7934-484A-AA1C-46F3E17F780C}" userId="S::matt.hopkins@kimley-horn.com::7aa1e521-2212-4c00-9714-2b583696a4c7" providerId="AD"/>
  <person displayName="Corbi, Camille" id="{4D99A665-6BB1-4C08-8E45-7307896ACB70}" userId="S::camille.corbi@kimley-horn.com::b80af43d-e18c-4b85-83af-a17cab61de64" providerId="AD"/>
  <person displayName="Ekstrom, Ethan" id="{1919C8AB-6E91-4858-A216-2614ED8BC5F9}" userId="S::ethan.ekstrom@kimley-horn.com::1e70e216-c8e6-461c-bf63-53f1f0b1f361" providerId="AD"/>
  <person displayName="Betland, Joseph" id="{5754ED41-BB1B-4014-AD60-750D4FE00BB7}" userId="S::Joseph.Betland@kimley-horn.com::57bf78ce-dcbd-4b6e-831b-185d4a6e51e1" providerId="AD"/>
  <person displayName="Betland, Joseph" id="{DEB4A9AF-D21C-4B43-BE16-17E3F84C3111}" userId="S::joseph.betland@kimley-horn.com::57bf78ce-dcbd-4b6e-831b-185d4a6e51e1" providerId="AD"/>
  <person displayName="Castellon, Randy" id="{A824AD54-12F3-4497-8ADE-CBE23840A9D5}" userId="S::Randy.Castellon@kimley-horn.com::a8b4d359-bfa0-474b-8818-d9491bf2ecd0" providerId="AD"/>
  <person displayName="LaPorte, Marissa" id="{F7DBA3AC-B86E-4519-ADEB-11B7F74689EE}" userId="S::marissa.laporte@kimley-horn.com::c85ca7b8-b5f4-4260-9b15-fd394e76ac9a" providerId="AD"/>
  <person displayName="Castellon, Randy" id="{90C9D7CD-70F8-49B2-84F9-5CBA275B198F}" userId="S::randy.castellon@kimley-horn.com::a8b4d359-bfa0-474b-8818-d9491bf2ecd0" providerId="AD"/>
  <person displayName="Chamernik, Conner" id="{CC088E53-FE41-4961-9EDD-2329D2A75CE4}" userId="S::conner.chamernik@kimley-horn.com::99b12002-7407-47b9-a166-39043bdd2db5"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0691EB-210F-4E96-B32C-024BF13F21C4}" name="Table1" displayName="Table1" ref="A1:F21" totalsRowShown="0" headerRowDxfId="77" dataDxfId="76">
  <autoFilter ref="A1:F21" xr:uid="{790691EB-210F-4E96-B32C-024BF13F21C4}"/>
  <sortState xmlns:xlrd2="http://schemas.microsoft.com/office/spreadsheetml/2017/richdata2" ref="A2:F21">
    <sortCondition ref="D1:D21"/>
  </sortState>
  <tableColumns count="6">
    <tableColumn id="1" xr3:uid="{6574DEB7-D59E-48D9-9B1E-54CB074C763B}" name="Engineering Number" dataDxfId="75"/>
    <tableColumn id="2" xr3:uid="{2F1FE4A4-3580-4B3C-93FA-54C64248CF50}" name="Designer Name" dataDxfId="74"/>
    <tableColumn id="3" xr3:uid="{2D570C89-B88C-4755-AC6D-1F5F17AAA078}" name="Town" dataDxfId="73"/>
    <tableColumn id="4" xr3:uid="{FA4CD156-2366-40D7-80DC-52B1E59A2800}" name="Anticipated Release Month" dataDxfId="72"/>
    <tableColumn id="5" xr3:uid="{5756CBBA-8558-4EF3-BB54-13F73A964139}" name="Anticipated Cost" dataDxfId="71"/>
    <tableColumn id="6" xr3:uid="{BC73728E-B8DC-4B54-B87C-D8D36AED70B4}" name="Anticipated Fee" dataDxfId="70">
      <calculatedColumnFormula>0.1*Table1[[#This Row],[Anticipated Cost]]</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A85D39-C5D3-44D5-B21A-E9798E0AF9B9}" name="Table14" displayName="Table14" ref="A1:F28" totalsRowShown="0" headerRowDxfId="69" dataDxfId="68">
  <autoFilter ref="A1:F28" xr:uid="{25A85D39-C5D3-44D5-B21A-E9798E0AF9B9}"/>
  <sortState xmlns:xlrd2="http://schemas.microsoft.com/office/spreadsheetml/2017/richdata2" ref="A2:F27">
    <sortCondition ref="D1:D27"/>
  </sortState>
  <tableColumns count="6">
    <tableColumn id="1" xr3:uid="{072B1FC3-D3CD-4E80-AAE3-2E8D62214DD4}" name="Engineering Number" dataDxfId="67"/>
    <tableColumn id="2" xr3:uid="{67BB5CFF-6D1C-4AA3-BC75-955FBB6B75DC}" name="Designer Name" dataDxfId="66"/>
    <tableColumn id="3" xr3:uid="{7A6FE173-0CC7-47BA-9EE5-9AB842E6E04A}" name="Town" dataDxfId="65"/>
    <tableColumn id="4" xr3:uid="{82C93090-2AB4-4F59-B42D-F0DA02DD1029}" name="Anticipated Billing Month" dataDxfId="64"/>
    <tableColumn id="5" xr3:uid="{4D4D24FB-51EA-4D1E-874C-EB86E9840DE1}" name="Anticipated Cost" dataDxfId="63"/>
    <tableColumn id="6" xr3:uid="{2BD1A3CF-A334-476A-A698-C0BC593F6565}" name="Anticipated Fee" dataDxfId="62">
      <calculatedColumnFormula>Table14[[#This Row],[Anticipated Cost]]*0.1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3392CD-3771-4153-B7A8-7E9F240DD048}" name="Table145" displayName="Table145" ref="A1:F27" totalsRowShown="0" headerRowDxfId="61" dataDxfId="60">
  <autoFilter ref="A1:F27" xr:uid="{A53392CD-3771-4153-B7A8-7E9F240DD048}"/>
  <sortState xmlns:xlrd2="http://schemas.microsoft.com/office/spreadsheetml/2017/richdata2" ref="A2:F27">
    <sortCondition ref="D1:D27"/>
  </sortState>
  <tableColumns count="6">
    <tableColumn id="1" xr3:uid="{5166EBB3-05BE-4ECA-99FA-BB345F257D20}" name="Engineering Number" dataDxfId="59"/>
    <tableColumn id="2" xr3:uid="{5166AC65-6EE4-40CE-B55E-883932B5E2E1}" name="Designer Name" dataDxfId="58"/>
    <tableColumn id="3" xr3:uid="{8030CBAE-71AD-4559-8D1A-4F8ACC610671}" name="Town" dataDxfId="57"/>
    <tableColumn id="4" xr3:uid="{63DE8E0C-BA05-4B80-81E5-5A8669E27C5D}" name="Anticipated Billing Month" dataDxfId="56"/>
    <tableColumn id="5" xr3:uid="{86E41522-417C-408C-B491-048C73A0C21E}" name="Anticipated Cost" dataDxfId="55"/>
    <tableColumn id="6" xr3:uid="{012ED936-3C8C-46AF-A307-C30930ECBF97}" name="Anticipated Fee" dataDxfId="54">
      <calculatedColumnFormula>0.1*Table145[[#This Row],[Anticipated Cost]]</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2F4891-CAC4-4479-AFDA-7ECDA0EF4F79}" name="Table1453" displayName="Table1453" ref="A1:F25" totalsRowShown="0" headerRowDxfId="53" dataDxfId="52">
  <autoFilter ref="A1:F25" xr:uid="{012F4891-CAC4-4479-AFDA-7ECDA0EF4F79}"/>
  <sortState xmlns:xlrd2="http://schemas.microsoft.com/office/spreadsheetml/2017/richdata2" ref="A2:F25">
    <sortCondition ref="D1:D25"/>
  </sortState>
  <tableColumns count="6">
    <tableColumn id="1" xr3:uid="{E3E58783-94A8-489B-BE4D-547E02F4AD96}" name="Engineering Number" dataDxfId="51"/>
    <tableColumn id="2" xr3:uid="{070BC773-B5B1-496A-BBBA-C8F988483396}" name="Designer Name" dataDxfId="50"/>
    <tableColumn id="3" xr3:uid="{EF905979-9405-4028-A3A8-CCF1074EB571}" name="Town" dataDxfId="49"/>
    <tableColumn id="4" xr3:uid="{919A1072-117A-4E04-8B05-74FFEF368149}" name="Anticipated Billing Month" dataDxfId="48"/>
    <tableColumn id="5" xr3:uid="{319EFAA7-37F4-4AF5-B4FA-7707A3B8CF6D}" name="Anticipated Cost" dataDxfId="47"/>
    <tableColumn id="6" xr3:uid="{642B70A0-9546-4BC2-A4B2-9F6F7DA60FEC}" name="Anticipated Fee" dataDxfId="46">
      <calculatedColumnFormula>0.1*Table1453[[#This Row],[Anticipated Cost]]</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D2BC972-14C7-4759-9CC4-DD3072EE207D}" name="Table14536" displayName="Table14536" ref="A1:F22" totalsRowShown="0" headerRowDxfId="45" dataDxfId="44">
  <autoFilter ref="A1:F22" xr:uid="{2D2BC972-14C7-4759-9CC4-DD3072EE207D}"/>
  <sortState xmlns:xlrd2="http://schemas.microsoft.com/office/spreadsheetml/2017/richdata2" ref="A2:F22">
    <sortCondition ref="D1:D22"/>
  </sortState>
  <tableColumns count="6">
    <tableColumn id="1" xr3:uid="{737533B1-5531-45D4-B9C3-6519E520C412}" name="Engineering Number" dataDxfId="43"/>
    <tableColumn id="2" xr3:uid="{1A045C5D-8B10-445F-92A2-5FE1D1F15106}" name="Designer Name" dataDxfId="42"/>
    <tableColumn id="3" xr3:uid="{674D13FB-CAE8-4DF8-98BC-089E9CC4606D}" name="Town" dataDxfId="41"/>
    <tableColumn id="4" xr3:uid="{455F7E4D-07C4-45AE-8C87-DA13DC439897}" name="Anticipated Billing Month" dataDxfId="40"/>
    <tableColumn id="5" xr3:uid="{55122F87-FA84-4A63-9B23-E5E4A420042F}" name="Anticipated Cost" dataDxfId="39"/>
    <tableColumn id="6" xr3:uid="{F81F0D91-2D97-446B-815D-69C4A61D5ACD}" name="Anticipated Fee" dataDxfId="38">
      <calculatedColumnFormula>0.1*Table14536[[#This Row],[Anticipated Cost]]</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DA4E623-80E9-4FF2-BAC5-B23F29E09A00}" name="Table1453679" displayName="Table1453679" ref="A1:F30" totalsRowShown="0" headerRowDxfId="37" dataDxfId="36">
  <autoFilter ref="A1:F30" xr:uid="{9DA4E623-80E9-4FF2-BAC5-B23F29E09A00}"/>
  <sortState xmlns:xlrd2="http://schemas.microsoft.com/office/spreadsheetml/2017/richdata2" ref="A2:F30">
    <sortCondition ref="D1:D30"/>
  </sortState>
  <tableColumns count="6">
    <tableColumn id="1" xr3:uid="{8AF370E6-F769-4659-B284-9F34830F11C2}" name="Engineering Number" dataDxfId="35"/>
    <tableColumn id="2" xr3:uid="{73968342-746B-44AC-9DB4-D6C21D5A2E50}" name="Designer Name" dataDxfId="34"/>
    <tableColumn id="3" xr3:uid="{6F62EF62-E77D-4BA8-913E-12590DF0F8CF}" name="Town" dataDxfId="33"/>
    <tableColumn id="4" xr3:uid="{6AF78DCB-ACC2-45B0-8C31-C4CAD6E1A743}" name="Anticipated Billing Month" dataDxfId="32"/>
    <tableColumn id="5" xr3:uid="{50FEA946-0FC1-4DAA-B875-F5541633AE6B}" name="Anticipated Cost" dataDxfId="31"/>
    <tableColumn id="6" xr3:uid="{DBAB9096-CB81-43B0-83D8-BB4E962F0086}" name="Anticipated Fee" dataDxfId="3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36626B8-FF37-48D9-BE1E-BE60B175DF60}" name="Table14536797" displayName="Table14536797" ref="A1:F25" totalsRowShown="0" headerRowDxfId="29" dataDxfId="28">
  <autoFilter ref="A1:F25" xr:uid="{9DA4E623-80E9-4FF2-BAC5-B23F29E09A00}"/>
  <sortState xmlns:xlrd2="http://schemas.microsoft.com/office/spreadsheetml/2017/richdata2" ref="A2:F25">
    <sortCondition ref="D1:D25"/>
  </sortState>
  <tableColumns count="6">
    <tableColumn id="1" xr3:uid="{318E3BB4-6445-458B-9586-AC3F9C69BBE7}" name="Engineering Number" dataDxfId="27"/>
    <tableColumn id="2" xr3:uid="{912B50B6-DA8F-48BD-A224-D977688821F3}" name="Designer Name" dataDxfId="26"/>
    <tableColumn id="3" xr3:uid="{CB7715B5-17E0-48B0-AE22-E25EFA604173}" name="Town" dataDxfId="25"/>
    <tableColumn id="4" xr3:uid="{C068F24C-B7BC-4A92-AD64-DDEC7F8AD4AC}" name="Anticipated Billing Month" dataDxfId="24"/>
    <tableColumn id="5" xr3:uid="{FEDAA48C-A8A0-483A-8070-B81FEA78A52C}" name="Anticipated Cost" dataDxfId="23"/>
    <tableColumn id="6" xr3:uid="{0786A6D7-155D-4514-AA93-65EA86BAE1CE}" name="Anticipated Fee" dataDxfId="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B32F7D6-9C0C-4A7C-BE94-0412E2C0FBBF}" name="Table145367978" displayName="Table145367978" ref="A1:G23" totalsRowShown="0" headerRowDxfId="21" dataDxfId="20">
  <autoFilter ref="A1:G23" xr:uid="{4B32F7D6-9C0C-4A7C-BE94-0412E2C0FBBF}"/>
  <sortState xmlns:xlrd2="http://schemas.microsoft.com/office/spreadsheetml/2017/richdata2" ref="A2:G23">
    <sortCondition ref="D1:D23"/>
  </sortState>
  <tableColumns count="7">
    <tableColumn id="1" xr3:uid="{1A43B0B8-D44E-4B72-B7F3-AD6A1E106BE1}" name="Engineering Number" dataDxfId="19"/>
    <tableColumn id="2" xr3:uid="{485D30D1-920D-46A5-9086-BCFE7A7ECD9D}" name="Designer Name" dataDxfId="18"/>
    <tableColumn id="3" xr3:uid="{1A1F5A6E-6CF5-4594-A51A-23FBD7F542CD}" name="Town" dataDxfId="17"/>
    <tableColumn id="4" xr3:uid="{A44874D1-24F9-4799-B5DF-70226AF66988}" name="Anticipated Billing Month" dataDxfId="16"/>
    <tableColumn id="5" xr3:uid="{E89D79EB-19B6-4F7F-B9C8-33FE9CB8EF22}" name="Anticipated Cost" dataDxfId="15"/>
    <tableColumn id="6" xr3:uid="{65B31CE2-C1D7-4BBF-B765-CA113EC86232}" name="Anticipated Fee" dataDxfId="14"/>
    <tableColumn id="7" xr3:uid="{388F1E2E-E5B6-4F66-852E-97B7A1B8C206}" name="JPB Notes" dataDxfId="1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3EB18DD-D512-41C4-A2C1-DEF40B64F809}" name="Table14536797810" displayName="Table14536797810" ref="A1:G31" totalsRowShown="0" headerRowDxfId="12" dataDxfId="11">
  <autoFilter ref="A1:G31" xr:uid="{4B32F7D6-9C0C-4A7C-BE94-0412E2C0FBBF}">
    <filterColumn colId="4">
      <filters>
        <filter val="$10,000,000.00"/>
        <filter val="$100,000.00"/>
        <filter val="$110,000.00"/>
        <filter val="$150,000.00"/>
        <filter val="$2,500,000.00"/>
        <filter val="$200,000.00"/>
        <filter val="$3,300,000.00"/>
        <filter val="$300,000.00"/>
        <filter val="$450,000.00"/>
        <filter val="$500,000.00"/>
        <filter val="$6,500,000.00"/>
        <filter val="$600,000.00"/>
        <filter val="$7,000,000.00"/>
        <filter val="$700,000.00"/>
        <filter val="$80,000.00"/>
        <filter val="$980,000.00"/>
      </filters>
    </filterColumn>
  </autoFilter>
  <sortState xmlns:xlrd2="http://schemas.microsoft.com/office/spreadsheetml/2017/richdata2" ref="A2:G31">
    <sortCondition ref="D1:D31"/>
  </sortState>
  <tableColumns count="7">
    <tableColumn id="1" xr3:uid="{74952608-09FD-4A64-8033-8A867D514C6E}" name="Engineering Number" dataDxfId="10"/>
    <tableColumn id="2" xr3:uid="{A3ADD1BD-CD00-4D19-9A25-9F9F32A90A5F}" name="Designer Name" dataDxfId="9"/>
    <tableColumn id="3" xr3:uid="{71ED5CCE-D0C2-4484-956F-85F05B2211D3}" name="Town" dataDxfId="8"/>
    <tableColumn id="4" xr3:uid="{9558E078-1763-4D8C-AAA2-C9F9C4D43351}" name="Anticipated Billing Month" dataDxfId="7"/>
    <tableColumn id="5" xr3:uid="{6B481AAF-6B5B-4307-BD1C-AD42E2D893B0}" name="Anticipated Cost" dataDxfId="6"/>
    <tableColumn id="6" xr3:uid="{1336C766-641B-4C21-84B6-D59FB2EB1270}" name="Anticipated Fee" dataDxfId="5"/>
    <tableColumn id="7" xr3:uid="{FB87C3ED-D621-495D-952A-CA9D953C98A6}" name="JPB Notes" dataDxfId="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4-29T16:23:53.47" personId="{5754ED41-BB1B-4014-AD60-750D4FE00BB7}" id="{4786CF4B-BBEB-42CE-AC2D-8ABB2F3F03C4}">
    <text>Enter in estimated amount for hourly tasks</text>
  </threadedComment>
  <threadedComment ref="F20" dT="2024-04-29T18:44:36.34" personId="{DEB4A9AF-D21C-4B43-BE16-17E3F84C3111}" id="{8CAA3514-2CB5-40C8-8D3E-5A818B87376E}">
    <text>@Castellon, Randy  i know this is TM - I want to see an hourly estimate as to what we'll be charging them, per my email</text>
    <mentions>
      <mention mentionpersonId="{691130C5-A819-43B5-9D63-AC23735E5F67}" mentionId="{4772D84E-F19F-492D-BBAC-7E5C2CCC4367}" startIndex="0" length="17"/>
    </mentions>
  </threadedComment>
  <threadedComment ref="F20" dT="2024-04-29T19:31:21.18" personId="{90C9D7CD-70F8-49B2-84F9-5CBA275B198F}" id="{BD075220-FBEB-4139-B124-0CA128EA3C4E}" parentId="{8CAA3514-2CB5-40C8-8D3E-5A818B87376E}">
    <text>i seeee. i updated this based on rte and anticipated effort</text>
  </threadedComment>
</ThreadedComments>
</file>

<file path=xl/threadedComments/threadedComment2.xml><?xml version="1.0" encoding="utf-8"?>
<ThreadedComments xmlns="http://schemas.microsoft.com/office/spreadsheetml/2018/threadedcomments" xmlns:x="http://schemas.openxmlformats.org/spreadsheetml/2006/main">
  <threadedComment ref="F1" dT="2024-04-29T16:23:53.47" personId="{5754ED41-BB1B-4014-AD60-750D4FE00BB7}" id="{B330AE8E-119B-422D-A233-7FC4742E7148}">
    <text>Enter in estimated amount for hourly tasks</text>
  </threadedComment>
  <threadedComment ref="E2" dT="2024-05-29T19:00:56.06" personId="{DEB4A9AF-D21C-4B43-BE16-17E3F84C3111}" id="{AF9EB590-4078-4098-8219-2B6FE61F99C8}" done="1">
    <text>@Dina, Eric  since we'll be invoicing this in june could you please add</text>
    <mentions>
      <mention mentionpersonId="{A4CDD843-ECF6-4B1F-ABDB-22A3D7E538F6}" mentionId="{3A1D811E-997F-4851-A8F8-AA2AF718B177}" startIndex="0" length="11"/>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E2" dT="2024-06-24T15:58:00.08" personId="{CC088E53-FE41-4961-9EDD-2329D2A75CE4}" id="{BA3CBC0F-F51F-47EE-84B0-2F54E2FF3C61}">
    <text>We are combining this drawing with NBA10014004 so majority of the cost is on the NBA (sitting around $1M for NBA estimate).</text>
  </threadedComment>
</ThreadedComments>
</file>

<file path=xl/threadedComments/threadedComment4.xml><?xml version="1.0" encoding="utf-8"?>
<ThreadedComments xmlns="http://schemas.microsoft.com/office/spreadsheetml/2018/threadedcomments" xmlns:x="http://schemas.openxmlformats.org/spreadsheetml/2006/main">
  <threadedComment ref="F2" dT="2024-07-23T14:06:48.97" personId="{CC088E53-FE41-4961-9EDD-2329D2A75CE4}" id="{835F29D5-FB01-4C8A-9472-7FFFE6116FE4}">
    <text>Probably won't bill this due to low effort.</text>
  </threadedComment>
  <threadedComment ref="E3" dT="2024-06-24T15:58:00.08" personId="{CC088E53-FE41-4961-9EDD-2329D2A75CE4}" id="{DBB743D8-B57D-4071-BE03-4C04B01B84BD}">
    <text>We are combining this drawing with NBA10014004 so majority of the cost is on the NBA (sitting around $1M for NBA estimate).</text>
  </threadedComment>
</ThreadedComments>
</file>

<file path=xl/threadedComments/threadedComment5.xml><?xml version="1.0" encoding="utf-8"?>
<ThreadedComments xmlns="http://schemas.microsoft.com/office/spreadsheetml/2018/threadedcomments" xmlns:x="http://schemas.openxmlformats.org/spreadsheetml/2006/main">
  <threadedComment ref="F6" dT="2024-08-19T18:52:30.78" personId="{CC088E53-FE41-4961-9EDD-2329D2A75CE4}" id="{9AEF8B03-FD45-40B0-9B94-B5EFF83D1BA1}">
    <text>Hopefully will be able to negotiate out of the second round of CCDOTH comments</text>
  </threadedComment>
  <threadedComment ref="F8" dT="2024-08-19T18:47:29.18" personId="{CC088E53-FE41-4961-9EDD-2329D2A75CE4}" id="{4AF63374-8DBB-4DD7-BAE8-C2FB4ED0B709}">
    <text>Calvin K said they will likely move forward with rock boring so I can see us not billing this for our support effort (currently at $2,735 but don't see it going up much).</text>
  </threadedComment>
</ThreadedComments>
</file>

<file path=xl/threadedComments/threadedComment6.xml><?xml version="1.0" encoding="utf-8"?>
<ThreadedComments xmlns="http://schemas.microsoft.com/office/spreadsheetml/2018/threadedcomments" xmlns:x="http://schemas.openxmlformats.org/spreadsheetml/2006/main">
  <threadedComment ref="F8" dT="2024-09-13T12:57:50.31" personId="{4D99A665-6BB1-4C08-8E45-7307896ACB70}" id="{102200B6-8FEC-4BAB-8E38-6BB2D9859B07}">
    <text>Pending a meeting with Nicor on Monday. If they want to update the current design this could go up.</text>
  </threadedComment>
  <threadedComment ref="E18" dT="2024-09-13T13:29:32.84" personId="{37A388D7-7934-484A-AA1C-46F3E17F780C}" id="{D8968A45-BD34-4EF9-80A5-470764E3742C}">
    <text>Conservative Estimate based on anticipated conflicts</text>
  </threadedComment>
  <threadedComment ref="E19" dT="2024-09-13T13:29:47.26" personId="{37A388D7-7934-484A-AA1C-46F3E17F780C}" id="{E18FF8FA-FA1D-49A2-AAB0-2F1B1D56F7B0}">
    <text>Conservative Estimate based on anticipated conflicts</text>
  </threadedComment>
</ThreadedComments>
</file>

<file path=xl/threadedComments/threadedComment7.xml><?xml version="1.0" encoding="utf-8"?>
<ThreadedComments xmlns="http://schemas.microsoft.com/office/spreadsheetml/2018/threadedcomments" xmlns:x="http://schemas.openxmlformats.org/spreadsheetml/2006/main">
  <threadedComment ref="E3" dT="2024-11-18T22:49:17.43" personId="{DEB4A9AF-D21C-4B43-BE16-17E3F84C3111}" id="{EDC4DB82-6996-4348-AE0D-DAF89BC5CC0C}">
    <text>@Dina, Eric  @Ekstrom, Ethan FYI this ended up at 1.85M so quite a bit higher than anticipated. Please factor that in in future forecasts</text>
    <mentions>
      <mention mentionpersonId="{A4CDD843-ECF6-4B1F-ABDB-22A3D7E538F6}" mentionId="{4320B6D1-5633-433D-9F47-07CE84BA9F63}" startIndex="0" length="11"/>
      <mention mentionpersonId="{F5DDEB97-D893-440A-AE27-FE1DA0AD57C0}" mentionId="{DE0E5106-A316-4728-BADE-AD05C1236725}" startIndex="13" length="15"/>
    </mentions>
  </threadedComment>
  <threadedComment ref="F20" dT="2024-10-14T17:14:58.11" personId="{CC088E53-FE41-4961-9EDD-2329D2A75CE4}" id="{C5F410E5-B482-499A-BE96-C8982994DD8B}">
    <text xml:space="preserve">We just supported on this task due DOT delaying their construction. I can see this not being billed. </text>
  </threadedComment>
</ThreadedComments>
</file>

<file path=xl/threadedComments/threadedComment8.xml><?xml version="1.0" encoding="utf-8"?>
<ThreadedComments xmlns="http://schemas.microsoft.com/office/spreadsheetml/2018/threadedcomments" xmlns:x="http://schemas.openxmlformats.org/spreadsheetml/2006/main">
  <threadedComment ref="E4" dT="2024-11-18T22:50:16.85" personId="{DEB4A9AF-D21C-4B43-BE16-17E3F84C3111}" id="{7A3E5315-14D2-4660-8FB6-7E1FC4CAF04D}">
    <text xml:space="preserve">@Hopkins, Matt  FYI this ended up at almost 1.1M, so significantly higher than the original estimate. Please factor that into future estimates. </text>
    <mentions>
      <mention mentionpersonId="{CEB951BC-F9E9-4AEB-8809-348478C1FBD6}" mentionId="{F5A964CA-938B-4811-8B7D-CF35EA0BA130}" startIndex="0" length="14"/>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E4" dT="2024-12-16T20:38:19.03" personId="{4D99A665-6BB1-4C08-8E45-7307896ACB70}" id="{A8118C05-5744-463C-B9BB-44AA9E31F070}">
    <text>This is looking closer to 15 mil</text>
  </threadedComment>
  <threadedComment ref="E8" dT="2024-12-16T20:34:43.09" personId="{DEB4A9AF-D21C-4B43-BE16-17E3F84C3111}" id="{B8AA0897-42D8-4049-96C7-3104698569EB}" done="1">
    <text>@Corbi, Camille i did my best to get values entered but could you please fill the rest of your cells out?</text>
    <mentions>
      <mention mentionpersonId="{D36D41E7-7C7B-4C61-B4EB-984337E2B8AB}" mentionId="{5ECF565B-60AB-4A8F-85EB-DAE751AD32ED}" startIndex="0" length="15"/>
    </mentions>
  </threadedComment>
  <threadedComment ref="D17" dT="2024-12-16T20:34:19.34" personId="{DEB4A9AF-D21C-4B43-BE16-17E3F84C3111}" id="{51F401D7-A520-4D56-B904-2BB11651EC48}">
    <text>@Ekstrom, Ethan please fill these couple out</text>
    <mentions>
      <mention mentionpersonId="{F5DDEB97-D893-440A-AE27-FE1DA0AD57C0}" mentionId="{E220E754-859D-460F-8A21-A2D338DAB3D6}" startIndex="0" length="15"/>
    </mentions>
  </threadedComment>
  <threadedComment ref="D17" dT="2024-12-16T20:49:52.52" personId="{1919C8AB-6E91-4858-A216-2614ED8BC5F9}" id="{30FBAD37-A741-4EA8-8355-7589E8292E4C}" parentId="{51F401D7-A520-4D56-B904-2BB11651EC48}">
    <text>Done</text>
  </threadedComment>
</ThreadedComments>
</file>

<file path=xl/threadedComments/threadedComment10.xml><?xml version="1.0" encoding="utf-8"?>
<ThreadedComments xmlns="http://schemas.microsoft.com/office/spreadsheetml/2018/threadedcomments" xmlns:x="http://schemas.openxmlformats.org/spreadsheetml/2006/main">
  <threadedComment ref="G2" dT="2025-01-21T22:58:52.63" personId="{DEB4A9AF-D21C-4B43-BE16-17E3F84C3111}" id="{97C4F008-60A9-4CAC-8C36-2F6E351EE2AC}">
    <text>@Bruce, Logan  @Rojas, Taylor  i tagged the wrong tab before....please update these red cells</text>
    <mentions>
      <mention mentionpersonId="{03DA59AC-A4FF-4624-89AA-BDB85761FCB9}" mentionId="{CACD3491-19B8-4ECF-BA9C-4DEF4E6A4433}" startIndex="0" length="13"/>
      <mention mentionpersonId="{A0CAE781-6B95-4721-ABB0-6EB1229E5592}" mentionId="{CF53A515-2EED-48BA-BCBB-FD02918B0E6E}" startIndex="15" length="14"/>
    </mentions>
  </threadedComment>
  <threadedComment ref="G2" dT="2025-01-21T23:15:49.56" personId="{81A8784C-3981-4ED0-B801-DC4D4851FB57}" id="{F0EB9CB2-2746-41FE-AA56-CB90F0149373}" parentId="{97C4F008-60A9-4CAC-8C36-2F6E351EE2AC}">
    <text>done</text>
  </threadedComment>
  <threadedComment ref="G18" dT="2025-01-21T23:15:43.54" personId="{DEB4A9AF-D21C-4B43-BE16-17E3F84C3111}" id="{A34753E2-7343-4C64-B635-1C65BE17ABF3}">
    <text>@Bruce, Logan  I correct this off the invoice, you had like 526k in here</text>
    <mentions>
      <mention mentionpersonId="{03DA59AC-A4FF-4624-89AA-BDB85761FCB9}" mentionId="{8D844E86-2570-4DED-AFAF-9D3161F3E418}" startIndex="0" length="13"/>
    </mentions>
  </threadedComment>
  <threadedComment ref="G18" dT="2025-01-21T23:18:06.70" personId="{81A8784C-3981-4ED0-B801-DC4D4851FB57}" id="{3F6D72EF-99E2-4ED0-8729-03A72BAC9382}" parentId="{A34753E2-7343-4C64-B635-1C65BE17ABF3}">
    <text xml:space="preserve">this had a previous amount billed when we billed ahead on this in the past. </text>
  </threadedComment>
  <threadedComment ref="G18" dT="2025-01-21T23:18:29.27" personId="{81A8784C-3981-4ED0-B801-DC4D4851FB57}" id="{7BE08A6B-AA44-4456-A5E2-AE25F18BF581}" parentId="{A34753E2-7343-4C64-B635-1C65BE17ABF3}">
    <text>it was for 54,670</text>
  </threadedComment>
</ThreadedComments>
</file>

<file path=xl/threadedComments/threadedComment11.xml><?xml version="1.0" encoding="utf-8"?>
<ThreadedComments xmlns="http://schemas.microsoft.com/office/spreadsheetml/2018/threadedcomments" xmlns:x="http://schemas.openxmlformats.org/spreadsheetml/2006/main">
  <threadedComment ref="G2" dT="2025-02-13T15:06:28.63" personId="{12CC137A-5D2F-4357-852F-DE562BA0D55F}" id="{56C5BF62-92D6-46CF-B2C0-F820EAF7D27A}">
    <text>@Bruce, Logan can you please update this column if there have been any changes?</text>
    <mentions>
      <mention mentionpersonId="{03DA59AC-A4FF-4624-89AA-BDB85761FCB9}" mentionId="{4E51F4FD-B5D1-4E2E-BF44-96F2F97E952A}" startIndex="0" length="13"/>
    </mentions>
  </threadedComment>
  <threadedComment ref="G2" dT="2025-02-13T16:48:05.64" personId="{81A8784C-3981-4ED0-B801-DC4D4851FB57}" id="{EF7D1B66-0902-4448-8AAC-31B3FC4709D5}" parentId="{56C5BF62-92D6-46CF-B2C0-F820EAF7D27A}">
    <text>this is all we have billed for this site</text>
  </threadedComment>
  <threadedComment ref="G2" dT="2025-02-13T20:00:09.50" personId="{12CC137A-5D2F-4357-852F-DE562BA0D55F}" id="{982AB395-B798-4220-80FE-0CB5FB92E03D}" parentId="{56C5BF62-92D6-46CF-B2C0-F820EAF7D27A}">
    <text>Can you confirm the values for the entire column G?</text>
  </threadedComment>
  <threadedComment ref="G2" dT="2025-02-13T20:34:05.95" personId="{81A8784C-3981-4ED0-B801-DC4D4851FB57}" id="{0B76C441-9E5F-42CC-9161-8E8CAE8FBD0F}" parentId="{56C5BF62-92D6-46CF-B2C0-F820EAF7D27A}">
    <text>this matches what was billed ahead in December.</text>
  </threadedComment>
  <threadedComment ref="G2" dT="2025-02-13T21:28:47.56" personId="{12CC137A-5D2F-4357-852F-DE562BA0D55F}" id="{390942E2-C759-478E-8445-1077F4678A42}" parentId="{56C5BF62-92D6-46CF-B2C0-F820EAF7D27A}">
    <text>great, thanks</text>
  </threadedComment>
  <threadedComment ref="Q2" dT="2025-01-21T22:58:52.63" personId="{DEB4A9AF-D21C-4B43-BE16-17E3F84C3111}" id="{6F736E5A-EE98-48D1-B24D-BFCAD1D980E7}">
    <text>@Bruce, Logan  @Rojas, Taylor  i tagged the wrong tab before....please update these red cells</text>
    <mentions>
      <mention mentionpersonId="{03DA59AC-A4FF-4624-89AA-BDB85761FCB9}" mentionId="{19D1C855-FDD5-41F2-A02B-5B48D508C152}" startIndex="0" length="13"/>
      <mention mentionpersonId="{A0CAE781-6B95-4721-ABB0-6EB1229E5592}" mentionId="{AD35CF78-5A09-4585-9500-D86DBDE57511}" startIndex="15" length="14"/>
    </mentions>
  </threadedComment>
  <threadedComment ref="Q2" dT="2025-01-21T23:15:49.56" personId="{81A8784C-3981-4ED0-B801-DC4D4851FB57}" id="{7CB14BAB-70C9-40C2-8D25-9A781D984E7C}" parentId="{6F736E5A-EE98-48D1-B24D-BFCAD1D980E7}">
    <text>done</text>
  </threadedComment>
  <threadedComment ref="D17" dT="2025-02-18T19:39:47.15" personId="{DEB4A9AF-D21C-4B43-BE16-17E3F84C3111}" id="{E212064D-85E2-42EB-96C1-8BA26A7778CB}">
    <text>@Dina, Eric  aren't we almost done with this one? do we not think it'll be invoiced in march?</text>
    <mentions>
      <mention mentionpersonId="{A4CDD843-ECF6-4B1F-ABDB-22A3D7E538F6}" mentionId="{63AD7C3E-8230-4C42-9724-2855D0D4FA0F}" startIndex="0" length="11"/>
    </mentions>
  </threadedComment>
  <threadedComment ref="D17" dT="2025-02-18T19:50:11.05" personId="{12CC137A-5D2F-4357-852F-DE562BA0D55F}" id="{6931A47F-6E36-482B-92B2-2F34B1F6AB90}" parentId="{E212064D-85E2-42EB-96C1-8BA26A7778CB}">
    <text>You're right.  Updated.</text>
  </threadedComment>
  <threadedComment ref="Q18" dT="2025-01-21T23:15:43.54" personId="{DEB4A9AF-D21C-4B43-BE16-17E3F84C3111}" id="{D279EB98-907D-4BD9-9650-7B547A33C168}">
    <text>@Bruce, Logan  I correct this off the invoice, you had like 526k in here</text>
    <mentions>
      <mention mentionpersonId="{03DA59AC-A4FF-4624-89AA-BDB85761FCB9}" mentionId="{5F56CFE9-9DD0-4B34-BBFA-F5E5EC796D10}" startIndex="0" length="13"/>
    </mentions>
  </threadedComment>
  <threadedComment ref="Q18" dT="2025-01-21T23:18:06.70" personId="{81A8784C-3981-4ED0-B801-DC4D4851FB57}" id="{B11FFE2A-5CDA-4323-91E1-6C41187E0609}" parentId="{D279EB98-907D-4BD9-9650-7B547A33C168}">
    <text xml:space="preserve">this had a previous amount billed when we billed ahead on this in the past. </text>
  </threadedComment>
  <threadedComment ref="Q18" dT="2025-01-21T23:18:29.27" personId="{81A8784C-3981-4ED0-B801-DC4D4851FB57}" id="{9DB16C4F-3B73-4162-B0FA-7661376FB3E6}" parentId="{D279EB98-907D-4BD9-9650-7B547A33C168}">
    <text>it was for 54,670</text>
  </threadedComment>
  <threadedComment ref="E25" dT="2025-02-17T19:57:58.16" personId="{CC088E53-FE41-4961-9EDD-2329D2A75CE4}" id="{F9A0FAFE-51EE-4648-B76C-DBB52D584E7A}">
    <text>@Dina, Eric Not sure I feel comfortable with an anticipated cost yet. We've been pending a UCM response since November '24, so this still may not become a project.</text>
    <mentions>
      <mention mentionpersonId="{A4CDD843-ECF6-4B1F-ABDB-22A3D7E538F6}" mentionId="{1115E7BA-2E18-4890-A900-3FCB031ED86E}" startIndex="0" length="11"/>
    </mentions>
  </threadedComment>
  <threadedComment ref="E25" dT="2025-02-17T20:27:00.36" personId="{12CC137A-5D2F-4357-852F-DE562BA0D55F}" id="{A024D0C8-D949-4CDB-82E6-2689A5973B52}" parentId="{F9A0FAFE-51EE-4648-B76C-DBB52D584E7A}">
    <text>good w/ me to leave as 0</text>
  </threadedComment>
  <threadedComment ref="D27" dT="2025-03-18T18:47:24.23" personId="{DEB4A9AF-D21C-4B43-BE16-17E3F84C3111}" id="{31309691-9FDC-4F8C-8D5D-9ABFB3710F32}">
    <text>@Dina, Eric  @Stanley, Mark  i pushed this a month...i really don't think that this is going out in may, let's keep an eye on the date extension</text>
    <mentions>
      <mention mentionpersonId="{A4CDD843-ECF6-4B1F-ABDB-22A3D7E538F6}" mentionId="{E8AB0774-3B1B-42DD-B013-FB718F65B158}" startIndex="0" length="11"/>
      <mention mentionpersonId="{438671D6-F1DC-44F0-9B73-88C22C9E498B}" mentionId="{336EE910-C309-4FAC-91EC-4DEF84C7A72C}" startIndex="13" length="14"/>
    </mentions>
  </threadedComment>
  <threadedComment ref="D27" dT="2025-03-18T19:27:48.77" personId="{12CC137A-5D2F-4357-852F-DE562BA0D55F}" id="{1ED15204-040E-467E-A7D6-5284ACB4F8A8}" parentId="{31309691-9FDC-4F8C-8D5D-9ABFB3710F32}">
    <text>July works for me.  Also, make sure you're using the Apr 2025 SS</text>
  </threadedComment>
</ThreadedComments>
</file>

<file path=xl/threadedComments/threadedComment12.xml><?xml version="1.0" encoding="utf-8"?>
<ThreadedComments xmlns="http://schemas.microsoft.com/office/spreadsheetml/2018/threadedcomments" xmlns:x="http://schemas.openxmlformats.org/spreadsheetml/2006/main">
  <threadedComment ref="E3" dT="2025-04-21T20:21:52.89" personId="{DEB4A9AF-D21C-4B43-BE16-17E3F84C3111}" id="{345EEA46-56CD-461E-84E0-E8E2B5795D95}">
    <text>@Hopkins, Matt  releasing as NOO shortly, correct?</text>
    <mentions>
      <mention mentionpersonId="{CEB951BC-F9E9-4AEB-8809-348478C1FBD6}" mentionId="{87A5C28C-0916-485A-9DD2-04855A9280AA}" startIndex="0" length="14"/>
    </mentions>
  </threadedComment>
  <threadedComment ref="E3" dT="2025-04-21T20:34:43.17" personId="{37A388D7-7934-484A-AA1C-46F3E17F780C}" id="{214DCF8D-9CC7-4E0A-99ED-D49D1F3C7FAD}" parentId="{345EEA46-56CD-461E-84E0-E8E2B5795D95}">
    <text>correct, releasing this week</text>
  </threadedComment>
  <threadedComment ref="F7" dT="2025-04-18T15:29:56.76" personId="{12CC137A-5D2F-4357-852F-DE562BA0D55F}" id="{861277C9-8AEA-483F-910F-13017BF4788C}" done="1">
    <text>@Castellon, Randy this project is now running at T/M.  Can you approximate the total invoice based on effort to date and the remainder of the work plan?</text>
    <mentions>
      <mention mentionpersonId="{691130C5-A819-43B5-9D63-AC23735E5F67}" mentionId="{62498C5E-C882-4758-9323-885498B0207F}" startIndex="0" length="17"/>
    </mentions>
  </threadedComment>
  <threadedComment ref="F7" dT="2025-04-21T16:11:32.07" personId="{90C9D7CD-70F8-49B2-84F9-5CBA275B198F}" id="{C316F9E7-7C56-44C8-B860-07CBEF302954}" parentId="{861277C9-8AEA-483F-910F-13017BF4788C}">
    <text>I put my approx. Lookoing at RTE + final reviews for this project ot be released, this is what i approximate</text>
  </threadedComment>
  <threadedComment ref="F7" dT="2025-04-21T19:45:53.45" personId="{DEB4A9AF-D21C-4B43-BE16-17E3F84C3111}" id="{D83FCE60-FBE0-4DAD-A146-902FBFC73A84}" parentId="{861277C9-8AEA-483F-910F-13017BF4788C}">
    <text>@Castellon, Randy  can you please add in subconsultant costs to this?</text>
    <mentions>
      <mention mentionpersonId="{691130C5-A819-43B5-9D63-AC23735E5F67}" mentionId="{E9CF7A3F-6804-4067-B82D-DFCB950D9BC9}" startIndex="0" length="17"/>
    </mentions>
  </threadedComment>
  <threadedComment ref="F8" dT="2025-04-18T15:30:09.60" personId="{12CC137A-5D2F-4357-852F-DE562BA0D55F}" id="{23117AE0-57E4-46E4-91B2-E781B7A2D072}">
    <text>@Castellon, Randy this project is now running at T/M.  Can you approximate the total invoice based on effort to date and the remainder of the work plan?</text>
    <mentions>
      <mention mentionpersonId="{691130C5-A819-43B5-9D63-AC23735E5F67}" mentionId="{D24D4EDA-AEE2-4AC9-929A-15A48C574E21}" startIndex="0" length="17"/>
    </mentions>
  </threadedComment>
  <threadedComment ref="F8" dT="2025-04-21T19:46:21.23" personId="{DEB4A9AF-D21C-4B43-BE16-17E3F84C3111}" id="{2CE58D77-3618-4A3E-B3A9-A5215E0533EB}" parentId="{23117AE0-57E4-46E4-91B2-E781B7A2D072}">
    <text>@Castellon, Randy  can you please include subconsultant costs on this?</text>
    <mentions>
      <mention mentionpersonId="{691130C5-A819-43B5-9D63-AC23735E5F67}" mentionId="{BBD6C859-2FAC-442C-9992-53C6BD28FA29}" startIndex="0" length="17"/>
    </mentions>
  </threadedComment>
  <threadedComment ref="F8" dT="2025-04-30T15:12:09.49" personId="{DEB4A9AF-D21C-4B43-BE16-17E3F84C3111}" id="{2B8F03D1-B4D9-4791-AFF0-4384D7EDAD94}" parentId="{23117AE0-57E4-46E4-91B2-E781B7A2D072}">
    <text>I have to imagine that this is going to be greater than 300k in effort - let's bump up to like 500k for our forecasts please</text>
  </threadedComment>
  <threadedComment ref="F8" dT="2025-04-30T15:12:28.36" personId="{DEB4A9AF-D21C-4B43-BE16-17E3F84C3111}" id="{EC659972-9420-4ED9-844A-8D557E9EEF9A}" parentId="{23117AE0-57E4-46E4-91B2-E781B7A2D072}">
    <text>nvm ignore - i see we have 600k between the two tasks</text>
  </threadedComment>
  <threadedComment ref="F9" dT="2025-04-21T19:49:37.89" personId="{DEB4A9AF-D21C-4B43-BE16-17E3F84C3111}" id="{8879AE86-BA74-4841-B5EE-DAA00966B89E}">
    <text>@Castellon, Randy  @Dina, Eric  we have another WO for a portion of this that is going under Nicor System Improvement, right? Have we nailed down how we intend on billing that yet and what that effort might be? I would try and estimate the hourly effort right now for it</text>
    <mentions>
      <mention mentionpersonId="{691130C5-A819-43B5-9D63-AC23735E5F67}" mentionId="{C6384DE8-6809-4331-879B-CA76A4AF48C1}" startIndex="0" length="17"/>
      <mention mentionpersonId="{A4CDD843-ECF6-4B1F-ABDB-22A3D7E538F6}" mentionId="{663A43F7-C30E-43DF-8E7C-F8D693CBC980}" startIndex="19" length="11"/>
    </mentions>
  </threadedComment>
</ThreadedComments>
</file>

<file path=xl/threadedComments/threadedComment13.xml><?xml version="1.0" encoding="utf-8"?>
<ThreadedComments xmlns="http://schemas.microsoft.com/office/spreadsheetml/2018/threadedcomments" xmlns:x="http://schemas.openxmlformats.org/spreadsheetml/2006/main">
  <threadedComment ref="F8" dT="2025-06-03T15:55:59.76" personId="{DEB4A9AF-D21C-4B43-BE16-17E3F84C3111}" id="{AEEDC17A-484A-4EA0-BBFE-B0D8E441C9E5}">
    <text>@Hopkins, Matt  updated this per ompleted projects</text>
    <mentions>
      <mention mentionpersonId="{CEB951BC-F9E9-4AEB-8809-348478C1FBD6}" mentionId="{3DC39AB7-8A90-4C06-A47E-704DF633FEE6}" startIndex="0" length="14"/>
    </mentions>
  </threadedComment>
</ThreadedComments>
</file>

<file path=xl/threadedComments/threadedComment14.xml><?xml version="1.0" encoding="utf-8"?>
<ThreadedComments xmlns="http://schemas.microsoft.com/office/spreadsheetml/2018/threadedcomments" xmlns:x="http://schemas.openxmlformats.org/spreadsheetml/2006/main">
  <threadedComment ref="E5" dT="2025-06-18T18:42:24.13" personId="{5754ED41-BB1B-4014-AD60-750D4FE00BB7}" id="{32528B88-C6A6-477C-8FCA-922C60277190}">
    <text>@Hopkins, Matt  I see 650k as the number you had helped me enter previously - did that go down?</text>
    <mentions>
      <mention mentionpersonId="{CEB951BC-F9E9-4AEB-8809-348478C1FBD6}" mentionId="{D2CD5EA7-F40E-4462-87C7-5FF8ED96E0EB}" startIndex="0" length="14"/>
    </mentions>
  </threadedComment>
  <threadedComment ref="E5" dT="2025-06-18T19:22:37.86" personId="{37A388D7-7934-484A-AA1C-46F3E17F780C}" id="{D6A0D542-F2EC-4A71-9A80-031E0AD9CE65}" parentId="{32528B88-C6A6-477C-8FCA-922C60277190}">
    <text>yes, i really don't have a good grasp on this project until we get a UCM response.
I know 3 separate 2" jumpers for direct conflicts discovered in the field.  I am trying to overshoot since these forecasts are sent to Nicor, I thought 450,000 would be a conservative estimate in case we need to extend the jumpers compared to 650,000</text>
  </threadedComment>
</ThreadedComments>
</file>

<file path=xl/threadedComments/threadedComment15.xml><?xml version="1.0" encoding="utf-8"?>
<ThreadedComments xmlns="http://schemas.microsoft.com/office/spreadsheetml/2018/threadedcomments" xmlns:x="http://schemas.openxmlformats.org/spreadsheetml/2006/main">
  <threadedComment ref="E9" dT="2025-07-15T18:51:50.88" personId="{5754ED41-BB1B-4014-AD60-750D4FE00BB7}" id="{1FA28BE4-F923-4BA1-827F-03F8282C5BB3}">
    <text>@LaPorte, Marissa  have we discussed with Nicor to bill this hourly or is this an assumption? If we haven’t yet we should bring that up soon if we feel we have justification. Or if there’s likely going to be relocation we should have this be the 10% rate</text>
    <mentions>
      <mention mentionpersonId="{3CE8C8B7-A814-4F85-9595-D516EB50CB06}" mentionId="{9242253D-5466-4644-8745-7A65015F9FDF}" startIndex="0" length="17"/>
    </mentions>
  </threadedComment>
  <threadedComment ref="E9" dT="2025-07-15T18:56:12.02" personId="{F7DBA3AC-B86E-4519-ADEB-11B7F74689EE}" id="{C51C2832-18D8-4CCE-AD21-852EB8E8A200}" parentId="{1FA28BE4-F923-4BA1-827F-03F8282C5BB3}">
    <text xml:space="preserve">This was an assumption. I can discuss with Eric how we want to handle this with Nicor </text>
  </threadedComment>
  <threadedComment ref="E9" dT="2025-07-15T19:02:31.23" personId="{DEB4A9AF-D21C-4B43-BE16-17E3F84C3111}" id="{B6DC9BED-29FF-49D8-BB2B-1AD8CFBA9B9A}" parentId="{1FA28BE4-F923-4BA1-827F-03F8282C5BB3}">
    <text>Typically if it's NOO we don't get to invoice it. However, if we had been told to move on design or something originally we could, but I didn't think that was the case here. We can discuss further but to be conservative i would assume no bill</text>
  </threadedComment>
  <threadedComment ref="D10" dT="2025-07-16T14:38:47.88" personId="{5754ED41-BB1B-4014-AD60-750D4FE00BB7}" id="{F24B4130-6D80-49EE-9520-93CC19074D60}">
    <text>@Hopkins, Matt  @Stanley, Mark  @Pohlman, Mitchell  @Corbi, Camille  @Chamernik, Conner  @Lierow, Taylor  can you all review these dates in yellow and if necessary, hard code them to the month you anticipate these projects being released? I have a hard time believing we’ll be releasing quite a few of them all in one month like we show in August?</text>
    <mentions>
      <mention mentionpersonId="{CEB951BC-F9E9-4AEB-8809-348478C1FBD6}" mentionId="{C65EDED5-E6D4-4061-8B31-803D4F56C92F}" startIndex="0" length="14"/>
      <mention mentionpersonId="{438671D6-F1DC-44F0-9B73-88C22C9E498B}" mentionId="{5B2B5167-6CA5-48F0-BD0F-CE5C0E1F1D8A}" startIndex="16" length="14"/>
      <mention mentionpersonId="{DC23700E-C8BD-4B50-8752-C18CA16562C2}" mentionId="{9856113A-6AA4-4F16-BD09-124BCDB910C5}" startIndex="32" length="18"/>
      <mention mentionpersonId="{D36D41E7-7C7B-4C61-B4EB-984337E2B8AB}" mentionId="{6F9763E6-6174-40F1-BE94-ECA761318D14}" startIndex="52" length="15"/>
      <mention mentionpersonId="{4DDFC689-7E01-4482-8E69-619F73063347}" mentionId="{4CBB49B8-C4B5-41EC-8995-7830716DECBA}" startIndex="69" length="18"/>
      <mention mentionpersonId="{51D169DE-BF6F-437C-A402-7B8B60C18ABB}" mentionId="{B43933F3-6D88-4F89-89E3-00851B9242FA}" startIndex="89" length="15"/>
    </mentions>
  </threadedComment>
  <threadedComment ref="I15" dT="2025-07-15T18:45:36.13" personId="{DEB4A9AF-D21C-4B43-BE16-17E3F84C3111}" id="{BEAD6EA1-83F2-45D6-82AA-2535F0625C66}">
    <text>@Stanley, Mark  @Dina, Eric  maybe i'm not familiar with this one and why it would be hourly? have we had that confirmed by nicor?</text>
    <mentions>
      <mention mentionpersonId="{438671D6-F1DC-44F0-9B73-88C22C9E498B}" mentionId="{C98C0209-43A3-4F22-8649-272A5E264D4A}" startIndex="0" length="14"/>
      <mention mentionpersonId="{A4CDD843-ECF6-4B1F-ABDB-22A3D7E538F6}" mentionId="{909EB541-46BC-46D0-BCD1-103A893047D5}" startIndex="16" length="11"/>
    </mentions>
  </threadedComment>
  <threadedComment ref="I15" dT="2025-07-16T15:06:22.20" personId="{5754ED41-BB1B-4014-AD60-750D4FE00BB7}" id="{5D5971FA-8022-4306-940B-73DCE4377122}" parentId="{BEAD6EA1-83F2-45D6-82AA-2535F0625C66}">
    <text>No relo anticipated, shouldn’t that be zero anticipated cost then?</text>
  </threadedComment>
  <threadedComment ref="E29" dT="2025-07-15T18:52:33.16" personId="{5754ED41-BB1B-4014-AD60-750D4FE00BB7}" id="{68B0C6DC-1B68-4167-9973-8A32024C3537}">
    <text>@LaPorte, Marissa  @Dina, Eric  why do we think this would be hourly if we are negotiating out of it?</text>
    <mentions>
      <mention mentionpersonId="{3CE8C8B7-A814-4F85-9595-D516EB50CB06}" mentionId="{F8C2B13B-5445-4366-B018-1BB9E92D5F28}" startIndex="0" length="17"/>
      <mention mentionpersonId="{A4CDD843-ECF6-4B1F-ABDB-22A3D7E538F6}" mentionId="{F9D2789D-0663-4BB5-9E47-5E0642225CD9}" startIndex="19" length="11"/>
    </mentions>
  </threadedComment>
  <threadedComment ref="E29" dT="2025-07-15T19:00:52.19" personId="{F7DBA3AC-B86E-4519-ADEB-11B7F74689EE}" id="{F05A1A21-C8E6-4881-BA81-8DC53766195E}" parentId="{68B0C6DC-1B68-4167-9973-8A32024C3537}">
    <text xml:space="preserve">This is still in detailed analysis. we are negotiating out of this project. I think the hourly was a mistake. </text>
  </threadedComment>
  <threadedComment ref="E29" dT="2025-07-15T19:48:06.03" personId="{A824AD54-12F3-4497-8ADE-CBE23840A9D5}" id="{4EDCB15C-F09D-444D-8F30-F3BDAA09344A}" parentId="{68B0C6DC-1B68-4167-9973-8A32024C3537}">
    <text>This looks like a mistake. Updating to zero</text>
  </threadedComment>
  <threadedComment ref="F32" dT="2025-07-15T18:55:00.72" personId="{5754ED41-BB1B-4014-AD60-750D4FE00BB7}" id="{B6506A1A-F264-465A-A677-0FE2B14CC804}">
    <text>@Castellon, Randy  @Molloy, Michael  there should be an NIS portion associated with this project that I think got deleted from last month - not sure how that works with the formulas ya’ll have entered here so I’m bumping up the overall hourly fee</text>
    <mentions>
      <mention mentionpersonId="{691130C5-A819-43B5-9D63-AC23735E5F67}" mentionId="{22DCD71F-576A-40E0-B9C6-004FF2993121}" startIndex="0" length="17"/>
      <mention mentionpersonId="{A8E450A8-8ECB-4202-AEEB-CE853ED6935B}" mentionId="{029B060A-5877-4ABD-B6FB-B545771C58FA}" startIndex="19" length="16"/>
    </mentions>
  </threadedComment>
</ThreadedComments>
</file>

<file path=xl/threadedComments/threadedComment16.xml><?xml version="1.0" encoding="utf-8"?>
<ThreadedComments xmlns="http://schemas.microsoft.com/office/spreadsheetml/2018/threadedcomments" xmlns:x="http://schemas.openxmlformats.org/spreadsheetml/2006/main">
  <threadedComment ref="H5" dT="2025-08-20T19:43:13.93" personId="{5754ED41-BB1B-4014-AD60-750D4FE00BB7}" id="{44166F58-601B-45CE-9013-B9F3226A90F5}">
    <text>@Dina, Eric @Castellon, Randy   isn’t this more like $375k?</text>
    <mentions>
      <mention mentionpersonId="{A4CDD843-ECF6-4B1F-ABDB-22A3D7E538F6}" mentionId="{A2B86FD2-8E9D-49E7-893E-E4B99EA5993F}" startIndex="0" length="11"/>
      <mention mentionpersonId="{691130C5-A819-43B5-9D63-AC23735E5F67}" mentionId="{266BA61C-13E2-4B63-A477-336DE5893296}" startIndex="12" length="17"/>
    </mentions>
  </threadedComment>
  <threadedComment ref="H5" dT="2025-08-20T19:53:10.50" personId="{5754ED41-BB1B-4014-AD60-750D4FE00BB7}" id="{3BD8CF51-2162-4C4B-9365-1272BE8994F3}" parentId="{44166F58-601B-45CE-9013-B9F3226A90F5}">
    <text>Updated from 240 to 375 just for record</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4.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5.xml"/><Relationship Id="rId1" Type="http://schemas.openxmlformats.org/officeDocument/2006/relationships/vmlDrawing" Target="../drawings/vmlDrawing5.vml"/><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6.xml"/><Relationship Id="rId1" Type="http://schemas.openxmlformats.org/officeDocument/2006/relationships/vmlDrawing" Target="../drawings/vmlDrawing6.vml"/><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table" Target="../tables/table7.xml"/><Relationship Id="rId1" Type="http://schemas.openxmlformats.org/officeDocument/2006/relationships/vmlDrawing" Target="../drawings/vmlDrawing7.vml"/><Relationship Id="rId4" Type="http://schemas.microsoft.com/office/2017/10/relationships/threadedComment" Target="../threadedComments/threadedComment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table" Target="../tables/table8.xml"/><Relationship Id="rId1" Type="http://schemas.openxmlformats.org/officeDocument/2006/relationships/vmlDrawing" Target="../drawings/vmlDrawing8.vml"/><Relationship Id="rId4" Type="http://schemas.microsoft.com/office/2017/10/relationships/threadedComment" Target="../threadedComments/threadedComment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1.xml"/><Relationship Id="rId1" Type="http://schemas.openxmlformats.org/officeDocument/2006/relationships/vmlDrawing" Target="../drawings/vmlDrawing11.vml"/><Relationship Id="rId4" Type="http://schemas.microsoft.com/office/2019/04/relationships/documenttask" Target="../documenttasks/documenttask1.x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12.xml"/><Relationship Id="rId2" Type="http://schemas.openxmlformats.org/officeDocument/2006/relationships/comments" Target="../comments12.xml"/><Relationship Id="rId1" Type="http://schemas.openxmlformats.org/officeDocument/2006/relationships/vmlDrawing" Target="../drawings/vmlDrawing12.vml"/><Relationship Id="rId5" Type="http://schemas.microsoft.com/office/2019/04/relationships/namedSheetView" Target="../namedSheetViews/namedSheetView1.xml"/><Relationship Id="rId4" Type="http://schemas.microsoft.com/office/2019/04/relationships/documenttask" Target="../documenttasks/documenttask2.xml"/></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3.xml"/><Relationship Id="rId2" Type="http://schemas.openxmlformats.org/officeDocument/2006/relationships/comments" Target="../comments13.xml"/><Relationship Id="rId1" Type="http://schemas.openxmlformats.org/officeDocument/2006/relationships/vmlDrawing" Target="../drawings/vmlDrawing13.vml"/><Relationship Id="rId4" Type="http://schemas.microsoft.com/office/2019/04/relationships/namedSheetView" Target="../namedSheetViews/namedSheetView2.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 Id="rId4" Type="http://schemas.microsoft.com/office/2019/04/relationships/namedSheetView" Target="../namedSheetViews/namedSheetView3.xm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15.xml"/><Relationship Id="rId2" Type="http://schemas.openxmlformats.org/officeDocument/2006/relationships/comments" Target="../comments15.xml"/><Relationship Id="rId1" Type="http://schemas.openxmlformats.org/officeDocument/2006/relationships/vmlDrawing" Target="../drawings/vmlDrawing15.vml"/><Relationship Id="rId4" Type="http://schemas.microsoft.com/office/2019/04/relationships/namedSheetView" Target="../namedSheetViews/namedSheetView4.xml"/></Relationships>
</file>

<file path=xl/worksheets/_rels/sheet18.xml.rels><?xml version="1.0" encoding="UTF-8" standalone="yes"?>
<Relationships xmlns="http://schemas.openxmlformats.org/package/2006/relationships"><Relationship Id="rId3" Type="http://schemas.microsoft.com/office/2017/10/relationships/threadedComment" Target="../threadedComments/threadedComment16.xml"/><Relationship Id="rId2" Type="http://schemas.openxmlformats.org/officeDocument/2006/relationships/comments" Target="../comments16.xml"/><Relationship Id="rId1" Type="http://schemas.openxmlformats.org/officeDocument/2006/relationships/vmlDrawing" Target="../drawings/vmlDrawing16.vml"/><Relationship Id="rId4" Type="http://schemas.microsoft.com/office/2019/04/relationships/namedSheetView" Target="../namedSheetViews/namedSheetView5.xml"/></Relationships>
</file>

<file path=xl/worksheets/_rels/sheet19.xml.rels><?xml version="1.0" encoding="UTF-8" standalone="yes"?>
<Relationships xmlns="http://schemas.openxmlformats.org/package/2006/relationships"><Relationship Id="rId3" Type="http://schemas.microsoft.com/office/2019/04/relationships/namedSheetView" Target="../namedSheetViews/namedSheetView6.xml"/><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0.xml.rels><?xml version="1.0" encoding="UTF-8" standalone="yes"?>
<Relationships xmlns="http://schemas.openxmlformats.org/package/2006/relationships"><Relationship Id="rId3" Type="http://schemas.microsoft.com/office/2019/04/relationships/namedSheetView" Target="../namedSheetViews/namedSheetView7.xml"/><Relationship Id="rId2" Type="http://schemas.openxmlformats.org/officeDocument/2006/relationships/comments" Target="../comments18.xml"/><Relationship Id="rId1"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B6D46-F56C-458E-9445-938C00B1E01F}">
  <sheetPr codeName="Sheet1"/>
  <dimension ref="A1:F21"/>
  <sheetViews>
    <sheetView workbookViewId="0"/>
  </sheetViews>
  <sheetFormatPr defaultRowHeight="15" x14ac:dyDescent="0.25"/>
  <cols>
    <col min="1" max="1" width="21.42578125" customWidth="1"/>
    <col min="2" max="2" width="18.5703125" customWidth="1"/>
    <col min="3" max="3" width="24" customWidth="1"/>
    <col min="4" max="4" width="16.42578125" customWidth="1"/>
    <col min="5" max="5" width="22.7109375" customWidth="1"/>
    <col min="6" max="6" width="22.85546875" customWidth="1"/>
  </cols>
  <sheetData>
    <row r="1" spans="1:6" x14ac:dyDescent="0.25">
      <c r="A1" s="1" t="s">
        <v>0</v>
      </c>
      <c r="B1" s="1" t="s">
        <v>1</v>
      </c>
      <c r="C1" s="1" t="s">
        <v>2</v>
      </c>
      <c r="D1" t="s">
        <v>3</v>
      </c>
      <c r="E1" t="s">
        <v>4</v>
      </c>
      <c r="F1" s="2" t="s">
        <v>5</v>
      </c>
    </row>
    <row r="2" spans="1:6" ht="15" customHeight="1" x14ac:dyDescent="0.25">
      <c r="A2" s="3" t="s">
        <v>6</v>
      </c>
      <c r="B2" s="3" t="s">
        <v>7</v>
      </c>
      <c r="C2" s="3" t="s">
        <v>8</v>
      </c>
      <c r="D2" s="4">
        <v>45413</v>
      </c>
      <c r="E2" s="5">
        <v>1000000</v>
      </c>
      <c r="F2" s="6">
        <f>0.1*Table1[[#This Row],[Anticipated Cost]]</f>
        <v>100000</v>
      </c>
    </row>
    <row r="3" spans="1:6" ht="15" customHeight="1" x14ac:dyDescent="0.25">
      <c r="A3" s="7" t="s">
        <v>9</v>
      </c>
      <c r="B3" s="7" t="s">
        <v>10</v>
      </c>
      <c r="C3" s="7" t="s">
        <v>11</v>
      </c>
      <c r="D3" s="4">
        <v>45413</v>
      </c>
      <c r="E3" s="5">
        <v>444000</v>
      </c>
      <c r="F3" s="6">
        <f>0.1*Table1[[#This Row],[Anticipated Cost]]</f>
        <v>44400</v>
      </c>
    </row>
    <row r="4" spans="1:6" ht="15" customHeight="1" x14ac:dyDescent="0.25">
      <c r="A4" s="3" t="s">
        <v>12</v>
      </c>
      <c r="B4" s="3" t="s">
        <v>13</v>
      </c>
      <c r="C4" s="3" t="s">
        <v>14</v>
      </c>
      <c r="D4" s="4">
        <v>45413</v>
      </c>
      <c r="E4" s="5">
        <v>800000</v>
      </c>
      <c r="F4" s="6">
        <f>0.1*Table1[[#This Row],[Anticipated Cost]]</f>
        <v>80000</v>
      </c>
    </row>
    <row r="5" spans="1:6" ht="15" customHeight="1" x14ac:dyDescent="0.25">
      <c r="A5" s="7" t="s">
        <v>15</v>
      </c>
      <c r="B5" s="7" t="s">
        <v>16</v>
      </c>
      <c r="C5" s="7" t="s">
        <v>17</v>
      </c>
      <c r="D5" s="4">
        <v>45413</v>
      </c>
      <c r="E5" s="5">
        <v>0</v>
      </c>
      <c r="F5" s="6">
        <f>0.1*Table1[[#This Row],[Anticipated Cost]]</f>
        <v>0</v>
      </c>
    </row>
    <row r="6" spans="1:6" ht="15" customHeight="1" x14ac:dyDescent="0.25">
      <c r="A6" s="3" t="s">
        <v>18</v>
      </c>
      <c r="B6" s="3" t="s">
        <v>7</v>
      </c>
      <c r="C6" s="3" t="s">
        <v>19</v>
      </c>
      <c r="D6" s="4">
        <v>45413</v>
      </c>
      <c r="E6" s="5">
        <v>200000</v>
      </c>
      <c r="F6" s="6">
        <f>0.1*Table1[[#This Row],[Anticipated Cost]]</f>
        <v>20000</v>
      </c>
    </row>
    <row r="7" spans="1:6" ht="15" customHeight="1" x14ac:dyDescent="0.25">
      <c r="A7" s="7" t="s">
        <v>20</v>
      </c>
      <c r="B7" s="7" t="s">
        <v>21</v>
      </c>
      <c r="C7" s="7" t="s">
        <v>22</v>
      </c>
      <c r="D7" s="4">
        <v>45413</v>
      </c>
      <c r="E7" s="5">
        <v>1000000</v>
      </c>
      <c r="F7" s="6">
        <f>0.1*Table1[[#This Row],[Anticipated Cost]]</f>
        <v>100000</v>
      </c>
    </row>
    <row r="8" spans="1:6" ht="15" customHeight="1" x14ac:dyDescent="0.25">
      <c r="A8" s="3" t="s">
        <v>23</v>
      </c>
      <c r="B8" s="3" t="s">
        <v>21</v>
      </c>
      <c r="C8" s="3" t="s">
        <v>17</v>
      </c>
      <c r="D8" s="4">
        <v>45413</v>
      </c>
      <c r="E8" s="5">
        <v>200000</v>
      </c>
      <c r="F8" s="6">
        <f>0.1*Table1[[#This Row],[Anticipated Cost]]</f>
        <v>20000</v>
      </c>
    </row>
    <row r="9" spans="1:6" ht="15" customHeight="1" x14ac:dyDescent="0.25">
      <c r="A9" s="7" t="s">
        <v>24</v>
      </c>
      <c r="B9" s="8" t="s">
        <v>21</v>
      </c>
      <c r="C9" s="7" t="s">
        <v>25</v>
      </c>
      <c r="D9" s="4">
        <v>45413</v>
      </c>
      <c r="E9" s="5" t="s">
        <v>26</v>
      </c>
      <c r="F9" s="6">
        <v>45000</v>
      </c>
    </row>
    <row r="10" spans="1:6" ht="15" customHeight="1" x14ac:dyDescent="0.25">
      <c r="A10" s="7" t="s">
        <v>27</v>
      </c>
      <c r="B10" s="7" t="s">
        <v>28</v>
      </c>
      <c r="C10" s="7" t="s">
        <v>29</v>
      </c>
      <c r="D10" s="4">
        <v>45413</v>
      </c>
      <c r="E10" s="5" t="s">
        <v>26</v>
      </c>
      <c r="F10" s="6">
        <v>7000</v>
      </c>
    </row>
    <row r="11" spans="1:6" ht="15" customHeight="1" x14ac:dyDescent="0.25">
      <c r="A11" s="7" t="s">
        <v>30</v>
      </c>
      <c r="B11" s="8" t="s">
        <v>7</v>
      </c>
      <c r="C11" s="7" t="s">
        <v>31</v>
      </c>
      <c r="D11" s="4">
        <v>45413</v>
      </c>
      <c r="E11" s="5" t="s">
        <v>26</v>
      </c>
      <c r="F11" s="6">
        <v>26000</v>
      </c>
    </row>
    <row r="12" spans="1:6" ht="15" customHeight="1" x14ac:dyDescent="0.25">
      <c r="A12" s="7" t="s">
        <v>32</v>
      </c>
      <c r="B12" s="8" t="s">
        <v>21</v>
      </c>
      <c r="C12" s="7" t="s">
        <v>33</v>
      </c>
      <c r="D12" s="4">
        <v>45413</v>
      </c>
      <c r="E12" s="5" t="s">
        <v>26</v>
      </c>
      <c r="F12" s="6">
        <v>20000</v>
      </c>
    </row>
    <row r="13" spans="1:6" ht="15" customHeight="1" x14ac:dyDescent="0.25">
      <c r="A13" s="7" t="s">
        <v>34</v>
      </c>
      <c r="B13" s="7" t="s">
        <v>35</v>
      </c>
      <c r="C13" s="7" t="s">
        <v>36</v>
      </c>
      <c r="D13" s="4">
        <v>45444</v>
      </c>
      <c r="E13" s="5">
        <v>500000</v>
      </c>
      <c r="F13" s="6">
        <f>0.1*Table1[[#This Row],[Anticipated Cost]]</f>
        <v>50000</v>
      </c>
    </row>
    <row r="14" spans="1:6" ht="15" customHeight="1" x14ac:dyDescent="0.25">
      <c r="A14" s="7" t="s">
        <v>37</v>
      </c>
      <c r="B14" s="7" t="s">
        <v>16</v>
      </c>
      <c r="C14" s="7" t="s">
        <v>38</v>
      </c>
      <c r="D14" s="4">
        <v>45444</v>
      </c>
      <c r="E14" s="5">
        <v>600000</v>
      </c>
      <c r="F14" s="6">
        <f>0.1*Table1[[#This Row],[Anticipated Cost]]</f>
        <v>60000</v>
      </c>
    </row>
    <row r="15" spans="1:6" ht="15" customHeight="1" x14ac:dyDescent="0.25">
      <c r="A15" s="9" t="s">
        <v>39</v>
      </c>
      <c r="B15" s="9" t="s">
        <v>40</v>
      </c>
      <c r="C15" s="9" t="s">
        <v>41</v>
      </c>
      <c r="D15" s="4">
        <v>45444</v>
      </c>
      <c r="E15" s="5">
        <v>30000</v>
      </c>
      <c r="F15" s="6">
        <f>0.1*Table1[[#This Row],[Anticipated Cost]]</f>
        <v>3000</v>
      </c>
    </row>
    <row r="16" spans="1:6" ht="15" customHeight="1" x14ac:dyDescent="0.25">
      <c r="A16" s="9" t="s">
        <v>42</v>
      </c>
      <c r="B16" s="10" t="s">
        <v>21</v>
      </c>
      <c r="C16" s="9" t="s">
        <v>43</v>
      </c>
      <c r="D16" s="4">
        <v>45444</v>
      </c>
      <c r="E16" s="5" t="s">
        <v>26</v>
      </c>
      <c r="F16" s="6">
        <v>10000</v>
      </c>
    </row>
    <row r="17" spans="1:6" ht="15" customHeight="1" x14ac:dyDescent="0.25">
      <c r="A17" s="9" t="s">
        <v>44</v>
      </c>
      <c r="B17" s="9" t="s">
        <v>16</v>
      </c>
      <c r="C17" s="9" t="s">
        <v>45</v>
      </c>
      <c r="D17" s="4">
        <v>45474</v>
      </c>
      <c r="E17" s="5">
        <v>1250000</v>
      </c>
      <c r="F17" s="6">
        <f>0.1*Table1[[#This Row],[Anticipated Cost]]</f>
        <v>125000</v>
      </c>
    </row>
    <row r="18" spans="1:6" ht="15" customHeight="1" x14ac:dyDescent="0.25">
      <c r="A18" s="9" t="s">
        <v>46</v>
      </c>
      <c r="B18" s="9" t="s">
        <v>47</v>
      </c>
      <c r="C18" s="9" t="s">
        <v>48</v>
      </c>
      <c r="D18" s="4">
        <v>45474</v>
      </c>
      <c r="E18" s="5">
        <v>8000000</v>
      </c>
      <c r="F18" s="6">
        <f>0.1*Table1[[#This Row],[Anticipated Cost]]</f>
        <v>800000</v>
      </c>
    </row>
    <row r="19" spans="1:6" ht="15" customHeight="1" x14ac:dyDescent="0.25">
      <c r="A19" s="9" t="s">
        <v>49</v>
      </c>
      <c r="B19" s="9" t="s">
        <v>35</v>
      </c>
      <c r="C19" s="9" t="s">
        <v>33</v>
      </c>
      <c r="D19" s="4">
        <v>45474</v>
      </c>
      <c r="E19" s="5">
        <v>500000</v>
      </c>
      <c r="F19" s="6">
        <f>0.1*Table1[[#This Row],[Anticipated Cost]]</f>
        <v>50000</v>
      </c>
    </row>
    <row r="20" spans="1:6" ht="15" customHeight="1" x14ac:dyDescent="0.25">
      <c r="A20" s="9" t="s">
        <v>50</v>
      </c>
      <c r="B20" s="10" t="s">
        <v>16</v>
      </c>
      <c r="C20" s="9" t="s">
        <v>51</v>
      </c>
      <c r="D20" s="4">
        <v>45444</v>
      </c>
      <c r="E20" s="5" t="s">
        <v>26</v>
      </c>
      <c r="F20" s="6">
        <v>15000</v>
      </c>
    </row>
    <row r="21" spans="1:6" ht="15" customHeight="1" x14ac:dyDescent="0.25">
      <c r="A21" s="9" t="s">
        <v>52</v>
      </c>
      <c r="B21" s="10" t="s">
        <v>47</v>
      </c>
      <c r="C21" s="9" t="s">
        <v>53</v>
      </c>
      <c r="D21" s="12"/>
      <c r="E21" s="5" t="s">
        <v>26</v>
      </c>
      <c r="F21" s="11"/>
    </row>
  </sheetData>
  <pageMargins left="0.7" right="0.7" top="0.75" bottom="0.75" header="0.3" footer="0.3"/>
  <pageSetup orientation="portrait" horizontalDpi="300" verticalDpi="0" copies="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7E145-1DBA-4481-81BF-717DC5BCA891}">
  <sheetPr codeName="Sheet2"/>
  <dimension ref="A1:F28"/>
  <sheetViews>
    <sheetView workbookViewId="0"/>
  </sheetViews>
  <sheetFormatPr defaultRowHeight="15" x14ac:dyDescent="0.25"/>
  <cols>
    <col min="1" max="1" width="13.7109375" bestFit="1" customWidth="1"/>
    <col min="2" max="2" width="17.7109375" bestFit="1" customWidth="1"/>
    <col min="3" max="3" width="18.7109375" customWidth="1"/>
    <col min="4" max="4" width="28.28515625" bestFit="1" customWidth="1"/>
    <col min="5" max="5" width="18.28515625" bestFit="1" customWidth="1"/>
    <col min="6" max="6" width="13.7109375" bestFit="1" customWidth="1"/>
  </cols>
  <sheetData>
    <row r="1" spans="1:6" ht="30" x14ac:dyDescent="0.25">
      <c r="A1" s="1" t="s">
        <v>0</v>
      </c>
      <c r="B1" s="1" t="s">
        <v>1</v>
      </c>
      <c r="C1" s="1" t="s">
        <v>2</v>
      </c>
      <c r="D1" t="s">
        <v>54</v>
      </c>
      <c r="E1" t="s">
        <v>4</v>
      </c>
      <c r="F1" s="2" t="s">
        <v>5</v>
      </c>
    </row>
    <row r="2" spans="1:6" x14ac:dyDescent="0.25">
      <c r="A2" s="7" t="s">
        <v>55</v>
      </c>
      <c r="B2" s="7" t="s">
        <v>10</v>
      </c>
      <c r="C2" s="7" t="s">
        <v>56</v>
      </c>
      <c r="D2" s="4">
        <v>45444</v>
      </c>
      <c r="E2" s="5">
        <v>2950000</v>
      </c>
      <c r="F2" s="15">
        <f>Table14[[#This Row],[Anticipated Cost]]*0.1</f>
        <v>295000</v>
      </c>
    </row>
    <row r="3" spans="1:6" ht="15" customHeight="1" x14ac:dyDescent="0.25">
      <c r="A3" s="13" t="s">
        <v>34</v>
      </c>
      <c r="B3" s="13" t="s">
        <v>35</v>
      </c>
      <c r="C3" s="13" t="s">
        <v>36</v>
      </c>
      <c r="D3" s="4">
        <v>45444</v>
      </c>
      <c r="E3" s="5">
        <v>500000</v>
      </c>
      <c r="F3" s="6">
        <f>Table14[[#This Row],[Anticipated Cost]]*0.1</f>
        <v>50000</v>
      </c>
    </row>
    <row r="4" spans="1:6" ht="15" customHeight="1" x14ac:dyDescent="0.25">
      <c r="A4" s="13" t="s">
        <v>20</v>
      </c>
      <c r="B4" s="13" t="s">
        <v>21</v>
      </c>
      <c r="C4" s="13" t="s">
        <v>22</v>
      </c>
      <c r="D4" s="4">
        <v>45444</v>
      </c>
      <c r="E4" s="5">
        <v>1500000</v>
      </c>
      <c r="F4" s="6">
        <f>Table14[[#This Row],[Anticipated Cost]]*0.1</f>
        <v>150000</v>
      </c>
    </row>
    <row r="5" spans="1:6" ht="15" customHeight="1" x14ac:dyDescent="0.25">
      <c r="A5" s="13" t="s">
        <v>12</v>
      </c>
      <c r="B5" s="13" t="s">
        <v>13</v>
      </c>
      <c r="C5" s="13" t="s">
        <v>14</v>
      </c>
      <c r="D5" s="16">
        <v>45444</v>
      </c>
      <c r="E5" s="17">
        <v>700000</v>
      </c>
      <c r="F5" s="18">
        <f>Table14[[#This Row],[Anticipated Cost]]*0.1</f>
        <v>70000</v>
      </c>
    </row>
    <row r="6" spans="1:6" ht="15" customHeight="1" x14ac:dyDescent="0.25">
      <c r="A6" s="13" t="s">
        <v>23</v>
      </c>
      <c r="B6" s="13" t="s">
        <v>21</v>
      </c>
      <c r="C6" s="13" t="s">
        <v>17</v>
      </c>
      <c r="D6" s="4">
        <v>45444</v>
      </c>
      <c r="E6" s="5">
        <v>250000</v>
      </c>
      <c r="F6" s="6">
        <f>Table14[[#This Row],[Anticipated Cost]]*0.1</f>
        <v>25000</v>
      </c>
    </row>
    <row r="7" spans="1:6" ht="15" customHeight="1" x14ac:dyDescent="0.25">
      <c r="A7" s="13" t="s">
        <v>39</v>
      </c>
      <c r="B7" s="13" t="s">
        <v>57</v>
      </c>
      <c r="C7" s="13" t="s">
        <v>41</v>
      </c>
      <c r="D7" s="16">
        <v>45444</v>
      </c>
      <c r="E7" s="17">
        <v>30000</v>
      </c>
      <c r="F7" s="18">
        <f>Table14[[#This Row],[Anticipated Cost]]*0.1</f>
        <v>3000</v>
      </c>
    </row>
    <row r="8" spans="1:6" ht="15" customHeight="1" x14ac:dyDescent="0.25">
      <c r="A8" s="13" t="s">
        <v>15</v>
      </c>
      <c r="B8" s="13" t="s">
        <v>16</v>
      </c>
      <c r="C8" s="13" t="s">
        <v>17</v>
      </c>
      <c r="D8" s="4">
        <v>45444</v>
      </c>
      <c r="E8" s="5">
        <v>700000</v>
      </c>
      <c r="F8" s="6">
        <f>Table14[[#This Row],[Anticipated Cost]]*0.1</f>
        <v>70000</v>
      </c>
    </row>
    <row r="9" spans="1:6" ht="15" customHeight="1" x14ac:dyDescent="0.25">
      <c r="A9" s="13" t="s">
        <v>46</v>
      </c>
      <c r="B9" s="13" t="s">
        <v>47</v>
      </c>
      <c r="C9" s="13" t="s">
        <v>48</v>
      </c>
      <c r="D9" s="4">
        <v>45505</v>
      </c>
      <c r="E9" s="5">
        <v>8000000</v>
      </c>
      <c r="F9" s="6">
        <f>Table14[[#This Row],[Anticipated Cost]]*0.1</f>
        <v>800000</v>
      </c>
    </row>
    <row r="10" spans="1:6" ht="15" customHeight="1" x14ac:dyDescent="0.25">
      <c r="A10" s="13" t="s">
        <v>58</v>
      </c>
      <c r="B10" s="13" t="s">
        <v>59</v>
      </c>
      <c r="C10" s="13" t="s">
        <v>60</v>
      </c>
      <c r="D10" s="4">
        <v>45444</v>
      </c>
      <c r="E10" s="5">
        <v>70000</v>
      </c>
      <c r="F10" s="6">
        <f>Table14[[#This Row],[Anticipated Cost]]*0.1</f>
        <v>7000</v>
      </c>
    </row>
    <row r="11" spans="1:6" ht="15" customHeight="1" x14ac:dyDescent="0.25">
      <c r="A11" s="13" t="s">
        <v>44</v>
      </c>
      <c r="B11" s="13" t="s">
        <v>16</v>
      </c>
      <c r="C11" s="13" t="s">
        <v>45</v>
      </c>
      <c r="D11" s="4">
        <v>45474</v>
      </c>
      <c r="E11" s="5">
        <v>700000</v>
      </c>
      <c r="F11" s="6">
        <f>Table14[[#This Row],[Anticipated Cost]]*0.1</f>
        <v>70000</v>
      </c>
    </row>
    <row r="12" spans="1:6" ht="15" customHeight="1" x14ac:dyDescent="0.25">
      <c r="A12" s="13" t="s">
        <v>61</v>
      </c>
      <c r="B12" s="13" t="s">
        <v>16</v>
      </c>
      <c r="C12" s="13" t="s">
        <v>45</v>
      </c>
      <c r="D12" s="4">
        <v>45474</v>
      </c>
      <c r="E12" s="5">
        <v>984000</v>
      </c>
      <c r="F12" s="6">
        <f>Table14[[#This Row],[Anticipated Cost]]*0.1</f>
        <v>98400</v>
      </c>
    </row>
    <row r="13" spans="1:6" ht="15" customHeight="1" x14ac:dyDescent="0.25">
      <c r="A13" s="13" t="s">
        <v>37</v>
      </c>
      <c r="B13" s="13" t="s">
        <v>16</v>
      </c>
      <c r="C13" s="13" t="s">
        <v>38</v>
      </c>
      <c r="D13" s="4">
        <v>45444</v>
      </c>
      <c r="E13" s="5">
        <v>600000</v>
      </c>
      <c r="F13" s="6">
        <f>Table14[[#This Row],[Anticipated Cost]]*0.1</f>
        <v>60000</v>
      </c>
    </row>
    <row r="14" spans="1:6" ht="15" customHeight="1" x14ac:dyDescent="0.25">
      <c r="A14" s="13" t="s">
        <v>62</v>
      </c>
      <c r="B14" s="13" t="s">
        <v>21</v>
      </c>
      <c r="C14" s="13" t="s">
        <v>51</v>
      </c>
      <c r="D14" s="4">
        <v>45474</v>
      </c>
      <c r="E14" s="5">
        <v>50000</v>
      </c>
      <c r="F14" s="6">
        <f>Table14[[#This Row],[Anticipated Cost]]*0.1</f>
        <v>5000</v>
      </c>
    </row>
    <row r="15" spans="1:6" ht="15" customHeight="1" x14ac:dyDescent="0.25">
      <c r="A15" s="13" t="s">
        <v>63</v>
      </c>
      <c r="B15" s="13" t="s">
        <v>59</v>
      </c>
      <c r="C15" s="13" t="s">
        <v>64</v>
      </c>
      <c r="D15" s="4">
        <v>45474</v>
      </c>
      <c r="E15" s="5">
        <v>70000</v>
      </c>
      <c r="F15" s="6">
        <f>Table14[[#This Row],[Anticipated Cost]]*0.1</f>
        <v>7000</v>
      </c>
    </row>
    <row r="16" spans="1:6" ht="15" customHeight="1" x14ac:dyDescent="0.25">
      <c r="A16" s="13" t="s">
        <v>65</v>
      </c>
      <c r="B16" s="13" t="s">
        <v>47</v>
      </c>
      <c r="C16" s="13" t="s">
        <v>66</v>
      </c>
      <c r="D16" s="4">
        <v>45474</v>
      </c>
      <c r="E16" s="5">
        <v>450000</v>
      </c>
      <c r="F16" s="6">
        <f>Table14[[#This Row],[Anticipated Cost]]*0.1</f>
        <v>45000</v>
      </c>
    </row>
    <row r="17" spans="1:6" ht="15" customHeight="1" x14ac:dyDescent="0.25">
      <c r="A17" s="13" t="s">
        <v>49</v>
      </c>
      <c r="B17" s="13" t="s">
        <v>35</v>
      </c>
      <c r="C17" s="13" t="s">
        <v>33</v>
      </c>
      <c r="D17" s="4">
        <v>45444</v>
      </c>
      <c r="E17" s="5">
        <v>500000</v>
      </c>
      <c r="F17" s="6">
        <f>Table14[[#This Row],[Anticipated Cost]]*0.1</f>
        <v>50000</v>
      </c>
    </row>
    <row r="18" spans="1:6" ht="15" customHeight="1" x14ac:dyDescent="0.25">
      <c r="A18" s="9" t="s">
        <v>50</v>
      </c>
      <c r="B18" s="9" t="s">
        <v>16</v>
      </c>
      <c r="C18" s="9" t="s">
        <v>51</v>
      </c>
      <c r="D18" s="4">
        <v>45474</v>
      </c>
      <c r="E18" s="5" t="s">
        <v>67</v>
      </c>
      <c r="F18" s="11" t="e">
        <f>Table14[[#This Row],[Anticipated Cost]]*0.1</f>
        <v>#VALUE!</v>
      </c>
    </row>
    <row r="19" spans="1:6" ht="15" customHeight="1" x14ac:dyDescent="0.25">
      <c r="A19" s="9" t="s">
        <v>68</v>
      </c>
      <c r="B19" s="9" t="s">
        <v>69</v>
      </c>
      <c r="C19" s="9" t="s">
        <v>33</v>
      </c>
      <c r="D19" s="4">
        <v>45474</v>
      </c>
      <c r="E19" s="5" t="s">
        <v>67</v>
      </c>
      <c r="F19" s="6">
        <v>40000</v>
      </c>
    </row>
    <row r="20" spans="1:6" ht="15" customHeight="1" x14ac:dyDescent="0.25">
      <c r="A20" s="9" t="s">
        <v>70</v>
      </c>
      <c r="B20" s="9" t="s">
        <v>69</v>
      </c>
      <c r="C20" s="9" t="s">
        <v>33</v>
      </c>
      <c r="D20" s="4">
        <v>45474</v>
      </c>
      <c r="E20" s="5" t="s">
        <v>67</v>
      </c>
      <c r="F20" s="6">
        <v>12000</v>
      </c>
    </row>
    <row r="21" spans="1:6" ht="15" customHeight="1" x14ac:dyDescent="0.25">
      <c r="A21" s="9" t="s">
        <v>30</v>
      </c>
      <c r="B21" s="9" t="s">
        <v>7</v>
      </c>
      <c r="C21" s="9" t="s">
        <v>31</v>
      </c>
      <c r="D21" s="4">
        <v>45444</v>
      </c>
      <c r="E21" s="5" t="s">
        <v>67</v>
      </c>
      <c r="F21" s="6">
        <v>24000</v>
      </c>
    </row>
    <row r="22" spans="1:6" ht="15" customHeight="1" x14ac:dyDescent="0.25">
      <c r="A22" s="7" t="s">
        <v>42</v>
      </c>
      <c r="B22" s="7" t="s">
        <v>21</v>
      </c>
      <c r="C22" s="7" t="s">
        <v>43</v>
      </c>
      <c r="D22" s="4">
        <v>45505</v>
      </c>
      <c r="E22" s="5" t="s">
        <v>67</v>
      </c>
      <c r="F22" s="15">
        <v>12000</v>
      </c>
    </row>
    <row r="23" spans="1:6" ht="15" customHeight="1" x14ac:dyDescent="0.25">
      <c r="A23" s="9" t="s">
        <v>55</v>
      </c>
      <c r="B23" s="9" t="s">
        <v>10</v>
      </c>
      <c r="C23" s="9" t="s">
        <v>56</v>
      </c>
      <c r="D23" s="4">
        <v>45444</v>
      </c>
      <c r="E23" s="5" t="s">
        <v>67</v>
      </c>
      <c r="F23" s="6">
        <v>6000</v>
      </c>
    </row>
    <row r="24" spans="1:6" ht="15" customHeight="1" x14ac:dyDescent="0.25">
      <c r="A24" s="9" t="s">
        <v>71</v>
      </c>
      <c r="B24" s="9" t="s">
        <v>10</v>
      </c>
      <c r="C24" s="9" t="s">
        <v>72</v>
      </c>
      <c r="D24" s="4">
        <v>45444</v>
      </c>
      <c r="E24" s="5" t="s">
        <v>67</v>
      </c>
      <c r="F24" s="6">
        <v>12000</v>
      </c>
    </row>
    <row r="25" spans="1:6" ht="15" customHeight="1" x14ac:dyDescent="0.25">
      <c r="A25" s="9" t="s">
        <v>73</v>
      </c>
      <c r="B25" s="9" t="s">
        <v>28</v>
      </c>
      <c r="C25" s="9" t="s">
        <v>74</v>
      </c>
      <c r="D25" s="4">
        <v>45444</v>
      </c>
      <c r="E25" s="5" t="s">
        <v>67</v>
      </c>
      <c r="F25" s="6">
        <v>3000</v>
      </c>
    </row>
    <row r="26" spans="1:6" ht="15" customHeight="1" x14ac:dyDescent="0.25">
      <c r="A26" s="9" t="s">
        <v>6</v>
      </c>
      <c r="B26" s="9" t="s">
        <v>7</v>
      </c>
      <c r="C26" s="9" t="s">
        <v>8</v>
      </c>
      <c r="D26" s="4">
        <v>45444</v>
      </c>
      <c r="E26" s="5" t="s">
        <v>67</v>
      </c>
      <c r="F26" s="6">
        <v>20000</v>
      </c>
    </row>
    <row r="27" spans="1:6" x14ac:dyDescent="0.25">
      <c r="A27" s="9" t="s">
        <v>75</v>
      </c>
      <c r="B27" s="9" t="s">
        <v>47</v>
      </c>
      <c r="C27" s="9" t="s">
        <v>60</v>
      </c>
      <c r="D27" s="4">
        <v>45444</v>
      </c>
      <c r="E27" s="5" t="s">
        <v>67</v>
      </c>
      <c r="F27" s="6">
        <v>5000</v>
      </c>
    </row>
    <row r="28" spans="1:6" x14ac:dyDescent="0.25">
      <c r="A28" s="7" t="s">
        <v>76</v>
      </c>
      <c r="B28" s="7" t="s">
        <v>16</v>
      </c>
      <c r="C28" s="7" t="s">
        <v>77</v>
      </c>
      <c r="D28" s="4">
        <v>45444</v>
      </c>
      <c r="E28" s="5" t="s">
        <v>67</v>
      </c>
      <c r="F28" s="14" t="e">
        <f>Table14[[#This Row],[Anticipated Cost]]*0.1</f>
        <v>#VALUE!</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8B63-24F9-40BF-8F11-8D17B6A8A755}">
  <sheetPr codeName="Sheet3"/>
  <dimension ref="A1:F27"/>
  <sheetViews>
    <sheetView workbookViewId="0"/>
  </sheetViews>
  <sheetFormatPr defaultRowHeight="15" x14ac:dyDescent="0.25"/>
  <cols>
    <col min="1" max="1" width="13.7109375" bestFit="1" customWidth="1"/>
    <col min="2" max="2" width="22.5703125" customWidth="1"/>
    <col min="3" max="3" width="18.7109375" customWidth="1"/>
    <col min="4" max="4" width="28.28515625" bestFit="1" customWidth="1"/>
    <col min="5" max="5" width="18.28515625" bestFit="1" customWidth="1"/>
    <col min="6" max="6" width="13.7109375" bestFit="1" customWidth="1"/>
  </cols>
  <sheetData>
    <row r="1" spans="1:6" ht="30" x14ac:dyDescent="0.25">
      <c r="A1" s="1" t="s">
        <v>0</v>
      </c>
      <c r="B1" s="1" t="s">
        <v>1</v>
      </c>
      <c r="C1" s="1" t="s">
        <v>2</v>
      </c>
      <c r="D1" t="s">
        <v>54</v>
      </c>
      <c r="E1" t="s">
        <v>4</v>
      </c>
      <c r="F1" s="2" t="s">
        <v>5</v>
      </c>
    </row>
    <row r="2" spans="1:6" ht="16.5" customHeight="1" x14ac:dyDescent="0.25">
      <c r="A2" s="19" t="s">
        <v>62</v>
      </c>
      <c r="B2" s="19" t="s">
        <v>21</v>
      </c>
      <c r="C2" s="19" t="s">
        <v>51</v>
      </c>
      <c r="D2" s="16">
        <v>45474</v>
      </c>
      <c r="E2" s="17">
        <v>50000</v>
      </c>
      <c r="F2" s="15">
        <f>0.1*Table145[[#This Row],[Anticipated Cost]]</f>
        <v>5000</v>
      </c>
    </row>
    <row r="3" spans="1:6" ht="16.5" customHeight="1" x14ac:dyDescent="0.25">
      <c r="A3" s="20" t="s">
        <v>65</v>
      </c>
      <c r="B3" s="20" t="s">
        <v>47</v>
      </c>
      <c r="C3" s="20" t="s">
        <v>66</v>
      </c>
      <c r="D3" s="16">
        <v>45474</v>
      </c>
      <c r="E3" s="17">
        <v>600000</v>
      </c>
      <c r="F3" s="6">
        <f>0.1*Table145[[#This Row],[Anticipated Cost]]</f>
        <v>60000</v>
      </c>
    </row>
    <row r="4" spans="1:6" ht="16.5" customHeight="1" x14ac:dyDescent="0.25">
      <c r="A4" s="23" t="s">
        <v>6</v>
      </c>
      <c r="B4" s="23" t="s">
        <v>7</v>
      </c>
      <c r="C4" s="20" t="s">
        <v>8</v>
      </c>
      <c r="D4" s="16">
        <v>45474</v>
      </c>
      <c r="E4" s="5" t="s">
        <v>67</v>
      </c>
      <c r="F4" s="18">
        <v>20000</v>
      </c>
    </row>
    <row r="5" spans="1:6" ht="16.5" customHeight="1" x14ac:dyDescent="0.25">
      <c r="A5" s="20" t="s">
        <v>49</v>
      </c>
      <c r="B5" s="20" t="s">
        <v>35</v>
      </c>
      <c r="C5" s="20" t="s">
        <v>33</v>
      </c>
      <c r="D5" s="16">
        <v>45474</v>
      </c>
      <c r="E5" s="17">
        <v>600000</v>
      </c>
      <c r="F5" s="6">
        <f>0.1*Table145[[#This Row],[Anticipated Cost]]</f>
        <v>60000</v>
      </c>
    </row>
    <row r="6" spans="1:6" ht="16.5" customHeight="1" x14ac:dyDescent="0.25">
      <c r="A6" s="19" t="s">
        <v>78</v>
      </c>
      <c r="B6" s="19" t="s">
        <v>79</v>
      </c>
      <c r="C6" s="19" t="s">
        <v>80</v>
      </c>
      <c r="D6" s="16">
        <v>45505</v>
      </c>
      <c r="E6" s="17">
        <v>500000</v>
      </c>
      <c r="F6" s="6">
        <f>0.1*Table145[[#This Row],[Anticipated Cost]]</f>
        <v>50000</v>
      </c>
    </row>
    <row r="7" spans="1:6" ht="16.5" customHeight="1" x14ac:dyDescent="0.25">
      <c r="A7" s="20" t="s">
        <v>81</v>
      </c>
      <c r="B7" s="20" t="s">
        <v>79</v>
      </c>
      <c r="C7" s="20" t="s">
        <v>80</v>
      </c>
      <c r="D7" s="16">
        <v>45505</v>
      </c>
      <c r="E7" s="17">
        <v>150000</v>
      </c>
      <c r="F7" s="6">
        <f>0.1*Table145[[#This Row],[Anticipated Cost]]</f>
        <v>15000</v>
      </c>
    </row>
    <row r="8" spans="1:6" ht="16.5" customHeight="1" x14ac:dyDescent="0.25">
      <c r="A8" s="23" t="s">
        <v>42</v>
      </c>
      <c r="B8" s="23" t="s">
        <v>21</v>
      </c>
      <c r="C8" s="20" t="s">
        <v>43</v>
      </c>
      <c r="D8" s="16">
        <v>45505</v>
      </c>
      <c r="E8" s="5" t="s">
        <v>67</v>
      </c>
      <c r="F8" s="18">
        <v>10000</v>
      </c>
    </row>
    <row r="9" spans="1:6" ht="16.5" customHeight="1" x14ac:dyDescent="0.25">
      <c r="A9" s="20" t="s">
        <v>37</v>
      </c>
      <c r="B9" s="20" t="s">
        <v>16</v>
      </c>
      <c r="C9" s="20" t="s">
        <v>38</v>
      </c>
      <c r="D9" s="16">
        <v>45505</v>
      </c>
      <c r="E9" s="17">
        <v>900000</v>
      </c>
      <c r="F9" s="6">
        <f>0.1*Table145[[#This Row],[Anticipated Cost]]</f>
        <v>90000</v>
      </c>
    </row>
    <row r="10" spans="1:6" ht="16.5" customHeight="1" x14ac:dyDescent="0.25">
      <c r="A10" s="19" t="s">
        <v>15</v>
      </c>
      <c r="B10" s="19" t="s">
        <v>16</v>
      </c>
      <c r="C10" s="19" t="s">
        <v>17</v>
      </c>
      <c r="D10" s="16">
        <v>45505</v>
      </c>
      <c r="E10" s="17">
        <v>700000</v>
      </c>
      <c r="F10" s="6">
        <f>0.1*Table145[[#This Row],[Anticipated Cost]]</f>
        <v>70000</v>
      </c>
    </row>
    <row r="11" spans="1:6" ht="16.5" customHeight="1" x14ac:dyDescent="0.25">
      <c r="A11" s="19" t="s">
        <v>82</v>
      </c>
      <c r="B11" s="19" t="s">
        <v>35</v>
      </c>
      <c r="C11" s="19" t="s">
        <v>83</v>
      </c>
      <c r="D11" s="16">
        <v>45505</v>
      </c>
      <c r="E11" s="17">
        <v>250000</v>
      </c>
      <c r="F11" s="6">
        <f>0.1*Table145[[#This Row],[Anticipated Cost]]</f>
        <v>25000</v>
      </c>
    </row>
    <row r="12" spans="1:6" ht="16.5" customHeight="1" x14ac:dyDescent="0.25">
      <c r="A12" s="23" t="s">
        <v>50</v>
      </c>
      <c r="B12" s="23" t="s">
        <v>16</v>
      </c>
      <c r="C12" s="20" t="s">
        <v>51</v>
      </c>
      <c r="D12" s="16">
        <v>45505</v>
      </c>
      <c r="E12" s="5" t="s">
        <v>67</v>
      </c>
      <c r="F12" s="18">
        <v>15000</v>
      </c>
    </row>
    <row r="13" spans="1:6" ht="16.5" customHeight="1" x14ac:dyDescent="0.25">
      <c r="A13" s="19" t="s">
        <v>46</v>
      </c>
      <c r="B13" s="19" t="s">
        <v>47</v>
      </c>
      <c r="C13" s="19" t="s">
        <v>48</v>
      </c>
      <c r="D13" s="16">
        <v>45536</v>
      </c>
      <c r="E13" s="17">
        <v>8000000</v>
      </c>
      <c r="F13" s="6">
        <f>0.1*Table145[[#This Row],[Anticipated Cost]]</f>
        <v>800000</v>
      </c>
    </row>
    <row r="14" spans="1:6" ht="16.5" customHeight="1" x14ac:dyDescent="0.25">
      <c r="A14" s="20" t="s">
        <v>84</v>
      </c>
      <c r="B14" s="20" t="s">
        <v>7</v>
      </c>
      <c r="C14" s="20" t="s">
        <v>85</v>
      </c>
      <c r="D14" s="16">
        <v>45536</v>
      </c>
      <c r="E14" s="17">
        <v>2000000</v>
      </c>
      <c r="F14" s="6">
        <f>0.1*Table145[[#This Row],[Anticipated Cost]]</f>
        <v>200000</v>
      </c>
    </row>
    <row r="15" spans="1:6" ht="16.5" customHeight="1" x14ac:dyDescent="0.25">
      <c r="A15" s="22" t="s">
        <v>86</v>
      </c>
      <c r="B15" s="22" t="s">
        <v>7</v>
      </c>
      <c r="C15" s="22" t="s">
        <v>87</v>
      </c>
      <c r="D15" s="16">
        <v>45536</v>
      </c>
      <c r="E15" s="17">
        <v>1500000</v>
      </c>
      <c r="F15" s="6">
        <f>0.1*Table145[[#This Row],[Anticipated Cost]]</f>
        <v>150000</v>
      </c>
    </row>
    <row r="16" spans="1:6" ht="16.5" customHeight="1" x14ac:dyDescent="0.25">
      <c r="A16" s="22" t="s">
        <v>44</v>
      </c>
      <c r="B16" s="22" t="s">
        <v>16</v>
      </c>
      <c r="C16" s="22" t="s">
        <v>45</v>
      </c>
      <c r="D16" s="16">
        <v>45536</v>
      </c>
      <c r="E16" s="17">
        <v>450000</v>
      </c>
      <c r="F16" s="6">
        <f>0.1*Table145[[#This Row],[Anticipated Cost]]</f>
        <v>45000</v>
      </c>
    </row>
    <row r="17" spans="1:6" ht="16.5" customHeight="1" x14ac:dyDescent="0.25">
      <c r="A17" s="24" t="s">
        <v>61</v>
      </c>
      <c r="B17" s="24" t="s">
        <v>16</v>
      </c>
      <c r="C17" s="24" t="s">
        <v>45</v>
      </c>
      <c r="D17" s="16">
        <v>45536</v>
      </c>
      <c r="E17" s="17">
        <v>980000</v>
      </c>
      <c r="F17" s="6">
        <f>0.1*Table145[[#This Row],[Anticipated Cost]]</f>
        <v>98000</v>
      </c>
    </row>
    <row r="18" spans="1:6" ht="16.5" customHeight="1" x14ac:dyDescent="0.25">
      <c r="A18" s="21"/>
      <c r="B18" s="21"/>
      <c r="C18" s="22"/>
      <c r="D18" s="4"/>
      <c r="E18" s="5"/>
      <c r="F18" s="6"/>
    </row>
    <row r="19" spans="1:6" ht="16.5" customHeight="1" x14ac:dyDescent="0.25">
      <c r="A19" s="9"/>
      <c r="B19" s="9"/>
      <c r="C19" s="9"/>
      <c r="D19" s="4"/>
      <c r="E19" s="5"/>
      <c r="F19" s="6"/>
    </row>
    <row r="20" spans="1:6" ht="16.5" customHeight="1" x14ac:dyDescent="0.25">
      <c r="A20" s="9"/>
      <c r="B20" s="9"/>
      <c r="C20" s="9"/>
      <c r="D20" s="4"/>
      <c r="E20" s="5"/>
      <c r="F20" s="6"/>
    </row>
    <row r="21" spans="1:6" x14ac:dyDescent="0.25">
      <c r="A21" s="7"/>
      <c r="B21" s="7"/>
      <c r="C21" s="7"/>
      <c r="D21" s="4"/>
      <c r="E21" s="5"/>
      <c r="F21" s="15"/>
    </row>
    <row r="22" spans="1:6" x14ac:dyDescent="0.25">
      <c r="A22" s="9"/>
      <c r="B22" s="9"/>
      <c r="C22" s="9"/>
      <c r="D22" s="4"/>
      <c r="E22" s="5"/>
      <c r="F22" s="6"/>
    </row>
    <row r="23" spans="1:6" x14ac:dyDescent="0.25">
      <c r="A23" s="9"/>
      <c r="B23" s="9"/>
      <c r="C23" s="9"/>
      <c r="D23" s="4"/>
      <c r="E23" s="5"/>
      <c r="F23" s="6"/>
    </row>
    <row r="24" spans="1:6" x14ac:dyDescent="0.25">
      <c r="A24" s="9"/>
      <c r="B24" s="9"/>
      <c r="C24" s="9"/>
      <c r="D24" s="4"/>
      <c r="E24" s="5"/>
      <c r="F24" s="6"/>
    </row>
    <row r="25" spans="1:6" x14ac:dyDescent="0.25">
      <c r="A25" s="9"/>
      <c r="B25" s="9"/>
      <c r="C25" s="9"/>
      <c r="D25" s="4"/>
      <c r="E25" s="5"/>
      <c r="F25" s="6"/>
    </row>
    <row r="26" spans="1:6" x14ac:dyDescent="0.25">
      <c r="A26" s="9"/>
      <c r="B26" s="9"/>
      <c r="C26" s="9"/>
      <c r="D26" s="4"/>
      <c r="E26" s="5"/>
      <c r="F26" s="6"/>
    </row>
    <row r="27" spans="1:6" x14ac:dyDescent="0.25">
      <c r="A27" s="7"/>
      <c r="B27" s="7"/>
      <c r="C27" s="7"/>
      <c r="D27" s="4"/>
      <c r="E27" s="5"/>
      <c r="F27" s="15"/>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601D8-460F-42F9-8953-E86273E52DE7}">
  <sheetPr codeName="Sheet4"/>
  <dimension ref="A1:F25"/>
  <sheetViews>
    <sheetView workbookViewId="0"/>
  </sheetViews>
  <sheetFormatPr defaultRowHeight="15" x14ac:dyDescent="0.25"/>
  <cols>
    <col min="1" max="1" width="13.7109375" bestFit="1" customWidth="1"/>
    <col min="2" max="2" width="22.5703125" customWidth="1"/>
    <col min="3" max="3" width="18.7109375" customWidth="1"/>
    <col min="4" max="4" width="28.28515625" bestFit="1" customWidth="1"/>
    <col min="5" max="5" width="18.28515625" bestFit="1" customWidth="1"/>
    <col min="6" max="6" width="13.7109375" bestFit="1" customWidth="1"/>
  </cols>
  <sheetData>
    <row r="1" spans="1:6" ht="30" x14ac:dyDescent="0.25">
      <c r="A1" s="1" t="s">
        <v>0</v>
      </c>
      <c r="B1" s="1" t="s">
        <v>1</v>
      </c>
      <c r="C1" s="1" t="s">
        <v>2</v>
      </c>
      <c r="D1" t="s">
        <v>54</v>
      </c>
      <c r="E1" t="s">
        <v>4</v>
      </c>
      <c r="F1" s="2" t="s">
        <v>5</v>
      </c>
    </row>
    <row r="2" spans="1:6" x14ac:dyDescent="0.25">
      <c r="A2" s="7" t="s">
        <v>88</v>
      </c>
      <c r="B2" s="7" t="s">
        <v>21</v>
      </c>
      <c r="C2" s="7" t="s">
        <v>89</v>
      </c>
      <c r="D2" s="16">
        <v>45505</v>
      </c>
      <c r="E2" s="17" t="s">
        <v>67</v>
      </c>
      <c r="F2" s="15">
        <v>0</v>
      </c>
    </row>
    <row r="3" spans="1:6" x14ac:dyDescent="0.25">
      <c r="A3" s="20" t="s">
        <v>62</v>
      </c>
      <c r="B3" s="20" t="s">
        <v>21</v>
      </c>
      <c r="C3" s="20" t="s">
        <v>51</v>
      </c>
      <c r="D3" s="16">
        <v>45505</v>
      </c>
      <c r="E3" s="17">
        <v>50000</v>
      </c>
      <c r="F3" s="15">
        <f>0.1*Table1453[[#This Row],[Anticipated Cost]]</f>
        <v>5000</v>
      </c>
    </row>
    <row r="4" spans="1:6" x14ac:dyDescent="0.25">
      <c r="A4" s="23" t="s">
        <v>65</v>
      </c>
      <c r="B4" s="23" t="s">
        <v>47</v>
      </c>
      <c r="C4" s="20" t="s">
        <v>66</v>
      </c>
      <c r="D4" s="16">
        <v>45505</v>
      </c>
      <c r="E4" s="17">
        <v>900000</v>
      </c>
      <c r="F4" s="15">
        <f>0.1*Table1453[[#This Row],[Anticipated Cost]]</f>
        <v>90000</v>
      </c>
    </row>
    <row r="5" spans="1:6" x14ac:dyDescent="0.25">
      <c r="A5" s="20" t="s">
        <v>78</v>
      </c>
      <c r="B5" s="20" t="s">
        <v>79</v>
      </c>
      <c r="C5" s="20" t="s">
        <v>80</v>
      </c>
      <c r="D5" s="25">
        <v>45505</v>
      </c>
      <c r="E5" s="26">
        <v>500000</v>
      </c>
      <c r="F5" s="15">
        <f>0.1*Table1453[[#This Row],[Anticipated Cost]]</f>
        <v>50000</v>
      </c>
    </row>
    <row r="6" spans="1:6" x14ac:dyDescent="0.25">
      <c r="A6" s="20" t="s">
        <v>81</v>
      </c>
      <c r="B6" s="20" t="s">
        <v>79</v>
      </c>
      <c r="C6" s="20" t="s">
        <v>80</v>
      </c>
      <c r="D6" s="25">
        <v>45505</v>
      </c>
      <c r="E6" s="26">
        <v>150000</v>
      </c>
      <c r="F6" s="15">
        <f>0.1*Table1453[[#This Row],[Anticipated Cost]]</f>
        <v>15000</v>
      </c>
    </row>
    <row r="7" spans="1:6" x14ac:dyDescent="0.25">
      <c r="A7" s="23" t="s">
        <v>90</v>
      </c>
      <c r="B7" s="23" t="s">
        <v>21</v>
      </c>
      <c r="C7" s="20" t="s">
        <v>91</v>
      </c>
      <c r="D7" s="16">
        <v>45505</v>
      </c>
      <c r="E7" s="17">
        <v>100000</v>
      </c>
      <c r="F7" s="15">
        <f>0.1*Table1453[[#This Row],[Anticipated Cost]]</f>
        <v>10000</v>
      </c>
    </row>
    <row r="8" spans="1:6" x14ac:dyDescent="0.25">
      <c r="A8" s="20" t="s">
        <v>92</v>
      </c>
      <c r="B8" s="20" t="s">
        <v>7</v>
      </c>
      <c r="C8" s="20" t="s">
        <v>93</v>
      </c>
      <c r="D8" s="16">
        <v>45505</v>
      </c>
      <c r="E8" s="17">
        <v>250000</v>
      </c>
      <c r="F8" s="15">
        <f>0.1*Table1453[[#This Row],[Anticipated Cost]]</f>
        <v>25000</v>
      </c>
    </row>
    <row r="9" spans="1:6" x14ac:dyDescent="0.25">
      <c r="A9" s="7" t="s">
        <v>42</v>
      </c>
      <c r="B9" s="7" t="s">
        <v>21</v>
      </c>
      <c r="C9" s="7" t="s">
        <v>43</v>
      </c>
      <c r="D9" s="16">
        <v>45505</v>
      </c>
      <c r="E9" s="17" t="s">
        <v>67</v>
      </c>
      <c r="F9" s="15">
        <v>5000</v>
      </c>
    </row>
    <row r="10" spans="1:6" x14ac:dyDescent="0.25">
      <c r="A10" s="20" t="s">
        <v>49</v>
      </c>
      <c r="B10" s="20" t="s">
        <v>35</v>
      </c>
      <c r="C10" s="20" t="s">
        <v>33</v>
      </c>
      <c r="D10" s="16">
        <v>45505</v>
      </c>
      <c r="E10" s="17">
        <f>468278.93+580996.2</f>
        <v>1049275.1299999999</v>
      </c>
      <c r="F10" s="15">
        <f>0.1*Table1453[[#This Row],[Anticipated Cost]]</f>
        <v>104927.51299999999</v>
      </c>
    </row>
    <row r="11" spans="1:6" x14ac:dyDescent="0.25">
      <c r="A11" s="20" t="s">
        <v>82</v>
      </c>
      <c r="B11" s="20" t="s">
        <v>35</v>
      </c>
      <c r="C11" s="20" t="s">
        <v>83</v>
      </c>
      <c r="D11" s="16">
        <v>45505</v>
      </c>
      <c r="E11" s="17">
        <f>309891.63+51679.23</f>
        <v>361570.86</v>
      </c>
      <c r="F11" s="15">
        <f>0.1*Table1453[[#This Row],[Anticipated Cost]]</f>
        <v>36157.086000000003</v>
      </c>
    </row>
    <row r="12" spans="1:6" x14ac:dyDescent="0.25">
      <c r="A12" s="7" t="s">
        <v>94</v>
      </c>
      <c r="B12" s="7" t="s">
        <v>10</v>
      </c>
      <c r="C12" s="7" t="s">
        <v>11</v>
      </c>
      <c r="D12" s="16">
        <v>45505</v>
      </c>
      <c r="E12" s="17" t="s">
        <v>67</v>
      </c>
      <c r="F12" s="27">
        <v>3000</v>
      </c>
    </row>
    <row r="13" spans="1:6" x14ac:dyDescent="0.25">
      <c r="A13" s="20" t="s">
        <v>44</v>
      </c>
      <c r="B13" s="20" t="s">
        <v>16</v>
      </c>
      <c r="C13" s="20" t="s">
        <v>45</v>
      </c>
      <c r="D13" s="16">
        <v>45536</v>
      </c>
      <c r="E13" s="17">
        <v>450000</v>
      </c>
      <c r="F13" s="15">
        <f>0.1*Table1453[[#This Row],[Anticipated Cost]]</f>
        <v>45000</v>
      </c>
    </row>
    <row r="14" spans="1:6" x14ac:dyDescent="0.25">
      <c r="A14" s="22" t="s">
        <v>61</v>
      </c>
      <c r="B14" s="22" t="s">
        <v>16</v>
      </c>
      <c r="C14" s="22" t="s">
        <v>45</v>
      </c>
      <c r="D14" s="16">
        <v>45536</v>
      </c>
      <c r="E14" s="17">
        <v>980000</v>
      </c>
      <c r="F14" s="15">
        <f>0.1*Table1453[[#This Row],[Anticipated Cost]]</f>
        <v>98000</v>
      </c>
    </row>
    <row r="15" spans="1:6" x14ac:dyDescent="0.25">
      <c r="A15" s="21" t="s">
        <v>15</v>
      </c>
      <c r="B15" s="21" t="s">
        <v>16</v>
      </c>
      <c r="C15" s="22" t="s">
        <v>17</v>
      </c>
      <c r="D15" s="16">
        <v>45536</v>
      </c>
      <c r="E15" s="17">
        <v>700000</v>
      </c>
      <c r="F15" s="15">
        <f>0.1*Table1453[[#This Row],[Anticipated Cost]]</f>
        <v>70000</v>
      </c>
    </row>
    <row r="16" spans="1:6" x14ac:dyDescent="0.25">
      <c r="A16" s="21" t="s">
        <v>95</v>
      </c>
      <c r="B16" s="21" t="s">
        <v>10</v>
      </c>
      <c r="C16" s="22" t="s">
        <v>96</v>
      </c>
      <c r="D16" s="16">
        <v>45536</v>
      </c>
      <c r="E16" s="17">
        <v>200000</v>
      </c>
      <c r="F16" s="15">
        <f>0.1*Table1453[[#This Row],[Anticipated Cost]]</f>
        <v>20000</v>
      </c>
    </row>
    <row r="17" spans="1:6" ht="30" x14ac:dyDescent="0.25">
      <c r="A17" s="22" t="s">
        <v>84</v>
      </c>
      <c r="B17" s="22" t="s">
        <v>7</v>
      </c>
      <c r="C17" s="22" t="s">
        <v>85</v>
      </c>
      <c r="D17" s="16">
        <v>45566</v>
      </c>
      <c r="E17" s="17">
        <v>2000000</v>
      </c>
      <c r="F17" s="15">
        <f>0.1*Table1453[[#This Row],[Anticipated Cost]]</f>
        <v>200000</v>
      </c>
    </row>
    <row r="18" spans="1:6" x14ac:dyDescent="0.25">
      <c r="A18" s="22" t="s">
        <v>46</v>
      </c>
      <c r="B18" s="22" t="s">
        <v>47</v>
      </c>
      <c r="C18" s="22" t="s">
        <v>48</v>
      </c>
      <c r="D18" s="16">
        <v>45566</v>
      </c>
      <c r="E18" s="17">
        <v>8000000</v>
      </c>
      <c r="F18" s="15">
        <f>0.1*Table1453[[#This Row],[Anticipated Cost]]</f>
        <v>800000</v>
      </c>
    </row>
    <row r="19" spans="1:6" x14ac:dyDescent="0.25">
      <c r="A19" s="20" t="s">
        <v>97</v>
      </c>
      <c r="B19" s="20" t="s">
        <v>21</v>
      </c>
      <c r="C19" s="20" t="s">
        <v>98</v>
      </c>
      <c r="D19" s="16">
        <v>45566</v>
      </c>
      <c r="E19" s="17">
        <v>250000</v>
      </c>
      <c r="F19" s="15">
        <f>0.1*Table1453[[#This Row],[Anticipated Cost]]</f>
        <v>25000</v>
      </c>
    </row>
    <row r="20" spans="1:6" x14ac:dyDescent="0.25">
      <c r="A20" s="22" t="s">
        <v>99</v>
      </c>
      <c r="B20" s="22" t="s">
        <v>7</v>
      </c>
      <c r="C20" s="22" t="s">
        <v>83</v>
      </c>
      <c r="D20" s="16">
        <v>45597</v>
      </c>
      <c r="E20" s="17">
        <v>150000</v>
      </c>
      <c r="F20" s="6">
        <f>0.1*Table1453[[#This Row],[Anticipated Cost]]</f>
        <v>15000</v>
      </c>
    </row>
    <row r="21" spans="1:6" x14ac:dyDescent="0.25">
      <c r="A21" s="9" t="s">
        <v>86</v>
      </c>
      <c r="B21" s="9" t="s">
        <v>7</v>
      </c>
      <c r="C21" s="9" t="s">
        <v>87</v>
      </c>
      <c r="D21" s="16">
        <v>45597</v>
      </c>
      <c r="E21" s="17">
        <v>1500000</v>
      </c>
      <c r="F21" s="6">
        <f>0.1*Table1453[[#This Row],[Anticipated Cost]]</f>
        <v>150000</v>
      </c>
    </row>
    <row r="22" spans="1:6" ht="30" x14ac:dyDescent="0.25">
      <c r="A22" s="22" t="s">
        <v>100</v>
      </c>
      <c r="B22" s="22" t="s">
        <v>16</v>
      </c>
      <c r="C22" s="22" t="s">
        <v>101</v>
      </c>
      <c r="D22" s="16">
        <v>45627</v>
      </c>
      <c r="E22" s="17">
        <v>3000000</v>
      </c>
      <c r="F22" s="6">
        <f>0.1*Table1453[[#This Row],[Anticipated Cost]]</f>
        <v>300000</v>
      </c>
    </row>
    <row r="23" spans="1:6" x14ac:dyDescent="0.25">
      <c r="A23" s="9"/>
      <c r="B23" s="9"/>
      <c r="C23" s="9"/>
      <c r="D23" s="4"/>
      <c r="E23" s="5"/>
      <c r="F23" s="6"/>
    </row>
    <row r="24" spans="1:6" x14ac:dyDescent="0.25">
      <c r="A24" s="9"/>
      <c r="B24" s="9"/>
      <c r="C24" s="9"/>
      <c r="D24" s="4"/>
      <c r="E24" s="5"/>
      <c r="F24" s="6"/>
    </row>
    <row r="25" spans="1:6" x14ac:dyDescent="0.25">
      <c r="A25" s="7"/>
      <c r="B25" s="7"/>
      <c r="C25" s="7"/>
      <c r="D25" s="4"/>
      <c r="E25" s="5"/>
      <c r="F25" s="15"/>
    </row>
  </sheetData>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9B6D8-E3DC-4102-883C-DE4B75E286BA}">
  <sheetPr codeName="Sheet5"/>
  <dimension ref="A1:I22"/>
  <sheetViews>
    <sheetView workbookViewId="0"/>
  </sheetViews>
  <sheetFormatPr defaultRowHeight="15" x14ac:dyDescent="0.25"/>
  <cols>
    <col min="1" max="1" width="13.7109375" bestFit="1" customWidth="1"/>
    <col min="2" max="2" width="26.140625" customWidth="1"/>
    <col min="3" max="3" width="18.7109375" customWidth="1"/>
    <col min="4" max="4" width="28.28515625" bestFit="1" customWidth="1"/>
    <col min="5" max="5" width="18.28515625" bestFit="1" customWidth="1"/>
    <col min="6" max="6" width="13.7109375" bestFit="1" customWidth="1"/>
    <col min="8" max="8" width="10.28515625" bestFit="1" customWidth="1"/>
    <col min="9" max="9" width="14.7109375" style="34" bestFit="1" customWidth="1"/>
  </cols>
  <sheetData>
    <row r="1" spans="1:9" ht="30" customHeight="1" x14ac:dyDescent="0.25">
      <c r="A1" s="1" t="s">
        <v>0</v>
      </c>
      <c r="B1" s="1" t="s">
        <v>1</v>
      </c>
      <c r="C1" s="1" t="s">
        <v>2</v>
      </c>
      <c r="D1" t="s">
        <v>54</v>
      </c>
      <c r="E1" t="s">
        <v>4</v>
      </c>
      <c r="F1" s="2" t="s">
        <v>5</v>
      </c>
      <c r="H1" s="254" t="s">
        <v>102</v>
      </c>
      <c r="I1" s="254"/>
    </row>
    <row r="2" spans="1:9" x14ac:dyDescent="0.25">
      <c r="A2" s="28" t="s">
        <v>44</v>
      </c>
      <c r="B2" s="28" t="s">
        <v>16</v>
      </c>
      <c r="C2" s="30" t="s">
        <v>45</v>
      </c>
      <c r="D2" s="16">
        <v>45536</v>
      </c>
      <c r="E2" s="17">
        <v>450000</v>
      </c>
      <c r="F2" s="15">
        <f>0.1*Table14536[[#This Row],[Anticipated Cost]]</f>
        <v>45000</v>
      </c>
      <c r="H2" s="35">
        <v>45536</v>
      </c>
      <c r="I2" s="36">
        <f>SUMIF(Table14536[Anticipated Billing Month], "9/1/2024", Table14536[Anticipated Fee])</f>
        <v>285237.5</v>
      </c>
    </row>
    <row r="3" spans="1:9" x14ac:dyDescent="0.25">
      <c r="A3" s="28" t="s">
        <v>61</v>
      </c>
      <c r="B3" s="28" t="s">
        <v>16</v>
      </c>
      <c r="C3" s="30" t="s">
        <v>45</v>
      </c>
      <c r="D3" s="16">
        <v>45536</v>
      </c>
      <c r="E3" s="17">
        <v>980000</v>
      </c>
      <c r="F3" s="15">
        <f>0.1*Table14536[[#This Row],[Anticipated Cost]]</f>
        <v>98000</v>
      </c>
      <c r="H3" s="35">
        <v>45566</v>
      </c>
      <c r="I3" s="36">
        <f>SUMIF(Table14536[Anticipated Billing Month], "10/1/2024", Table14536[Anticipated Fee])</f>
        <v>226000</v>
      </c>
    </row>
    <row r="4" spans="1:9" x14ac:dyDescent="0.25">
      <c r="A4" s="37" t="s">
        <v>50</v>
      </c>
      <c r="B4" s="37" t="s">
        <v>16</v>
      </c>
      <c r="C4" s="44" t="s">
        <v>51</v>
      </c>
      <c r="D4" s="16">
        <v>45536</v>
      </c>
      <c r="E4" s="5" t="s">
        <v>67</v>
      </c>
      <c r="F4" s="27">
        <v>16237.5</v>
      </c>
      <c r="H4" s="35">
        <v>45597</v>
      </c>
      <c r="I4" s="49">
        <f>SUMIF(Table14536[Anticipated Billing Month], "11/1/2024", Table14536[Anticipated Fee])</f>
        <v>1275000</v>
      </c>
    </row>
    <row r="5" spans="1:9" x14ac:dyDescent="0.25">
      <c r="A5" s="37" t="s">
        <v>42</v>
      </c>
      <c r="B5" s="37" t="s">
        <v>21</v>
      </c>
      <c r="C5" s="44" t="s">
        <v>43</v>
      </c>
      <c r="D5" s="16">
        <v>45536</v>
      </c>
      <c r="E5" s="5" t="s">
        <v>67</v>
      </c>
      <c r="F5" s="27">
        <v>16000</v>
      </c>
      <c r="H5" s="35">
        <v>45627</v>
      </c>
      <c r="I5" s="36">
        <f>SUMIF(Table14536[Anticipated Billing Month], "12/1/2024", Table14536[Anticipated Fee])</f>
        <v>330000</v>
      </c>
    </row>
    <row r="6" spans="1:9" x14ac:dyDescent="0.25">
      <c r="A6" s="37" t="s">
        <v>88</v>
      </c>
      <c r="B6" s="42" t="s">
        <v>21</v>
      </c>
      <c r="C6" s="42" t="s">
        <v>89</v>
      </c>
      <c r="D6" s="16">
        <v>45536</v>
      </c>
      <c r="E6" s="5" t="s">
        <v>67</v>
      </c>
      <c r="F6" s="27">
        <v>0</v>
      </c>
    </row>
    <row r="7" spans="1:9" x14ac:dyDescent="0.25">
      <c r="A7" s="39" t="s">
        <v>103</v>
      </c>
      <c r="B7" s="39" t="s">
        <v>47</v>
      </c>
      <c r="C7" s="46" t="s">
        <v>60</v>
      </c>
      <c r="D7" s="16">
        <v>45566</v>
      </c>
      <c r="E7" s="5" t="s">
        <v>67</v>
      </c>
      <c r="F7" s="27">
        <v>8000</v>
      </c>
    </row>
    <row r="8" spans="1:9" x14ac:dyDescent="0.25">
      <c r="A8" s="37" t="s">
        <v>104</v>
      </c>
      <c r="B8" s="42" t="s">
        <v>21</v>
      </c>
      <c r="C8" s="44" t="s">
        <v>105</v>
      </c>
      <c r="D8" s="16">
        <v>45536</v>
      </c>
      <c r="E8" s="5" t="s">
        <v>67</v>
      </c>
      <c r="F8" s="27">
        <v>0</v>
      </c>
    </row>
    <row r="9" spans="1:9" x14ac:dyDescent="0.25">
      <c r="A9" s="28" t="s">
        <v>81</v>
      </c>
      <c r="B9" s="28" t="s">
        <v>79</v>
      </c>
      <c r="C9" s="30" t="s">
        <v>80</v>
      </c>
      <c r="D9" s="16">
        <v>45536</v>
      </c>
      <c r="E9" s="17">
        <v>950000</v>
      </c>
      <c r="F9" s="15">
        <f>0.1*Table14536[[#This Row],[Anticipated Cost]]</f>
        <v>95000</v>
      </c>
      <c r="H9" t="s">
        <v>106</v>
      </c>
    </row>
    <row r="10" spans="1:9" x14ac:dyDescent="0.25">
      <c r="A10" s="29" t="s">
        <v>78</v>
      </c>
      <c r="B10" s="29" t="s">
        <v>79</v>
      </c>
      <c r="C10" s="31" t="s">
        <v>80</v>
      </c>
      <c r="D10" s="16">
        <v>45536</v>
      </c>
      <c r="E10" s="17">
        <v>150000</v>
      </c>
      <c r="F10" s="15">
        <f>0.1*Table14536[[#This Row],[Anticipated Cost]]</f>
        <v>15000</v>
      </c>
    </row>
    <row r="11" spans="1:9" x14ac:dyDescent="0.25">
      <c r="A11" s="28" t="s">
        <v>15</v>
      </c>
      <c r="B11" s="28" t="s">
        <v>16</v>
      </c>
      <c r="C11" s="30" t="s">
        <v>17</v>
      </c>
      <c r="D11" s="16">
        <v>45566</v>
      </c>
      <c r="E11" s="17">
        <v>700000</v>
      </c>
      <c r="F11" s="15">
        <f>0.1*Table14536[[#This Row],[Anticipated Cost]]</f>
        <v>70000</v>
      </c>
    </row>
    <row r="12" spans="1:9" x14ac:dyDescent="0.25">
      <c r="A12" s="28" t="s">
        <v>97</v>
      </c>
      <c r="B12" s="28" t="s">
        <v>21</v>
      </c>
      <c r="C12" s="30" t="s">
        <v>98</v>
      </c>
      <c r="D12" s="16">
        <v>45566</v>
      </c>
      <c r="E12" s="17">
        <v>260000</v>
      </c>
      <c r="F12" s="15">
        <f>0.1*Table14536[[#This Row],[Anticipated Cost]]</f>
        <v>26000</v>
      </c>
    </row>
    <row r="13" spans="1:9" x14ac:dyDescent="0.25">
      <c r="A13" s="28" t="s">
        <v>95</v>
      </c>
      <c r="B13" s="28" t="s">
        <v>107</v>
      </c>
      <c r="C13" s="30" t="s">
        <v>96</v>
      </c>
      <c r="D13" s="16">
        <v>45566</v>
      </c>
      <c r="E13" s="17">
        <v>300000</v>
      </c>
      <c r="F13" s="15">
        <f>0.1*Table14536[[#This Row],[Anticipated Cost]]</f>
        <v>30000</v>
      </c>
    </row>
    <row r="14" spans="1:9" x14ac:dyDescent="0.25">
      <c r="A14" s="40" t="s">
        <v>108</v>
      </c>
      <c r="B14" s="40" t="s">
        <v>79</v>
      </c>
      <c r="C14" s="40" t="s">
        <v>89</v>
      </c>
      <c r="D14" s="16">
        <v>45566</v>
      </c>
      <c r="E14" s="17">
        <v>800000</v>
      </c>
      <c r="F14" s="15">
        <f>0.1*Table14536[[#This Row],[Anticipated Cost]]</f>
        <v>80000</v>
      </c>
    </row>
    <row r="15" spans="1:9" x14ac:dyDescent="0.25">
      <c r="A15" s="41" t="s">
        <v>109</v>
      </c>
      <c r="B15" s="41" t="s">
        <v>7</v>
      </c>
      <c r="C15" s="47" t="s">
        <v>110</v>
      </c>
      <c r="D15" s="16">
        <v>45566</v>
      </c>
      <c r="E15" s="5" t="s">
        <v>67</v>
      </c>
      <c r="F15" s="27">
        <v>2000</v>
      </c>
    </row>
    <row r="16" spans="1:9" ht="30" x14ac:dyDescent="0.25">
      <c r="A16" s="9" t="s">
        <v>111</v>
      </c>
      <c r="B16" s="9" t="s">
        <v>112</v>
      </c>
      <c r="C16" s="9" t="s">
        <v>80</v>
      </c>
      <c r="D16" s="16">
        <v>45566</v>
      </c>
      <c r="E16" s="5" t="s">
        <v>67</v>
      </c>
      <c r="F16" s="27">
        <v>10000</v>
      </c>
    </row>
    <row r="17" spans="1:6" ht="30" x14ac:dyDescent="0.25">
      <c r="A17" s="38" t="s">
        <v>84</v>
      </c>
      <c r="B17" s="38" t="s">
        <v>7</v>
      </c>
      <c r="C17" s="45" t="s">
        <v>85</v>
      </c>
      <c r="D17" s="16">
        <v>45597</v>
      </c>
      <c r="E17" s="17">
        <v>2000000</v>
      </c>
      <c r="F17" s="6">
        <f>0.1*Table14536[[#This Row],[Anticipated Cost]]</f>
        <v>200000</v>
      </c>
    </row>
    <row r="18" spans="1:6" x14ac:dyDescent="0.25">
      <c r="A18" s="38" t="s">
        <v>46</v>
      </c>
      <c r="B18" s="43" t="s">
        <v>47</v>
      </c>
      <c r="C18" s="48" t="s">
        <v>48</v>
      </c>
      <c r="D18" s="16">
        <v>45597</v>
      </c>
      <c r="E18" s="17">
        <v>8000000</v>
      </c>
      <c r="F18" s="6">
        <f>0.1*Table14536[[#This Row],[Anticipated Cost]]</f>
        <v>800000</v>
      </c>
    </row>
    <row r="19" spans="1:6" x14ac:dyDescent="0.25">
      <c r="A19" s="38" t="s">
        <v>86</v>
      </c>
      <c r="B19" s="38" t="s">
        <v>7</v>
      </c>
      <c r="C19" s="45" t="s">
        <v>87</v>
      </c>
      <c r="D19" s="16">
        <v>45597</v>
      </c>
      <c r="E19" s="17">
        <v>2750000</v>
      </c>
      <c r="F19" s="6">
        <f>0.1*Table14536[[#This Row],[Anticipated Cost]]</f>
        <v>275000</v>
      </c>
    </row>
    <row r="20" spans="1:6" x14ac:dyDescent="0.25">
      <c r="A20" s="38" t="s">
        <v>113</v>
      </c>
      <c r="B20" s="38" t="s">
        <v>7</v>
      </c>
      <c r="C20" s="45" t="s">
        <v>87</v>
      </c>
      <c r="D20" s="16">
        <v>45597</v>
      </c>
      <c r="E20" s="17">
        <v>0</v>
      </c>
      <c r="F20" s="6">
        <f>0.1*Table14536[[#This Row],[Anticipated Cost]]</f>
        <v>0</v>
      </c>
    </row>
    <row r="21" spans="1:6" x14ac:dyDescent="0.25">
      <c r="A21" s="38" t="s">
        <v>99</v>
      </c>
      <c r="B21" s="38" t="s">
        <v>7</v>
      </c>
      <c r="C21" s="45" t="s">
        <v>83</v>
      </c>
      <c r="D21" s="16">
        <v>45627</v>
      </c>
      <c r="E21" s="17">
        <v>300000</v>
      </c>
      <c r="F21" s="15">
        <f>0.1*Table14536[[#This Row],[Anticipated Cost]]</f>
        <v>30000</v>
      </c>
    </row>
    <row r="22" spans="1:6" ht="30" x14ac:dyDescent="0.25">
      <c r="A22" s="38" t="s">
        <v>100</v>
      </c>
      <c r="B22" s="38" t="s">
        <v>16</v>
      </c>
      <c r="C22" s="45" t="s">
        <v>101</v>
      </c>
      <c r="D22" s="16">
        <v>45627</v>
      </c>
      <c r="E22" s="17">
        <v>3000000</v>
      </c>
      <c r="F22" s="6">
        <f>0.1*Table14536[[#This Row],[Anticipated Cost]]</f>
        <v>300000</v>
      </c>
    </row>
  </sheetData>
  <mergeCells count="1">
    <mergeCell ref="H1:I1"/>
  </mergeCells>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B00BD-D214-4586-A9A0-BEDE696A4F73}">
  <sheetPr codeName="Sheet6"/>
  <dimension ref="A1:F30"/>
  <sheetViews>
    <sheetView workbookViewId="0"/>
  </sheetViews>
  <sheetFormatPr defaultRowHeight="15" x14ac:dyDescent="0.25"/>
  <cols>
    <col min="1" max="1" width="13.7109375" bestFit="1" customWidth="1"/>
    <col min="2" max="2" width="22.5703125" customWidth="1"/>
    <col min="3" max="3" width="18.7109375" customWidth="1"/>
    <col min="4" max="4" width="28.28515625" bestFit="1" customWidth="1"/>
    <col min="5" max="5" width="18.28515625" bestFit="1" customWidth="1"/>
    <col min="6" max="6" width="13.7109375" bestFit="1" customWidth="1"/>
  </cols>
  <sheetData>
    <row r="1" spans="1:6" ht="30" x14ac:dyDescent="0.25">
      <c r="A1" s="1" t="s">
        <v>0</v>
      </c>
      <c r="B1" s="1" t="s">
        <v>1</v>
      </c>
      <c r="C1" s="1" t="s">
        <v>2</v>
      </c>
      <c r="D1" t="s">
        <v>54</v>
      </c>
      <c r="E1" t="s">
        <v>4</v>
      </c>
      <c r="F1" s="2" t="s">
        <v>5</v>
      </c>
    </row>
    <row r="2" spans="1:6" x14ac:dyDescent="0.25">
      <c r="A2" s="13" t="s">
        <v>81</v>
      </c>
      <c r="B2" s="13" t="s">
        <v>79</v>
      </c>
      <c r="C2" s="13" t="s">
        <v>80</v>
      </c>
      <c r="D2" s="16">
        <v>45536</v>
      </c>
      <c r="E2" s="17">
        <v>164327.13</v>
      </c>
      <c r="F2" s="15">
        <f>0.1*Table1453679[[#This Row],[Anticipated Cost]]</f>
        <v>16432.713</v>
      </c>
    </row>
    <row r="3" spans="1:6" x14ac:dyDescent="0.25">
      <c r="A3" s="13" t="s">
        <v>78</v>
      </c>
      <c r="B3" s="13" t="s">
        <v>79</v>
      </c>
      <c r="C3" s="13" t="s">
        <v>80</v>
      </c>
      <c r="D3" s="16">
        <v>45536</v>
      </c>
      <c r="E3" s="17">
        <v>1054108.1399999999</v>
      </c>
      <c r="F3" s="15">
        <f>0.1*Table1453679[[#This Row],[Anticipated Cost]]</f>
        <v>105410.814</v>
      </c>
    </row>
    <row r="4" spans="1:6" x14ac:dyDescent="0.25">
      <c r="A4" s="13" t="s">
        <v>97</v>
      </c>
      <c r="B4" s="13" t="s">
        <v>21</v>
      </c>
      <c r="C4" s="13" t="s">
        <v>98</v>
      </c>
      <c r="D4" s="16">
        <v>45566</v>
      </c>
      <c r="E4" s="17">
        <v>280000</v>
      </c>
      <c r="F4" s="15">
        <f>0.1*Table1453679[[#This Row],[Anticipated Cost]]</f>
        <v>28000</v>
      </c>
    </row>
    <row r="5" spans="1:6" x14ac:dyDescent="0.25">
      <c r="A5" s="13" t="s">
        <v>95</v>
      </c>
      <c r="B5" s="13" t="s">
        <v>107</v>
      </c>
      <c r="C5" s="13" t="s">
        <v>96</v>
      </c>
      <c r="D5" s="25">
        <v>45566</v>
      </c>
      <c r="E5" s="26">
        <v>225000</v>
      </c>
      <c r="F5" s="15">
        <f>0.1*Table1453679[[#This Row],[Anticipated Cost]]</f>
        <v>22500</v>
      </c>
    </row>
    <row r="6" spans="1:6" x14ac:dyDescent="0.25">
      <c r="A6" s="13" t="s">
        <v>114</v>
      </c>
      <c r="B6" s="13" t="s">
        <v>79</v>
      </c>
      <c r="C6" s="13" t="s">
        <v>89</v>
      </c>
      <c r="D6" s="25">
        <v>45566</v>
      </c>
      <c r="E6" s="26">
        <v>800000</v>
      </c>
      <c r="F6" s="15">
        <f>0.1*Table1453679[[#This Row],[Anticipated Cost]]</f>
        <v>80000</v>
      </c>
    </row>
    <row r="7" spans="1:6" x14ac:dyDescent="0.25">
      <c r="A7" s="13" t="s">
        <v>115</v>
      </c>
      <c r="B7" s="13" t="s">
        <v>21</v>
      </c>
      <c r="C7" s="13" t="s">
        <v>116</v>
      </c>
      <c r="D7" s="16">
        <v>45566</v>
      </c>
      <c r="E7" s="5" t="s">
        <v>67</v>
      </c>
      <c r="F7" s="27">
        <v>3000</v>
      </c>
    </row>
    <row r="8" spans="1:6" x14ac:dyDescent="0.25">
      <c r="A8" s="50" t="s">
        <v>103</v>
      </c>
      <c r="B8" s="50" t="s">
        <v>47</v>
      </c>
      <c r="C8" s="51" t="s">
        <v>60</v>
      </c>
      <c r="D8" s="16">
        <v>45566</v>
      </c>
      <c r="E8" s="5" t="s">
        <v>67</v>
      </c>
      <c r="F8" s="27">
        <v>8000</v>
      </c>
    </row>
    <row r="9" spans="1:6" x14ac:dyDescent="0.25">
      <c r="A9" s="50" t="s">
        <v>88</v>
      </c>
      <c r="B9" s="50" t="s">
        <v>21</v>
      </c>
      <c r="C9" s="51" t="s">
        <v>89</v>
      </c>
      <c r="D9" s="16">
        <v>45566</v>
      </c>
      <c r="E9" s="5" t="s">
        <v>67</v>
      </c>
      <c r="F9" s="27">
        <v>9000</v>
      </c>
    </row>
    <row r="10" spans="1:6" x14ac:dyDescent="0.25">
      <c r="A10" s="52" t="s">
        <v>42</v>
      </c>
      <c r="B10" s="52" t="s">
        <v>21</v>
      </c>
      <c r="C10" s="53" t="s">
        <v>43</v>
      </c>
      <c r="D10" s="16">
        <v>45566</v>
      </c>
      <c r="E10" s="5" t="s">
        <v>67</v>
      </c>
      <c r="F10" s="27">
        <v>18000</v>
      </c>
    </row>
    <row r="11" spans="1:6" ht="18" customHeight="1" x14ac:dyDescent="0.25">
      <c r="A11" s="52" t="s">
        <v>50</v>
      </c>
      <c r="B11" s="52" t="s">
        <v>16</v>
      </c>
      <c r="C11" s="53" t="s">
        <v>51</v>
      </c>
      <c r="D11" s="16">
        <v>45566</v>
      </c>
      <c r="E11" s="5" t="s">
        <v>67</v>
      </c>
      <c r="F11" s="27" t="s">
        <v>117</v>
      </c>
    </row>
    <row r="12" spans="1:6" x14ac:dyDescent="0.25">
      <c r="A12" s="52" t="s">
        <v>118</v>
      </c>
      <c r="B12" s="54" t="s">
        <v>16</v>
      </c>
      <c r="C12" s="54" t="s">
        <v>119</v>
      </c>
      <c r="D12" s="16">
        <v>45566</v>
      </c>
      <c r="E12" s="5" t="s">
        <v>67</v>
      </c>
      <c r="F12" s="27">
        <v>3000</v>
      </c>
    </row>
    <row r="13" spans="1:6" ht="30" x14ac:dyDescent="0.25">
      <c r="A13" s="13" t="s">
        <v>84</v>
      </c>
      <c r="B13" s="13" t="s">
        <v>7</v>
      </c>
      <c r="C13" s="13" t="s">
        <v>85</v>
      </c>
      <c r="D13" s="16">
        <v>45597</v>
      </c>
      <c r="E13" s="17">
        <v>2000000</v>
      </c>
      <c r="F13" s="15">
        <f>0.1*Table1453679[[#This Row],[Anticipated Cost]]</f>
        <v>200000</v>
      </c>
    </row>
    <row r="14" spans="1:6" x14ac:dyDescent="0.25">
      <c r="A14" s="13" t="s">
        <v>99</v>
      </c>
      <c r="B14" s="13" t="s">
        <v>7</v>
      </c>
      <c r="C14" s="13" t="s">
        <v>83</v>
      </c>
      <c r="D14" s="16">
        <v>45597</v>
      </c>
      <c r="E14" s="17">
        <v>150000</v>
      </c>
      <c r="F14" s="15">
        <f>0.1*Table1453679[[#This Row],[Anticipated Cost]]</f>
        <v>15000</v>
      </c>
    </row>
    <row r="15" spans="1:6" x14ac:dyDescent="0.25">
      <c r="A15" s="13" t="s">
        <v>86</v>
      </c>
      <c r="B15" s="13" t="s">
        <v>7</v>
      </c>
      <c r="C15" s="13" t="s">
        <v>87</v>
      </c>
      <c r="D15" s="16">
        <v>45597</v>
      </c>
      <c r="E15" s="17">
        <v>2700000</v>
      </c>
      <c r="F15" s="15">
        <f>0.1*Table1453679[[#This Row],[Anticipated Cost]]</f>
        <v>270000</v>
      </c>
    </row>
    <row r="16" spans="1:6" x14ac:dyDescent="0.25">
      <c r="A16" s="234" t="s">
        <v>113</v>
      </c>
      <c r="B16" s="234" t="s">
        <v>7</v>
      </c>
      <c r="C16" s="234" t="s">
        <v>87</v>
      </c>
      <c r="D16" s="16">
        <v>45597</v>
      </c>
      <c r="E16" s="17">
        <v>50000</v>
      </c>
      <c r="F16" s="15">
        <f>0.1*Table1453679[[#This Row],[Anticipated Cost]]</f>
        <v>5000</v>
      </c>
    </row>
    <row r="17" spans="1:6" x14ac:dyDescent="0.25">
      <c r="A17" s="13" t="s">
        <v>46</v>
      </c>
      <c r="B17" s="13" t="s">
        <v>47</v>
      </c>
      <c r="C17" s="13" t="s">
        <v>48</v>
      </c>
      <c r="D17" s="16">
        <v>45597</v>
      </c>
      <c r="E17" s="17">
        <v>10000000</v>
      </c>
      <c r="F17" s="15">
        <f>0.1*Table1453679[[#This Row],[Anticipated Cost]]</f>
        <v>1000000</v>
      </c>
    </row>
    <row r="18" spans="1:6" x14ac:dyDescent="0.25">
      <c r="A18" s="235" t="s">
        <v>120</v>
      </c>
      <c r="B18" s="13" t="s">
        <v>57</v>
      </c>
      <c r="C18" s="13" t="s">
        <v>121</v>
      </c>
      <c r="D18" s="16">
        <v>45597</v>
      </c>
      <c r="E18" s="17">
        <v>500000</v>
      </c>
      <c r="F18" s="15">
        <f>0.1*Table1453679[[#This Row],[Anticipated Cost]]</f>
        <v>50000</v>
      </c>
    </row>
    <row r="19" spans="1:6" x14ac:dyDescent="0.25">
      <c r="A19" s="13" t="s">
        <v>122</v>
      </c>
      <c r="B19" s="13" t="s">
        <v>57</v>
      </c>
      <c r="C19" s="13" t="s">
        <v>123</v>
      </c>
      <c r="D19" s="16">
        <v>45597</v>
      </c>
      <c r="E19" s="17">
        <v>150000</v>
      </c>
      <c r="F19" s="15">
        <f>0.1*Table1453679[[#This Row],[Anticipated Cost]]</f>
        <v>15000</v>
      </c>
    </row>
    <row r="20" spans="1:6" x14ac:dyDescent="0.25">
      <c r="A20" s="52" t="s">
        <v>104</v>
      </c>
      <c r="B20" s="52" t="s">
        <v>21</v>
      </c>
      <c r="C20" s="53" t="s">
        <v>105</v>
      </c>
      <c r="D20" s="16">
        <v>45597</v>
      </c>
      <c r="E20" s="5" t="s">
        <v>67</v>
      </c>
      <c r="F20" s="27">
        <v>5000</v>
      </c>
    </row>
    <row r="21" spans="1:6" x14ac:dyDescent="0.25">
      <c r="A21" s="13" t="s">
        <v>15</v>
      </c>
      <c r="B21" s="13" t="s">
        <v>16</v>
      </c>
      <c r="C21" s="13" t="s">
        <v>17</v>
      </c>
      <c r="D21" s="16">
        <v>45627</v>
      </c>
      <c r="E21" s="17">
        <v>700000</v>
      </c>
      <c r="F21" s="15">
        <f>0.1*Table1453679[[#This Row],[Anticipated Cost]]</f>
        <v>70000</v>
      </c>
    </row>
    <row r="22" spans="1:6" x14ac:dyDescent="0.25">
      <c r="A22" s="234" t="s">
        <v>44</v>
      </c>
      <c r="B22" s="234" t="s">
        <v>16</v>
      </c>
      <c r="C22" s="234" t="s">
        <v>45</v>
      </c>
      <c r="D22" s="16">
        <v>45627</v>
      </c>
      <c r="E22" s="17">
        <v>450000</v>
      </c>
      <c r="F22" s="15">
        <f>0.1*Table1453679[[#This Row],[Anticipated Cost]]</f>
        <v>45000</v>
      </c>
    </row>
    <row r="23" spans="1:6" x14ac:dyDescent="0.25">
      <c r="A23" s="234" t="s">
        <v>61</v>
      </c>
      <c r="B23" s="234" t="s">
        <v>16</v>
      </c>
      <c r="C23" s="234" t="s">
        <v>45</v>
      </c>
      <c r="D23" s="16">
        <v>45627</v>
      </c>
      <c r="E23" s="17">
        <v>980000</v>
      </c>
      <c r="F23" s="15">
        <f>0.1*Table1453679[[#This Row],[Anticipated Cost]]</f>
        <v>98000</v>
      </c>
    </row>
    <row r="24" spans="1:6" ht="30" x14ac:dyDescent="0.25">
      <c r="A24" s="129" t="s">
        <v>100</v>
      </c>
      <c r="B24" s="129" t="s">
        <v>16</v>
      </c>
      <c r="C24" s="129" t="s">
        <v>101</v>
      </c>
      <c r="D24" s="16">
        <v>45689</v>
      </c>
      <c r="E24" s="17">
        <v>6500000</v>
      </c>
      <c r="F24" s="15">
        <f>0.1*Table1453679[[#This Row],[Anticipated Cost]]</f>
        <v>650000</v>
      </c>
    </row>
    <row r="25" spans="1:6" x14ac:dyDescent="0.25">
      <c r="A25" s="9" t="s">
        <v>124</v>
      </c>
      <c r="B25" s="129" t="s">
        <v>21</v>
      </c>
      <c r="C25" s="129" t="s">
        <v>72</v>
      </c>
      <c r="D25" s="16">
        <v>45689</v>
      </c>
      <c r="E25" s="17">
        <v>300000</v>
      </c>
      <c r="F25" s="6">
        <f>0.1*Table1453679[[#This Row],[Anticipated Cost]]</f>
        <v>30000</v>
      </c>
    </row>
    <row r="26" spans="1:6" x14ac:dyDescent="0.25">
      <c r="A26" s="129" t="s">
        <v>125</v>
      </c>
      <c r="B26" s="129" t="s">
        <v>21</v>
      </c>
      <c r="C26" s="129" t="s">
        <v>105</v>
      </c>
      <c r="D26" s="16">
        <v>45689</v>
      </c>
      <c r="E26" s="17">
        <v>150000</v>
      </c>
      <c r="F26" s="6">
        <f>0.1*Table1453679[[#This Row],[Anticipated Cost]]</f>
        <v>15000</v>
      </c>
    </row>
    <row r="27" spans="1:6" x14ac:dyDescent="0.25">
      <c r="A27" s="38" t="s">
        <v>126</v>
      </c>
      <c r="B27" s="43" t="s">
        <v>107</v>
      </c>
      <c r="C27" s="48" t="s">
        <v>51</v>
      </c>
      <c r="D27" s="16">
        <v>45748</v>
      </c>
      <c r="E27" s="17">
        <v>7000000</v>
      </c>
      <c r="F27" s="6">
        <f>0.1*Table1453679[[#This Row],[Anticipated Cost]]</f>
        <v>700000</v>
      </c>
    </row>
    <row r="28" spans="1:6" x14ac:dyDescent="0.25">
      <c r="C28" s="32"/>
      <c r="D28" s="4"/>
      <c r="E28" s="5"/>
      <c r="F28" s="6"/>
    </row>
    <row r="29" spans="1:6" x14ac:dyDescent="0.25">
      <c r="C29" s="32"/>
      <c r="D29" s="4"/>
      <c r="E29" s="5"/>
      <c r="F29" s="6"/>
    </row>
    <row r="30" spans="1:6" x14ac:dyDescent="0.25">
      <c r="B30" s="33"/>
      <c r="C30" s="32"/>
      <c r="D30" s="4"/>
      <c r="E30" s="5"/>
      <c r="F30" s="15"/>
    </row>
  </sheetData>
  <pageMargins left="0.7" right="0.7" top="0.75" bottom="0.75" header="0.3" footer="0.3"/>
  <legacy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5548E-204F-4707-AD3C-857C696DB880}">
  <sheetPr codeName="Sheet7"/>
  <dimension ref="A1:I26"/>
  <sheetViews>
    <sheetView workbookViewId="0"/>
  </sheetViews>
  <sheetFormatPr defaultRowHeight="15" x14ac:dyDescent="0.25"/>
  <cols>
    <col min="1" max="1" width="13.7109375" bestFit="1" customWidth="1"/>
    <col min="2" max="2" width="30.140625" bestFit="1" customWidth="1"/>
    <col min="3" max="3" width="19.42578125" customWidth="1"/>
    <col min="4" max="4" width="28.28515625" bestFit="1" customWidth="1"/>
    <col min="5" max="5" width="18.28515625" bestFit="1" customWidth="1"/>
    <col min="6" max="6" width="13.7109375" bestFit="1" customWidth="1"/>
    <col min="8" max="8" width="10.42578125" bestFit="1" customWidth="1"/>
    <col min="9" max="9" width="14.7109375" style="34" bestFit="1" customWidth="1"/>
  </cols>
  <sheetData>
    <row r="1" spans="1:6" ht="30" x14ac:dyDescent="0.25">
      <c r="A1" s="1" t="s">
        <v>0</v>
      </c>
      <c r="B1" s="1" t="s">
        <v>1</v>
      </c>
      <c r="C1" s="1" t="s">
        <v>2</v>
      </c>
      <c r="D1" t="s">
        <v>54</v>
      </c>
      <c r="E1" t="s">
        <v>4</v>
      </c>
      <c r="F1" s="2" t="s">
        <v>5</v>
      </c>
    </row>
    <row r="2" spans="1:6" ht="18" customHeight="1" x14ac:dyDescent="0.25">
      <c r="A2" s="59" t="s">
        <v>82</v>
      </c>
      <c r="B2" s="55" t="s">
        <v>107</v>
      </c>
      <c r="C2" s="55" t="s">
        <v>83</v>
      </c>
      <c r="D2" s="61">
        <v>45566</v>
      </c>
      <c r="E2" s="17" t="s">
        <v>67</v>
      </c>
      <c r="F2" s="65">
        <v>2985</v>
      </c>
    </row>
    <row r="3" spans="1:6" x14ac:dyDescent="0.25">
      <c r="A3" s="236" t="s">
        <v>114</v>
      </c>
      <c r="B3" s="13" t="s">
        <v>79</v>
      </c>
      <c r="C3" s="13" t="s">
        <v>89</v>
      </c>
      <c r="D3" s="62">
        <v>45597</v>
      </c>
      <c r="E3" s="63">
        <v>1100000</v>
      </c>
      <c r="F3" s="65">
        <f>0.1*Table14536797[[#This Row],[Anticipated Cost]]</f>
        <v>110000</v>
      </c>
    </row>
    <row r="4" spans="1:6" x14ac:dyDescent="0.25">
      <c r="A4" s="60" t="s">
        <v>88</v>
      </c>
      <c r="B4" s="50" t="s">
        <v>21</v>
      </c>
      <c r="C4" s="51" t="s">
        <v>89</v>
      </c>
      <c r="D4" s="61">
        <v>45597</v>
      </c>
      <c r="E4" s="17" t="s">
        <v>67</v>
      </c>
      <c r="F4" s="65">
        <v>13457.5</v>
      </c>
    </row>
    <row r="5" spans="1:6" x14ac:dyDescent="0.25">
      <c r="A5" s="58" t="s">
        <v>42</v>
      </c>
      <c r="B5" s="52" t="s">
        <v>21</v>
      </c>
      <c r="C5" s="53" t="s">
        <v>43</v>
      </c>
      <c r="D5" s="61">
        <v>45597</v>
      </c>
      <c r="E5" s="17" t="s">
        <v>67</v>
      </c>
      <c r="F5" s="65">
        <v>30952.5</v>
      </c>
    </row>
    <row r="6" spans="1:6" x14ac:dyDescent="0.25">
      <c r="A6" s="58" t="s">
        <v>118</v>
      </c>
      <c r="B6" s="54" t="s">
        <v>16</v>
      </c>
      <c r="C6" s="54" t="s">
        <v>127</v>
      </c>
      <c r="D6" s="61">
        <v>45597</v>
      </c>
      <c r="E6" s="17" t="s">
        <v>67</v>
      </c>
      <c r="F6" s="65">
        <v>6000</v>
      </c>
    </row>
    <row r="7" spans="1:6" x14ac:dyDescent="0.25">
      <c r="A7" s="237" t="s">
        <v>86</v>
      </c>
      <c r="B7" s="234" t="s">
        <v>7</v>
      </c>
      <c r="C7" s="234" t="s">
        <v>87</v>
      </c>
      <c r="D7" s="61">
        <v>45597</v>
      </c>
      <c r="E7" s="64">
        <v>3100000</v>
      </c>
      <c r="F7" s="65">
        <f>0.1*Table14536797[[#This Row],[Anticipated Cost]]</f>
        <v>310000</v>
      </c>
    </row>
    <row r="8" spans="1:6" x14ac:dyDescent="0.25">
      <c r="A8" s="236" t="s">
        <v>113</v>
      </c>
      <c r="B8" s="13" t="s">
        <v>7</v>
      </c>
      <c r="C8" s="13" t="s">
        <v>87</v>
      </c>
      <c r="D8" s="61">
        <v>45597</v>
      </c>
      <c r="E8" s="64">
        <v>300000</v>
      </c>
      <c r="F8" s="65">
        <f>0.1*Table14536797[[#This Row],[Anticipated Cost]]</f>
        <v>30000</v>
      </c>
    </row>
    <row r="9" spans="1:6" x14ac:dyDescent="0.25">
      <c r="A9" s="238" t="s">
        <v>120</v>
      </c>
      <c r="B9" s="13" t="s">
        <v>57</v>
      </c>
      <c r="C9" s="13" t="s">
        <v>121</v>
      </c>
      <c r="D9" s="61">
        <v>45597</v>
      </c>
      <c r="E9" s="64">
        <v>500000</v>
      </c>
      <c r="F9" s="65">
        <f>0.1*Table14536797[[#This Row],[Anticipated Cost]]</f>
        <v>50000</v>
      </c>
    </row>
    <row r="10" spans="1:6" x14ac:dyDescent="0.25">
      <c r="A10" s="58" t="s">
        <v>128</v>
      </c>
      <c r="B10" s="52" t="s">
        <v>129</v>
      </c>
      <c r="C10" s="53" t="s">
        <v>130</v>
      </c>
      <c r="D10" s="61">
        <v>45597</v>
      </c>
      <c r="E10" s="64">
        <v>75000</v>
      </c>
      <c r="F10" s="65">
        <f>0.1*Table14536797[[#This Row],[Anticipated Cost]]</f>
        <v>7500</v>
      </c>
    </row>
    <row r="11" spans="1:6" x14ac:dyDescent="0.25">
      <c r="A11" s="59" t="s">
        <v>75</v>
      </c>
      <c r="B11" s="55" t="s">
        <v>47</v>
      </c>
      <c r="C11" s="55" t="s">
        <v>60</v>
      </c>
      <c r="D11" s="61">
        <v>45597</v>
      </c>
      <c r="E11" s="17" t="s">
        <v>67</v>
      </c>
      <c r="F11" s="65">
        <v>15000</v>
      </c>
    </row>
    <row r="12" spans="1:6" x14ac:dyDescent="0.25">
      <c r="A12" s="59" t="s">
        <v>131</v>
      </c>
      <c r="B12" s="55" t="s">
        <v>16</v>
      </c>
      <c r="C12" s="55" t="s">
        <v>132</v>
      </c>
      <c r="D12" s="61">
        <v>45597</v>
      </c>
      <c r="E12" s="17" t="s">
        <v>67</v>
      </c>
      <c r="F12" s="65">
        <v>4000</v>
      </c>
    </row>
    <row r="13" spans="1:6" x14ac:dyDescent="0.25">
      <c r="A13" s="237" t="s">
        <v>84</v>
      </c>
      <c r="B13" s="234" t="s">
        <v>7</v>
      </c>
      <c r="C13" s="234" t="s">
        <v>85</v>
      </c>
      <c r="D13" s="61">
        <v>45627</v>
      </c>
      <c r="E13" s="64">
        <v>2000000</v>
      </c>
      <c r="F13" s="65">
        <f>0.1*Table14536797[[#This Row],[Anticipated Cost]]</f>
        <v>200000</v>
      </c>
    </row>
    <row r="14" spans="1:6" x14ac:dyDescent="0.25">
      <c r="A14" s="237" t="s">
        <v>99</v>
      </c>
      <c r="B14" s="234" t="s">
        <v>7</v>
      </c>
      <c r="C14" s="234" t="s">
        <v>83</v>
      </c>
      <c r="D14" s="61">
        <v>45627</v>
      </c>
      <c r="E14" s="64">
        <v>300000</v>
      </c>
      <c r="F14" s="65">
        <f>0.1*Table14536797[[#This Row],[Anticipated Cost]]</f>
        <v>30000</v>
      </c>
    </row>
    <row r="15" spans="1:6" x14ac:dyDescent="0.25">
      <c r="A15" s="239" t="s">
        <v>46</v>
      </c>
      <c r="B15" s="129" t="s">
        <v>47</v>
      </c>
      <c r="C15" s="129" t="s">
        <v>48</v>
      </c>
      <c r="D15" s="61">
        <v>45627</v>
      </c>
      <c r="E15" s="64">
        <v>10000000</v>
      </c>
      <c r="F15" s="65">
        <f>0.1*Table14536797[[#This Row],[Anticipated Cost]]</f>
        <v>1000000</v>
      </c>
    </row>
    <row r="16" spans="1:6" x14ac:dyDescent="0.25">
      <c r="A16" s="239" t="s">
        <v>122</v>
      </c>
      <c r="B16" s="129" t="s">
        <v>57</v>
      </c>
      <c r="C16" s="129" t="s">
        <v>123</v>
      </c>
      <c r="D16" s="61">
        <v>45627</v>
      </c>
      <c r="E16" s="64">
        <v>150000</v>
      </c>
      <c r="F16" s="66">
        <f>0.1*Table14536797[[#This Row],[Anticipated Cost]]</f>
        <v>15000</v>
      </c>
    </row>
    <row r="17" spans="1:6" x14ac:dyDescent="0.25">
      <c r="A17" s="239" t="s">
        <v>15</v>
      </c>
      <c r="B17" s="129" t="s">
        <v>16</v>
      </c>
      <c r="C17" s="129" t="s">
        <v>17</v>
      </c>
      <c r="D17" s="61">
        <v>45627</v>
      </c>
      <c r="E17" s="64">
        <v>700000</v>
      </c>
      <c r="F17" s="66">
        <f>0.1*Table14536797[[#This Row],[Anticipated Cost]]</f>
        <v>70000</v>
      </c>
    </row>
    <row r="18" spans="1:6" x14ac:dyDescent="0.25">
      <c r="A18" s="239" t="s">
        <v>44</v>
      </c>
      <c r="B18" s="105" t="s">
        <v>16</v>
      </c>
      <c r="C18" s="105" t="s">
        <v>45</v>
      </c>
      <c r="D18" s="61">
        <v>45658</v>
      </c>
      <c r="E18" s="64">
        <v>450000</v>
      </c>
      <c r="F18" s="66">
        <f>0.1*Table14536797[[#This Row],[Anticipated Cost]]</f>
        <v>45000</v>
      </c>
    </row>
    <row r="19" spans="1:6" x14ac:dyDescent="0.25">
      <c r="A19" s="239" t="s">
        <v>61</v>
      </c>
      <c r="B19" s="129" t="s">
        <v>16</v>
      </c>
      <c r="C19" s="129" t="s">
        <v>45</v>
      </c>
      <c r="D19" s="61">
        <v>45658</v>
      </c>
      <c r="E19" s="64">
        <v>980000</v>
      </c>
      <c r="F19" s="66">
        <f>0.1*Table14536797[[#This Row],[Anticipated Cost]]</f>
        <v>98000</v>
      </c>
    </row>
    <row r="20" spans="1:6" x14ac:dyDescent="0.25">
      <c r="A20" t="s">
        <v>104</v>
      </c>
      <c r="B20" t="s">
        <v>21</v>
      </c>
      <c r="C20" s="32" t="s">
        <v>105</v>
      </c>
      <c r="D20" s="61">
        <v>45658</v>
      </c>
      <c r="E20" s="17" t="s">
        <v>67</v>
      </c>
      <c r="F20" s="66">
        <v>0</v>
      </c>
    </row>
    <row r="21" spans="1:6" x14ac:dyDescent="0.25">
      <c r="A21" s="235" t="s">
        <v>125</v>
      </c>
      <c r="B21" s="235" t="s">
        <v>21</v>
      </c>
      <c r="C21" s="235" t="s">
        <v>105</v>
      </c>
      <c r="D21" s="61">
        <v>45658</v>
      </c>
      <c r="E21" s="64">
        <v>200000</v>
      </c>
      <c r="F21" s="65">
        <f>0.1*Table14536797[[#This Row],[Anticipated Cost]]</f>
        <v>20000</v>
      </c>
    </row>
    <row r="22" spans="1:6" x14ac:dyDescent="0.25">
      <c r="A22" s="238" t="s">
        <v>100</v>
      </c>
      <c r="B22" s="235" t="s">
        <v>16</v>
      </c>
      <c r="C22" s="235" t="s">
        <v>101</v>
      </c>
      <c r="D22" s="61">
        <v>45689</v>
      </c>
      <c r="E22" s="64">
        <v>6500000</v>
      </c>
      <c r="F22" s="65">
        <f>0.1*Table14536797[[#This Row],[Anticipated Cost]]</f>
        <v>650000</v>
      </c>
    </row>
    <row r="23" spans="1:6" x14ac:dyDescent="0.25">
      <c r="A23" s="56" t="s">
        <v>126</v>
      </c>
      <c r="B23" s="56" t="s">
        <v>107</v>
      </c>
      <c r="C23" s="57" t="s">
        <v>51</v>
      </c>
      <c r="D23" s="61">
        <v>45689</v>
      </c>
      <c r="E23" s="64">
        <v>7000000</v>
      </c>
      <c r="F23" s="65">
        <f>0.1*Table14536797[[#This Row],[Anticipated Cost]]</f>
        <v>700000</v>
      </c>
    </row>
    <row r="24" spans="1:6" x14ac:dyDescent="0.25">
      <c r="A24" s="7" t="s">
        <v>124</v>
      </c>
      <c r="B24" s="235" t="s">
        <v>21</v>
      </c>
      <c r="C24" s="235" t="s">
        <v>72</v>
      </c>
      <c r="D24" s="61">
        <v>45717</v>
      </c>
      <c r="E24" s="64">
        <v>400000</v>
      </c>
      <c r="F24" s="65">
        <f>0.1*Table14536797[[#This Row],[Anticipated Cost]]</f>
        <v>40000</v>
      </c>
    </row>
    <row r="25" spans="1:6" x14ac:dyDescent="0.25">
      <c r="B25" s="33"/>
      <c r="C25" s="32"/>
      <c r="D25" s="4"/>
      <c r="E25" s="5"/>
      <c r="F25" s="15"/>
    </row>
    <row r="26" spans="1:6" x14ac:dyDescent="0.25">
      <c r="B26" s="33"/>
      <c r="C26" s="32"/>
      <c r="D26" s="4"/>
      <c r="E26" s="5"/>
      <c r="F26" s="6"/>
    </row>
  </sheetData>
  <pageMargins left="0.7" right="0.7" top="0.75" bottom="0.75" header="0.3" footer="0.3"/>
  <legacyDrawing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03A56-18F4-436F-9915-720871E38990}">
  <sheetPr codeName="Sheet8"/>
  <dimension ref="A1:G24"/>
  <sheetViews>
    <sheetView workbookViewId="0"/>
  </sheetViews>
  <sheetFormatPr defaultRowHeight="15" x14ac:dyDescent="0.25"/>
  <cols>
    <col min="1" max="1" width="11.42578125" bestFit="1" customWidth="1"/>
    <col min="2" max="2" width="37.42578125" customWidth="1"/>
    <col min="3" max="3" width="15.85546875" customWidth="1"/>
    <col min="4" max="4" width="26.7109375" bestFit="1" customWidth="1"/>
    <col min="5" max="5" width="18.28515625" bestFit="1" customWidth="1"/>
    <col min="6" max="6" width="14.140625" customWidth="1"/>
    <col min="7" max="7" width="66.5703125" customWidth="1"/>
  </cols>
  <sheetData>
    <row r="1" spans="1:7" ht="30" x14ac:dyDescent="0.25">
      <c r="A1" s="1" t="s">
        <v>0</v>
      </c>
      <c r="B1" s="1" t="s">
        <v>1</v>
      </c>
      <c r="C1" s="1" t="s">
        <v>2</v>
      </c>
      <c r="D1" t="s">
        <v>54</v>
      </c>
      <c r="E1" t="s">
        <v>4</v>
      </c>
      <c r="F1" s="2" t="s">
        <v>5</v>
      </c>
      <c r="G1" s="2" t="s">
        <v>133</v>
      </c>
    </row>
    <row r="2" spans="1:7" ht="15" customHeight="1" x14ac:dyDescent="0.25">
      <c r="A2" s="13" t="s">
        <v>26</v>
      </c>
      <c r="B2" s="13" t="s">
        <v>134</v>
      </c>
      <c r="C2" s="13" t="s">
        <v>26</v>
      </c>
      <c r="D2" s="25">
        <v>45597</v>
      </c>
      <c r="E2" s="26" t="s">
        <v>26</v>
      </c>
      <c r="F2" s="27">
        <v>231000</v>
      </c>
      <c r="G2" s="67" t="s">
        <v>135</v>
      </c>
    </row>
    <row r="3" spans="1:7" x14ac:dyDescent="0.25">
      <c r="A3" s="55" t="s">
        <v>131</v>
      </c>
      <c r="B3" s="54" t="s">
        <v>16</v>
      </c>
      <c r="C3" s="70" t="s">
        <v>132</v>
      </c>
      <c r="D3" s="16">
        <v>45597</v>
      </c>
      <c r="E3" s="17" t="s">
        <v>67</v>
      </c>
      <c r="F3" s="27">
        <v>5500</v>
      </c>
      <c r="G3" s="9"/>
    </row>
    <row r="4" spans="1:7" ht="15" customHeight="1" x14ac:dyDescent="0.25">
      <c r="A4" s="240" t="s">
        <v>120</v>
      </c>
      <c r="B4" s="13" t="s">
        <v>57</v>
      </c>
      <c r="C4" s="235" t="s">
        <v>121</v>
      </c>
      <c r="D4" s="16">
        <v>45597</v>
      </c>
      <c r="E4" s="17">
        <v>650000</v>
      </c>
      <c r="F4" s="27">
        <f>0.1*Table145367978[[#This Row],[Anticipated Cost]]</f>
        <v>65000</v>
      </c>
      <c r="G4" s="9"/>
    </row>
    <row r="5" spans="1:7" ht="15" customHeight="1" x14ac:dyDescent="0.25">
      <c r="A5" s="68" t="s">
        <v>128</v>
      </c>
      <c r="B5" t="s">
        <v>129</v>
      </c>
      <c r="C5" s="47" t="s">
        <v>130</v>
      </c>
      <c r="D5" s="16">
        <v>45597</v>
      </c>
      <c r="E5" s="17">
        <v>75000</v>
      </c>
      <c r="F5" s="27">
        <f>0.1*Table145367978[[#This Row],[Anticipated Cost]]</f>
        <v>7500</v>
      </c>
      <c r="G5" s="9"/>
    </row>
    <row r="6" spans="1:7" ht="15" customHeight="1" x14ac:dyDescent="0.25">
      <c r="A6" s="55" t="s">
        <v>62</v>
      </c>
      <c r="B6" s="52" t="s">
        <v>21</v>
      </c>
      <c r="C6" s="70" t="s">
        <v>51</v>
      </c>
      <c r="D6" s="16">
        <v>45627</v>
      </c>
      <c r="E6" s="17" t="s">
        <v>67</v>
      </c>
      <c r="F6" s="27">
        <v>12000</v>
      </c>
      <c r="G6" s="9"/>
    </row>
    <row r="7" spans="1:7" ht="15" customHeight="1" x14ac:dyDescent="0.25">
      <c r="A7" s="240" t="s">
        <v>86</v>
      </c>
      <c r="B7" s="13" t="s">
        <v>7</v>
      </c>
      <c r="C7" s="13" t="s">
        <v>87</v>
      </c>
      <c r="D7" s="16">
        <v>45627</v>
      </c>
      <c r="E7" s="17">
        <v>3100000</v>
      </c>
      <c r="F7" s="27">
        <f>0.1*Table145367978[[#This Row],[Anticipated Cost]]</f>
        <v>310000</v>
      </c>
      <c r="G7" s="9" t="s">
        <v>136</v>
      </c>
    </row>
    <row r="8" spans="1:7" ht="15" customHeight="1" x14ac:dyDescent="0.25">
      <c r="A8" s="241" t="s">
        <v>113</v>
      </c>
      <c r="B8" s="13" t="s">
        <v>7</v>
      </c>
      <c r="C8" s="13" t="s">
        <v>87</v>
      </c>
      <c r="D8" s="16">
        <v>45627</v>
      </c>
      <c r="E8" s="17">
        <v>300000</v>
      </c>
      <c r="F8" s="27">
        <f>0.1*Table145367978[[#This Row],[Anticipated Cost]]</f>
        <v>30000</v>
      </c>
      <c r="G8" s="9"/>
    </row>
    <row r="9" spans="1:7" ht="15" customHeight="1" x14ac:dyDescent="0.25">
      <c r="A9" s="241" t="s">
        <v>84</v>
      </c>
      <c r="B9" s="13" t="s">
        <v>7</v>
      </c>
      <c r="C9" s="13" t="s">
        <v>85</v>
      </c>
      <c r="D9" s="16">
        <v>45627</v>
      </c>
      <c r="E9" s="17">
        <v>2000000</v>
      </c>
      <c r="F9" s="27">
        <f>0.1*Table145367978[[#This Row],[Anticipated Cost]]</f>
        <v>200000</v>
      </c>
      <c r="G9" s="9"/>
    </row>
    <row r="10" spans="1:7" ht="15" customHeight="1" x14ac:dyDescent="0.25">
      <c r="A10" s="241" t="s">
        <v>99</v>
      </c>
      <c r="B10" s="13" t="s">
        <v>7</v>
      </c>
      <c r="C10" s="13" t="s">
        <v>83</v>
      </c>
      <c r="D10" s="16">
        <v>45627</v>
      </c>
      <c r="E10" s="17">
        <v>375000</v>
      </c>
      <c r="F10" s="27">
        <f>0.1*Table145367978[[#This Row],[Anticipated Cost]]</f>
        <v>37500</v>
      </c>
      <c r="G10" s="9"/>
    </row>
    <row r="11" spans="1:7" ht="30" x14ac:dyDescent="0.25">
      <c r="A11" s="242" t="s">
        <v>46</v>
      </c>
      <c r="B11" s="234" t="s">
        <v>47</v>
      </c>
      <c r="C11" s="234" t="s">
        <v>48</v>
      </c>
      <c r="D11" s="16">
        <v>45627</v>
      </c>
      <c r="E11" s="17">
        <v>10000000</v>
      </c>
      <c r="F11" s="27">
        <f>0.1*Table145367978[[#This Row],[Anticipated Cost]]</f>
        <v>1000000</v>
      </c>
      <c r="G11" s="9" t="s">
        <v>137</v>
      </c>
    </row>
    <row r="12" spans="1:7" ht="15" customHeight="1" x14ac:dyDescent="0.25">
      <c r="A12" s="242" t="s">
        <v>122</v>
      </c>
      <c r="B12" s="234" t="s">
        <v>57</v>
      </c>
      <c r="C12" s="234" t="s">
        <v>123</v>
      </c>
      <c r="D12" s="16">
        <v>45627</v>
      </c>
      <c r="E12" s="17">
        <v>150000</v>
      </c>
      <c r="F12" s="18">
        <f>0.1*Table145367978[[#This Row],[Anticipated Cost]]</f>
        <v>15000</v>
      </c>
      <c r="G12" s="9"/>
    </row>
    <row r="13" spans="1:7" ht="30" x14ac:dyDescent="0.25">
      <c r="A13" s="9" t="s">
        <v>75</v>
      </c>
      <c r="B13" s="9" t="s">
        <v>47</v>
      </c>
      <c r="C13" s="9" t="s">
        <v>60</v>
      </c>
      <c r="D13" s="16">
        <v>45658</v>
      </c>
      <c r="E13" s="17" t="s">
        <v>67</v>
      </c>
      <c r="F13" s="27">
        <v>16000</v>
      </c>
      <c r="G13" s="9" t="s">
        <v>138</v>
      </c>
    </row>
    <row r="14" spans="1:7" ht="15" customHeight="1" x14ac:dyDescent="0.25">
      <c r="A14" s="243" t="s">
        <v>15</v>
      </c>
      <c r="B14" s="129" t="s">
        <v>16</v>
      </c>
      <c r="C14" s="129" t="s">
        <v>17</v>
      </c>
      <c r="D14" s="16">
        <v>45658</v>
      </c>
      <c r="E14" s="17">
        <v>700000</v>
      </c>
      <c r="F14" s="18">
        <f>0.1*Table145367978[[#This Row],[Anticipated Cost]]</f>
        <v>70000</v>
      </c>
      <c r="G14" s="9"/>
    </row>
    <row r="15" spans="1:7" ht="15" customHeight="1" x14ac:dyDescent="0.25">
      <c r="A15" s="243" t="s">
        <v>44</v>
      </c>
      <c r="B15" s="129" t="s">
        <v>16</v>
      </c>
      <c r="C15" s="129" t="s">
        <v>45</v>
      </c>
      <c r="D15" s="16">
        <v>45658</v>
      </c>
      <c r="E15" s="17">
        <v>450000</v>
      </c>
      <c r="F15" s="18">
        <f>0.1*Table145367978[[#This Row],[Anticipated Cost]]</f>
        <v>45000</v>
      </c>
      <c r="G15" s="9"/>
    </row>
    <row r="16" spans="1:7" ht="15" customHeight="1" x14ac:dyDescent="0.25">
      <c r="A16" s="243" t="s">
        <v>61</v>
      </c>
      <c r="B16" s="105" t="s">
        <v>16</v>
      </c>
      <c r="C16" s="105" t="s">
        <v>45</v>
      </c>
      <c r="D16" s="16">
        <v>45658</v>
      </c>
      <c r="E16" s="17">
        <v>980000</v>
      </c>
      <c r="F16" s="18">
        <f>0.1*Table145367978[[#This Row],[Anticipated Cost]]</f>
        <v>98000</v>
      </c>
      <c r="G16" s="9"/>
    </row>
    <row r="17" spans="1:7" ht="15" customHeight="1" x14ac:dyDescent="0.25">
      <c r="A17" t="s">
        <v>104</v>
      </c>
      <c r="B17" t="s">
        <v>21</v>
      </c>
      <c r="C17" s="32" t="s">
        <v>105</v>
      </c>
      <c r="D17" s="16">
        <v>45658</v>
      </c>
      <c r="E17" s="17" t="s">
        <v>67</v>
      </c>
      <c r="F17" s="18">
        <v>0</v>
      </c>
      <c r="G17" s="9" t="s">
        <v>139</v>
      </c>
    </row>
    <row r="18" spans="1:7" ht="15" customHeight="1" x14ac:dyDescent="0.25">
      <c r="A18" s="129" t="s">
        <v>125</v>
      </c>
      <c r="B18" s="129" t="s">
        <v>21</v>
      </c>
      <c r="C18" s="129" t="s">
        <v>105</v>
      </c>
      <c r="D18" s="16">
        <v>45658</v>
      </c>
      <c r="E18" s="17">
        <v>350000</v>
      </c>
      <c r="F18" s="18">
        <f>0.1*Table145367978[[#This Row],[Anticipated Cost]]</f>
        <v>35000</v>
      </c>
      <c r="G18" s="9"/>
    </row>
    <row r="19" spans="1:7" ht="15" customHeight="1" x14ac:dyDescent="0.25">
      <c r="A19" s="41" t="s">
        <v>118</v>
      </c>
      <c r="B19" s="69" t="s">
        <v>16</v>
      </c>
      <c r="C19" s="69" t="s">
        <v>127</v>
      </c>
      <c r="D19" s="16">
        <v>45717</v>
      </c>
      <c r="E19" s="17" t="s">
        <v>67</v>
      </c>
      <c r="F19" s="27">
        <v>15000</v>
      </c>
      <c r="G19" s="9" t="s">
        <v>140</v>
      </c>
    </row>
    <row r="20" spans="1:7" ht="15" customHeight="1" x14ac:dyDescent="0.25">
      <c r="A20" s="235" t="s">
        <v>100</v>
      </c>
      <c r="B20" s="235" t="s">
        <v>16</v>
      </c>
      <c r="C20" s="235" t="s">
        <v>101</v>
      </c>
      <c r="D20" s="16">
        <v>45717</v>
      </c>
      <c r="E20" s="17">
        <v>6500000</v>
      </c>
      <c r="F20" s="27">
        <f>0.1*Table145367978[[#This Row],[Anticipated Cost]]</f>
        <v>650000</v>
      </c>
      <c r="G20" s="9"/>
    </row>
    <row r="21" spans="1:7" ht="15" customHeight="1" x14ac:dyDescent="0.25">
      <c r="A21" s="56" t="s">
        <v>126</v>
      </c>
      <c r="B21" s="56" t="s">
        <v>107</v>
      </c>
      <c r="C21" s="57" t="s">
        <v>51</v>
      </c>
      <c r="D21" s="16">
        <v>45717</v>
      </c>
      <c r="E21" s="17">
        <v>7000000</v>
      </c>
      <c r="F21" s="27">
        <f>0.1*Table145367978[[#This Row],[Anticipated Cost]]</f>
        <v>700000</v>
      </c>
      <c r="G21" s="9"/>
    </row>
    <row r="22" spans="1:7" ht="15" customHeight="1" x14ac:dyDescent="0.25">
      <c r="A22" s="7" t="s">
        <v>124</v>
      </c>
      <c r="B22" s="235" t="s">
        <v>21</v>
      </c>
      <c r="C22" s="235" t="s">
        <v>72</v>
      </c>
      <c r="D22" s="16">
        <v>45717</v>
      </c>
      <c r="E22" s="17">
        <v>500000</v>
      </c>
      <c r="F22" s="27">
        <f>0.1*Table145367978[[#This Row],[Anticipated Cost]]</f>
        <v>50000</v>
      </c>
      <c r="G22" s="9"/>
    </row>
    <row r="23" spans="1:7" x14ac:dyDescent="0.25">
      <c r="B23" s="33"/>
      <c r="C23" s="32"/>
      <c r="D23" s="4"/>
      <c r="E23" s="5"/>
      <c r="F23" s="15"/>
      <c r="G23" s="9"/>
    </row>
    <row r="24" spans="1:7" x14ac:dyDescent="0.25">
      <c r="B24" s="33"/>
      <c r="C24" s="32"/>
      <c r="D24" s="4"/>
      <c r="E24" s="5"/>
      <c r="F24" s="6"/>
    </row>
  </sheetData>
  <pageMargins left="0.7" right="0.7" top="0.75" bottom="0.75" header="0.3" footer="0.3"/>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4E9DC-0751-4F57-9960-BA95017AB08D}">
  <sheetPr codeName="Sheet9"/>
  <dimension ref="A1:J31"/>
  <sheetViews>
    <sheetView workbookViewId="0"/>
  </sheetViews>
  <sheetFormatPr defaultRowHeight="15" x14ac:dyDescent="0.25"/>
  <cols>
    <col min="1" max="1" width="11.42578125" bestFit="1" customWidth="1"/>
    <col min="2" max="2" width="20" customWidth="1"/>
    <col min="3" max="3" width="21" customWidth="1"/>
    <col min="4" max="4" width="16.28515625" customWidth="1"/>
    <col min="5" max="5" width="18.28515625" bestFit="1" customWidth="1"/>
    <col min="6" max="6" width="11.5703125" customWidth="1"/>
    <col min="7" max="7" width="86.7109375" customWidth="1"/>
    <col min="9" max="9" width="10.42578125" bestFit="1" customWidth="1"/>
    <col min="10" max="10" width="14.7109375" style="34" bestFit="1" customWidth="1"/>
  </cols>
  <sheetData>
    <row r="1" spans="1:10" ht="30" x14ac:dyDescent="0.25">
      <c r="A1" s="1" t="s">
        <v>0</v>
      </c>
      <c r="B1" s="1" t="s">
        <v>1</v>
      </c>
      <c r="C1" s="1" t="s">
        <v>2</v>
      </c>
      <c r="D1" s="32" t="s">
        <v>54</v>
      </c>
      <c r="E1" t="s">
        <v>4</v>
      </c>
      <c r="F1" s="2" t="s">
        <v>5</v>
      </c>
      <c r="G1" s="2" t="s">
        <v>133</v>
      </c>
    </row>
    <row r="2" spans="1:10" ht="15" hidden="1" customHeight="1" x14ac:dyDescent="0.25">
      <c r="A2" s="55" t="s">
        <v>62</v>
      </c>
      <c r="B2" s="52" t="s">
        <v>21</v>
      </c>
      <c r="C2" s="71" t="s">
        <v>51</v>
      </c>
      <c r="D2" s="16">
        <v>45627</v>
      </c>
      <c r="E2" s="17" t="s">
        <v>67</v>
      </c>
      <c r="F2" s="27">
        <v>8000</v>
      </c>
      <c r="G2" s="85" t="s">
        <v>141</v>
      </c>
      <c r="I2" s="83">
        <v>45627</v>
      </c>
      <c r="J2" s="84">
        <f>SUMIF(D:D,"12/1/2024",F:F)</f>
        <v>2035000</v>
      </c>
    </row>
    <row r="3" spans="1:10" ht="15" customHeight="1" x14ac:dyDescent="0.25">
      <c r="A3" s="235" t="s">
        <v>86</v>
      </c>
      <c r="B3" s="13" t="s">
        <v>7</v>
      </c>
      <c r="C3" s="95" t="s">
        <v>87</v>
      </c>
      <c r="D3" s="16">
        <v>45627</v>
      </c>
      <c r="E3" s="87">
        <v>3000000</v>
      </c>
      <c r="F3" s="86">
        <f>0.1*Table14536797810[[#This Row],[Anticipated Cost]]</f>
        <v>300000</v>
      </c>
      <c r="G3" s="82" t="s">
        <v>142</v>
      </c>
      <c r="I3" s="83">
        <v>45658</v>
      </c>
      <c r="J3" s="84">
        <f>SUMIF(D:D,"1/1/2025",F:F)</f>
        <v>48000</v>
      </c>
    </row>
    <row r="4" spans="1:10" ht="15" customHeight="1" x14ac:dyDescent="0.25">
      <c r="A4" s="13" t="s">
        <v>113</v>
      </c>
      <c r="B4" s="13" t="s">
        <v>7</v>
      </c>
      <c r="C4" s="95" t="s">
        <v>87</v>
      </c>
      <c r="D4" s="16">
        <v>45627</v>
      </c>
      <c r="E4" s="87">
        <v>300000</v>
      </c>
      <c r="F4" s="86">
        <f>0.1*Table14536797810[[#This Row],[Anticipated Cost]]</f>
        <v>30000</v>
      </c>
      <c r="G4" s="82" t="s">
        <v>142</v>
      </c>
      <c r="I4" s="83">
        <v>45689</v>
      </c>
      <c r="J4" s="84">
        <f>SUMIF(D:D,"2/1/2025",F:F)</f>
        <v>314000</v>
      </c>
    </row>
    <row r="5" spans="1:10" ht="15" customHeight="1" x14ac:dyDescent="0.25">
      <c r="A5" s="13" t="s">
        <v>99</v>
      </c>
      <c r="B5" s="13" t="s">
        <v>7</v>
      </c>
      <c r="C5" s="95" t="s">
        <v>83</v>
      </c>
      <c r="D5" s="16">
        <v>45627</v>
      </c>
      <c r="E5" s="87">
        <v>670000</v>
      </c>
      <c r="F5" s="86">
        <f>0.1*Table14536797810[[#This Row],[Anticipated Cost]]</f>
        <v>67000</v>
      </c>
      <c r="G5" s="67"/>
      <c r="I5" s="83">
        <v>45748</v>
      </c>
      <c r="J5" s="84">
        <f>SUMIF(D:D,"4/1/2025",F:F)</f>
        <v>700000</v>
      </c>
    </row>
    <row r="6" spans="1:10" ht="15" customHeight="1" x14ac:dyDescent="0.25">
      <c r="A6" s="7" t="s">
        <v>143</v>
      </c>
      <c r="B6" s="234" t="s">
        <v>57</v>
      </c>
      <c r="C6" s="73"/>
      <c r="D6" s="16">
        <v>45627</v>
      </c>
      <c r="E6" s="87">
        <v>600000</v>
      </c>
      <c r="F6" s="86">
        <f>0.1*Table14536797810[[#This Row],[Anticipated Cost]]</f>
        <v>60000</v>
      </c>
      <c r="G6" s="9"/>
      <c r="I6" s="83"/>
      <c r="J6" s="84"/>
    </row>
    <row r="7" spans="1:10" x14ac:dyDescent="0.25">
      <c r="A7" s="234" t="s">
        <v>122</v>
      </c>
      <c r="B7" s="234" t="s">
        <v>57</v>
      </c>
      <c r="C7" s="244" t="s">
        <v>123</v>
      </c>
      <c r="D7" s="16">
        <v>45627</v>
      </c>
      <c r="E7" s="87">
        <v>350000</v>
      </c>
      <c r="F7" s="86">
        <f>0.1*Table14536797810[[#This Row],[Anticipated Cost]]</f>
        <v>35000</v>
      </c>
      <c r="G7" s="67"/>
    </row>
    <row r="8" spans="1:10" ht="15" hidden="1" customHeight="1" x14ac:dyDescent="0.25">
      <c r="A8" s="80" t="s">
        <v>144</v>
      </c>
      <c r="B8" s="80" t="s">
        <v>10</v>
      </c>
      <c r="C8" s="81" t="s">
        <v>74</v>
      </c>
      <c r="D8" s="16">
        <v>45627</v>
      </c>
      <c r="E8" s="17" t="s">
        <v>67</v>
      </c>
      <c r="F8" s="18">
        <v>10000</v>
      </c>
      <c r="G8" s="9"/>
    </row>
    <row r="9" spans="1:10" hidden="1" x14ac:dyDescent="0.25">
      <c r="A9" s="9" t="s">
        <v>145</v>
      </c>
      <c r="B9" s="9" t="s">
        <v>10</v>
      </c>
      <c r="C9" s="67" t="s">
        <v>64</v>
      </c>
      <c r="D9" s="16">
        <v>45627</v>
      </c>
      <c r="E9" s="17" t="s">
        <v>67</v>
      </c>
      <c r="F9" s="27">
        <v>8000</v>
      </c>
      <c r="G9" s="9"/>
    </row>
    <row r="10" spans="1:10" ht="15" customHeight="1" x14ac:dyDescent="0.25">
      <c r="A10" s="129" t="s">
        <v>46</v>
      </c>
      <c r="B10" s="129" t="s">
        <v>47</v>
      </c>
      <c r="C10" s="130" t="s">
        <v>48</v>
      </c>
      <c r="D10" s="16">
        <v>45627</v>
      </c>
      <c r="E10" s="17">
        <v>15000000</v>
      </c>
      <c r="F10" s="18">
        <f>0.1*Table14536797810[[#This Row],[Anticipated Cost]]</f>
        <v>1500000</v>
      </c>
      <c r="G10" s="82" t="s">
        <v>137</v>
      </c>
    </row>
    <row r="11" spans="1:10" ht="15" hidden="1" customHeight="1" x14ac:dyDescent="0.25">
      <c r="A11" s="9" t="s">
        <v>75</v>
      </c>
      <c r="B11" s="9" t="s">
        <v>47</v>
      </c>
      <c r="C11" s="67" t="s">
        <v>60</v>
      </c>
      <c r="D11" s="16">
        <v>45627</v>
      </c>
      <c r="E11" s="17" t="s">
        <v>67</v>
      </c>
      <c r="F11" s="18">
        <v>17000</v>
      </c>
      <c r="G11" s="75" t="s">
        <v>146</v>
      </c>
    </row>
    <row r="12" spans="1:10" ht="15" hidden="1" customHeight="1" x14ac:dyDescent="0.25">
      <c r="A12" t="s">
        <v>104</v>
      </c>
      <c r="B12" s="76" t="s">
        <v>21</v>
      </c>
      <c r="C12" s="78" t="s">
        <v>105</v>
      </c>
      <c r="D12" s="16">
        <v>45658</v>
      </c>
      <c r="E12" s="17" t="s">
        <v>67</v>
      </c>
      <c r="F12" s="18">
        <v>0</v>
      </c>
      <c r="G12" s="82" t="s">
        <v>139</v>
      </c>
    </row>
    <row r="13" spans="1:10" ht="15" customHeight="1" x14ac:dyDescent="0.25">
      <c r="A13" s="9" t="s">
        <v>147</v>
      </c>
      <c r="B13" s="74" t="s">
        <v>21</v>
      </c>
      <c r="C13" s="67" t="s">
        <v>74</v>
      </c>
      <c r="D13" s="16">
        <v>45658</v>
      </c>
      <c r="E13" s="17">
        <v>80000</v>
      </c>
      <c r="F13" s="18">
        <f>0.1*Table14536797810[[#This Row],[Anticipated Cost]]</f>
        <v>8000</v>
      </c>
      <c r="G13" s="9"/>
    </row>
    <row r="14" spans="1:10" ht="15" customHeight="1" x14ac:dyDescent="0.25">
      <c r="A14" s="9" t="s">
        <v>148</v>
      </c>
      <c r="B14" s="9" t="s">
        <v>16</v>
      </c>
      <c r="C14" s="67" t="s">
        <v>149</v>
      </c>
      <c r="D14" s="16">
        <v>45658</v>
      </c>
      <c r="E14" s="17">
        <v>300000</v>
      </c>
      <c r="F14" s="18">
        <f>0.1*Table14536797810[[#This Row],[Anticipated Cost]]</f>
        <v>30000</v>
      </c>
      <c r="G14" s="9"/>
    </row>
    <row r="15" spans="1:10" ht="15" customHeight="1" x14ac:dyDescent="0.25">
      <c r="A15" s="7" t="s">
        <v>150</v>
      </c>
      <c r="B15" s="7" t="s">
        <v>151</v>
      </c>
      <c r="C15" s="73" t="s">
        <v>152</v>
      </c>
      <c r="D15" s="16">
        <v>45658</v>
      </c>
      <c r="E15" s="17">
        <v>100000</v>
      </c>
      <c r="F15" s="27">
        <v>10000</v>
      </c>
      <c r="G15" s="9"/>
    </row>
    <row r="16" spans="1:10" ht="15" customHeight="1" x14ac:dyDescent="0.25">
      <c r="A16" s="235" t="s">
        <v>15</v>
      </c>
      <c r="B16" s="235" t="s">
        <v>16</v>
      </c>
      <c r="C16" s="245" t="s">
        <v>17</v>
      </c>
      <c r="D16" s="16">
        <v>45689</v>
      </c>
      <c r="E16" s="17">
        <v>700000</v>
      </c>
      <c r="F16" s="27">
        <f>0.1*Table14536797810[[#This Row],[Anticipated Cost]]</f>
        <v>70000</v>
      </c>
      <c r="G16" s="67"/>
    </row>
    <row r="17" spans="1:10" ht="15" customHeight="1" x14ac:dyDescent="0.25">
      <c r="A17" s="235" t="s">
        <v>44</v>
      </c>
      <c r="B17" s="235" t="s">
        <v>16</v>
      </c>
      <c r="C17" s="245" t="s">
        <v>45</v>
      </c>
      <c r="D17" s="16">
        <v>45689</v>
      </c>
      <c r="E17" s="17">
        <v>450000</v>
      </c>
      <c r="F17" s="86">
        <f>0.1*Table14536797810[[#This Row],[Anticipated Cost]]</f>
        <v>45000</v>
      </c>
      <c r="G17" s="67"/>
    </row>
    <row r="18" spans="1:10" ht="15" customHeight="1" x14ac:dyDescent="0.25">
      <c r="A18" s="235" t="s">
        <v>61</v>
      </c>
      <c r="B18" s="235" t="s">
        <v>16</v>
      </c>
      <c r="C18" s="245" t="s">
        <v>45</v>
      </c>
      <c r="D18" s="16">
        <v>45689</v>
      </c>
      <c r="E18" s="17">
        <v>980000</v>
      </c>
      <c r="F18" s="86">
        <f>0.1*Table14536797810[[#This Row],[Anticipated Cost]]</f>
        <v>98000</v>
      </c>
      <c r="G18" s="67"/>
    </row>
    <row r="19" spans="1:10" x14ac:dyDescent="0.25">
      <c r="A19" s="129" t="s">
        <v>125</v>
      </c>
      <c r="B19" s="129" t="s">
        <v>21</v>
      </c>
      <c r="C19" s="130" t="s">
        <v>105</v>
      </c>
      <c r="D19" s="16">
        <v>45689</v>
      </c>
      <c r="E19" s="17">
        <v>500000</v>
      </c>
      <c r="F19" s="27">
        <f>0.1*Table14536797810[[#This Row],[Anticipated Cost]]</f>
        <v>50000</v>
      </c>
      <c r="G19" s="67"/>
    </row>
    <row r="20" spans="1:10" x14ac:dyDescent="0.25">
      <c r="A20" t="s">
        <v>153</v>
      </c>
      <c r="B20" s="33" t="s">
        <v>47</v>
      </c>
      <c r="C20" s="72" t="s">
        <v>154</v>
      </c>
      <c r="D20" s="16">
        <v>45689</v>
      </c>
      <c r="E20" s="17">
        <v>110000</v>
      </c>
      <c r="F20" s="18">
        <v>11000</v>
      </c>
      <c r="G20" s="9"/>
      <c r="H20" s="34"/>
      <c r="J20"/>
    </row>
    <row r="21" spans="1:10" ht="30" hidden="1" x14ac:dyDescent="0.25">
      <c r="A21" t="s">
        <v>118</v>
      </c>
      <c r="B21" s="33" t="s">
        <v>16</v>
      </c>
      <c r="C21" s="79" t="s">
        <v>127</v>
      </c>
      <c r="D21" s="16">
        <v>45717</v>
      </c>
      <c r="E21" s="17" t="s">
        <v>67</v>
      </c>
      <c r="F21" s="18">
        <v>15000</v>
      </c>
      <c r="G21" s="75" t="s">
        <v>140</v>
      </c>
    </row>
    <row r="22" spans="1:10" x14ac:dyDescent="0.25">
      <c r="A22" s="129" t="s">
        <v>100</v>
      </c>
      <c r="B22" s="129" t="s">
        <v>16</v>
      </c>
      <c r="C22" s="130" t="s">
        <v>101</v>
      </c>
      <c r="D22" s="16">
        <v>45717</v>
      </c>
      <c r="E22" s="17">
        <v>6500000</v>
      </c>
      <c r="F22" s="18">
        <f>0.1*Table14536797810[[#This Row],[Anticipated Cost]]</f>
        <v>650000</v>
      </c>
      <c r="G22" s="67"/>
    </row>
    <row r="23" spans="1:10" x14ac:dyDescent="0.25">
      <c r="A23" s="38" t="s">
        <v>126</v>
      </c>
      <c r="B23" s="38" t="s">
        <v>107</v>
      </c>
      <c r="C23" s="77" t="s">
        <v>51</v>
      </c>
      <c r="D23" s="16">
        <v>45748</v>
      </c>
      <c r="E23" s="17">
        <v>7000000</v>
      </c>
      <c r="F23" s="18">
        <f>0.1*Table14536797810[[#This Row],[Anticipated Cost]]</f>
        <v>700000</v>
      </c>
      <c r="G23" s="67"/>
    </row>
    <row r="24" spans="1:10" x14ac:dyDescent="0.25">
      <c r="A24" s="9" t="s">
        <v>124</v>
      </c>
      <c r="B24" s="129" t="s">
        <v>21</v>
      </c>
      <c r="C24" s="130" t="s">
        <v>72</v>
      </c>
      <c r="D24" s="16">
        <v>45717</v>
      </c>
      <c r="E24" s="17">
        <v>500000</v>
      </c>
      <c r="F24" s="18">
        <f>0.1*Table14536797810[[#This Row],[Anticipated Cost]]</f>
        <v>50000</v>
      </c>
      <c r="G24" s="9"/>
    </row>
    <row r="25" spans="1:10" x14ac:dyDescent="0.25">
      <c r="A25" s="9" t="s">
        <v>155</v>
      </c>
      <c r="B25" s="9" t="s">
        <v>156</v>
      </c>
      <c r="C25" s="67" t="s">
        <v>25</v>
      </c>
      <c r="D25" s="16">
        <v>45717</v>
      </c>
      <c r="E25" s="17">
        <v>300000</v>
      </c>
      <c r="F25" s="18">
        <f>0.1*Table14536797810[[#This Row],[Anticipated Cost]]</f>
        <v>30000</v>
      </c>
      <c r="G25" s="9"/>
    </row>
    <row r="26" spans="1:10" hidden="1" x14ac:dyDescent="0.25">
      <c r="A26" s="9" t="s">
        <v>157</v>
      </c>
      <c r="B26" s="9" t="s">
        <v>21</v>
      </c>
      <c r="C26" s="67" t="s">
        <v>85</v>
      </c>
      <c r="D26" s="16">
        <v>45717</v>
      </c>
      <c r="E26" s="17" t="s">
        <v>158</v>
      </c>
      <c r="F26" s="18" t="s">
        <v>159</v>
      </c>
      <c r="G26" s="85" t="s">
        <v>160</v>
      </c>
    </row>
    <row r="27" spans="1:10" x14ac:dyDescent="0.25">
      <c r="A27" s="9" t="s">
        <v>161</v>
      </c>
      <c r="B27" s="9" t="s">
        <v>57</v>
      </c>
      <c r="C27" s="67" t="s">
        <v>162</v>
      </c>
      <c r="D27" s="16">
        <v>45689</v>
      </c>
      <c r="E27" s="17">
        <v>200000</v>
      </c>
      <c r="F27" s="18">
        <v>20000</v>
      </c>
      <c r="G27" s="9"/>
    </row>
    <row r="28" spans="1:10" ht="45" x14ac:dyDescent="0.25">
      <c r="A28" s="9" t="s">
        <v>163</v>
      </c>
      <c r="B28" s="9" t="s">
        <v>164</v>
      </c>
      <c r="C28" s="67" t="s">
        <v>165</v>
      </c>
      <c r="D28" s="16">
        <v>45717</v>
      </c>
      <c r="E28" s="17">
        <v>700000</v>
      </c>
      <c r="F28" s="18">
        <f>Table14536797810[[#This Row],[Anticipated Cost]]*0.1</f>
        <v>70000</v>
      </c>
      <c r="G28" s="9"/>
    </row>
    <row r="29" spans="1:10" x14ac:dyDescent="0.25">
      <c r="A29" s="9" t="s">
        <v>166</v>
      </c>
      <c r="B29" s="9" t="s">
        <v>57</v>
      </c>
      <c r="C29" s="67" t="s">
        <v>167</v>
      </c>
      <c r="D29" s="16">
        <v>45689</v>
      </c>
      <c r="E29" s="17">
        <v>200000</v>
      </c>
      <c r="F29" s="17">
        <v>20000</v>
      </c>
      <c r="G29" s="9"/>
    </row>
    <row r="30" spans="1:10" hidden="1" x14ac:dyDescent="0.25">
      <c r="A30" s="9" t="s">
        <v>168</v>
      </c>
      <c r="B30" s="9" t="s">
        <v>151</v>
      </c>
      <c r="C30" s="67" t="s">
        <v>169</v>
      </c>
      <c r="D30" s="16">
        <v>45717</v>
      </c>
      <c r="E30" s="17" t="s">
        <v>158</v>
      </c>
      <c r="F30" s="18" t="s">
        <v>159</v>
      </c>
      <c r="G30" s="9"/>
    </row>
    <row r="31" spans="1:10" hidden="1" x14ac:dyDescent="0.25">
      <c r="A31" s="9" t="s">
        <v>170</v>
      </c>
      <c r="B31" s="9" t="s">
        <v>16</v>
      </c>
      <c r="C31" s="67" t="s">
        <v>171</v>
      </c>
      <c r="D31" s="16">
        <v>45627</v>
      </c>
      <c r="E31" s="17" t="s">
        <v>158</v>
      </c>
      <c r="F31" s="18" t="s">
        <v>159</v>
      </c>
      <c r="G31" s="85" t="s">
        <v>172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67334-FB0F-4B5C-9926-8B490E0A53C3}">
  <sheetPr codeName="Sheet10"/>
  <dimension ref="A1:G28"/>
  <sheetViews>
    <sheetView workbookViewId="0"/>
  </sheetViews>
  <sheetFormatPr defaultRowHeight="15" x14ac:dyDescent="0.25"/>
  <cols>
    <col min="1" max="1" width="11.42578125" bestFit="1" customWidth="1"/>
    <col min="2" max="2" width="20" customWidth="1"/>
    <col min="3" max="3" width="21" customWidth="1"/>
    <col min="4" max="4" width="16.28515625" customWidth="1"/>
    <col min="5" max="5" width="18.28515625" bestFit="1" customWidth="1"/>
    <col min="6" max="6" width="17.85546875" customWidth="1"/>
    <col min="7" max="7" width="51.85546875" customWidth="1"/>
  </cols>
  <sheetData>
    <row r="1" spans="1:7" ht="30" x14ac:dyDescent="0.25">
      <c r="A1" s="88" t="s">
        <v>0</v>
      </c>
      <c r="B1" s="89" t="s">
        <v>1</v>
      </c>
      <c r="C1" s="89" t="s">
        <v>2</v>
      </c>
      <c r="D1" s="90" t="s">
        <v>54</v>
      </c>
      <c r="E1" s="91" t="s">
        <v>4</v>
      </c>
      <c r="F1" s="92" t="s">
        <v>5</v>
      </c>
      <c r="G1" s="93" t="s">
        <v>133</v>
      </c>
    </row>
    <row r="2" spans="1:7" x14ac:dyDescent="0.25">
      <c r="A2" s="94" t="s">
        <v>86</v>
      </c>
      <c r="B2" s="13" t="s">
        <v>7</v>
      </c>
      <c r="C2" s="95" t="s">
        <v>87</v>
      </c>
      <c r="D2" s="118">
        <v>45658</v>
      </c>
      <c r="E2" s="121">
        <f>2686708.52+383442.87</f>
        <v>3070151.39</v>
      </c>
      <c r="F2" s="123">
        <f>0.1*E2</f>
        <v>307015.13900000002</v>
      </c>
      <c r="G2" s="98" t="s">
        <v>173</v>
      </c>
    </row>
    <row r="3" spans="1:7" x14ac:dyDescent="0.25">
      <c r="A3" s="99" t="s">
        <v>113</v>
      </c>
      <c r="B3" s="13" t="s">
        <v>7</v>
      </c>
      <c r="C3" s="95" t="s">
        <v>87</v>
      </c>
      <c r="D3" s="118">
        <v>45658</v>
      </c>
      <c r="E3" s="121">
        <f>145171.76+592013.33</f>
        <v>737185.09</v>
      </c>
      <c r="F3" s="123">
        <f>0.1*E3</f>
        <v>73718.509000000005</v>
      </c>
      <c r="G3" s="98" t="s">
        <v>173</v>
      </c>
    </row>
    <row r="4" spans="1:7" x14ac:dyDescent="0.25">
      <c r="A4" s="99" t="s">
        <v>46</v>
      </c>
      <c r="B4" s="13" t="s">
        <v>47</v>
      </c>
      <c r="C4" s="95" t="s">
        <v>48</v>
      </c>
      <c r="D4" s="118">
        <v>45627</v>
      </c>
      <c r="E4" s="121">
        <v>21000000</v>
      </c>
      <c r="F4" s="123">
        <f t="shared" ref="F4:F19" si="0">0.1*E4</f>
        <v>2100000</v>
      </c>
      <c r="G4" s="98" t="s">
        <v>173</v>
      </c>
    </row>
    <row r="5" spans="1:7" x14ac:dyDescent="0.25">
      <c r="A5" s="100" t="s">
        <v>147</v>
      </c>
      <c r="B5" s="101" t="s">
        <v>21</v>
      </c>
      <c r="C5" s="102" t="s">
        <v>74</v>
      </c>
      <c r="D5" s="118">
        <v>45658</v>
      </c>
      <c r="E5" s="121">
        <v>300000</v>
      </c>
      <c r="F5" s="123">
        <f t="shared" si="0"/>
        <v>30000</v>
      </c>
      <c r="G5" s="103"/>
    </row>
    <row r="6" spans="1:7" x14ac:dyDescent="0.25">
      <c r="A6" s="104" t="s">
        <v>174</v>
      </c>
      <c r="B6" s="105" t="s">
        <v>151</v>
      </c>
      <c r="C6" s="106" t="s">
        <v>152</v>
      </c>
      <c r="D6" s="118">
        <v>45658</v>
      </c>
      <c r="E6" s="121">
        <v>100000</v>
      </c>
      <c r="F6" s="123">
        <f t="shared" si="0"/>
        <v>10000</v>
      </c>
      <c r="G6" s="98"/>
    </row>
    <row r="7" spans="1:7" x14ac:dyDescent="0.25">
      <c r="A7" s="107" t="s">
        <v>143</v>
      </c>
      <c r="B7" s="108" t="s">
        <v>57</v>
      </c>
      <c r="C7" s="109" t="s">
        <v>175</v>
      </c>
      <c r="D7" s="118">
        <v>45658</v>
      </c>
      <c r="E7" s="121">
        <v>750000</v>
      </c>
      <c r="F7" s="123">
        <f t="shared" si="0"/>
        <v>75000</v>
      </c>
      <c r="G7" s="103"/>
    </row>
    <row r="8" spans="1:7" x14ac:dyDescent="0.25">
      <c r="A8" s="107" t="s">
        <v>153</v>
      </c>
      <c r="B8" s="110" t="s">
        <v>47</v>
      </c>
      <c r="C8" s="109" t="s">
        <v>154</v>
      </c>
      <c r="D8" s="16">
        <v>45658</v>
      </c>
      <c r="E8" s="121">
        <v>170000</v>
      </c>
      <c r="F8" s="123">
        <f t="shared" si="0"/>
        <v>17000</v>
      </c>
      <c r="G8" s="103"/>
    </row>
    <row r="9" spans="1:7" x14ac:dyDescent="0.25">
      <c r="A9" s="100" t="s">
        <v>15</v>
      </c>
      <c r="B9" s="111" t="s">
        <v>16</v>
      </c>
      <c r="C9" s="102" t="s">
        <v>17</v>
      </c>
      <c r="D9" s="118">
        <v>45689</v>
      </c>
      <c r="E9" s="121">
        <v>300000</v>
      </c>
      <c r="F9" s="123">
        <f t="shared" si="0"/>
        <v>30000</v>
      </c>
      <c r="G9" s="103"/>
    </row>
    <row r="10" spans="1:7" x14ac:dyDescent="0.25">
      <c r="A10" s="94" t="s">
        <v>99</v>
      </c>
      <c r="B10" s="112" t="s">
        <v>7</v>
      </c>
      <c r="C10" s="113" t="s">
        <v>83</v>
      </c>
      <c r="D10" s="118">
        <v>45658</v>
      </c>
      <c r="E10" s="121">
        <v>750000</v>
      </c>
      <c r="F10" s="123">
        <f t="shared" si="0"/>
        <v>75000</v>
      </c>
      <c r="G10" s="98"/>
    </row>
    <row r="11" spans="1:7" x14ac:dyDescent="0.25">
      <c r="A11" s="94" t="s">
        <v>148</v>
      </c>
      <c r="B11" s="112" t="s">
        <v>16</v>
      </c>
      <c r="C11" s="113" t="s">
        <v>149</v>
      </c>
      <c r="D11" s="118">
        <v>45689</v>
      </c>
      <c r="E11" s="121">
        <v>350000</v>
      </c>
      <c r="F11" s="123">
        <f t="shared" si="0"/>
        <v>35000</v>
      </c>
      <c r="G11" s="98"/>
    </row>
    <row r="12" spans="1:7" x14ac:dyDescent="0.25">
      <c r="A12" s="94" t="s">
        <v>125</v>
      </c>
      <c r="B12" s="112" t="s">
        <v>21</v>
      </c>
      <c r="C12" s="113" t="s">
        <v>105</v>
      </c>
      <c r="D12" s="118">
        <v>45689</v>
      </c>
      <c r="E12" s="121">
        <v>500000</v>
      </c>
      <c r="F12" s="123">
        <f t="shared" si="0"/>
        <v>50000</v>
      </c>
      <c r="G12" s="98"/>
    </row>
    <row r="13" spans="1:7" x14ac:dyDescent="0.25">
      <c r="A13" s="104" t="s">
        <v>44</v>
      </c>
      <c r="B13" s="105" t="s">
        <v>16</v>
      </c>
      <c r="C13" s="106" t="s">
        <v>45</v>
      </c>
      <c r="D13" s="118">
        <v>45870</v>
      </c>
      <c r="E13" s="121">
        <v>500000</v>
      </c>
      <c r="F13" s="123">
        <f t="shared" si="0"/>
        <v>50000</v>
      </c>
      <c r="G13" s="98" t="s">
        <v>176</v>
      </c>
    </row>
    <row r="14" spans="1:7" x14ac:dyDescent="0.25">
      <c r="A14" s="114" t="s">
        <v>61</v>
      </c>
      <c r="B14" s="115" t="s">
        <v>16</v>
      </c>
      <c r="C14" s="78" t="s">
        <v>45</v>
      </c>
      <c r="D14" s="118">
        <v>45870</v>
      </c>
      <c r="E14" s="121">
        <v>1700000</v>
      </c>
      <c r="F14" s="123">
        <f t="shared" si="0"/>
        <v>170000</v>
      </c>
      <c r="G14" s="67" t="s">
        <v>176</v>
      </c>
    </row>
    <row r="15" spans="1:7" ht="45" x14ac:dyDescent="0.25">
      <c r="A15" s="104" t="s">
        <v>163</v>
      </c>
      <c r="B15" s="105" t="s">
        <v>164</v>
      </c>
      <c r="C15" s="106" t="s">
        <v>165</v>
      </c>
      <c r="D15" s="118">
        <v>45689</v>
      </c>
      <c r="E15" s="121">
        <v>400000</v>
      </c>
      <c r="F15" s="123">
        <f t="shared" si="0"/>
        <v>40000</v>
      </c>
      <c r="G15" s="98"/>
    </row>
    <row r="16" spans="1:7" x14ac:dyDescent="0.25">
      <c r="A16" s="116" t="s">
        <v>100</v>
      </c>
      <c r="B16" s="43" t="s">
        <v>16</v>
      </c>
      <c r="C16" s="117" t="s">
        <v>101</v>
      </c>
      <c r="D16" s="118">
        <v>45717</v>
      </c>
      <c r="E16" s="121">
        <v>6500000</v>
      </c>
      <c r="F16" s="123">
        <f t="shared" si="0"/>
        <v>650000</v>
      </c>
      <c r="G16" s="98"/>
    </row>
    <row r="17" spans="1:7" x14ac:dyDescent="0.25">
      <c r="A17" s="107" t="s">
        <v>177</v>
      </c>
      <c r="B17" s="105" t="s">
        <v>156</v>
      </c>
      <c r="C17" s="106" t="s">
        <v>178</v>
      </c>
      <c r="D17" s="118">
        <v>45689</v>
      </c>
      <c r="E17" s="121">
        <v>500000</v>
      </c>
      <c r="F17" s="123">
        <f t="shared" si="0"/>
        <v>50000</v>
      </c>
      <c r="G17" s="103"/>
    </row>
    <row r="18" spans="1:7" ht="45" x14ac:dyDescent="0.25">
      <c r="A18" s="107" t="s">
        <v>179</v>
      </c>
      <c r="B18" s="110" t="s">
        <v>164</v>
      </c>
      <c r="C18" s="109" t="s">
        <v>180</v>
      </c>
      <c r="D18" s="118">
        <v>45689</v>
      </c>
      <c r="E18" s="121">
        <v>700000</v>
      </c>
      <c r="F18" s="123">
        <f t="shared" si="0"/>
        <v>70000</v>
      </c>
      <c r="G18" s="103"/>
    </row>
    <row r="19" spans="1:7" x14ac:dyDescent="0.25">
      <c r="A19" s="107" t="s">
        <v>155</v>
      </c>
      <c r="B19" s="110" t="s">
        <v>156</v>
      </c>
      <c r="C19" s="109" t="s">
        <v>25</v>
      </c>
      <c r="D19" s="118">
        <v>45717</v>
      </c>
      <c r="E19" s="121">
        <v>350000</v>
      </c>
      <c r="F19" s="123">
        <f t="shared" si="0"/>
        <v>35000</v>
      </c>
      <c r="G19" s="103"/>
    </row>
    <row r="20" spans="1:7" x14ac:dyDescent="0.25">
      <c r="A20" s="107" t="s">
        <v>95</v>
      </c>
      <c r="B20" s="110" t="s">
        <v>107</v>
      </c>
      <c r="C20" s="109" t="s">
        <v>96</v>
      </c>
      <c r="D20" s="118">
        <v>45658</v>
      </c>
      <c r="E20" s="97" t="s">
        <v>181</v>
      </c>
      <c r="F20" s="124">
        <v>6000</v>
      </c>
      <c r="G20" s="103"/>
    </row>
    <row r="21" spans="1:7" x14ac:dyDescent="0.25">
      <c r="A21" s="107" t="s">
        <v>118</v>
      </c>
      <c r="B21" s="110" t="s">
        <v>16</v>
      </c>
      <c r="C21" s="109" t="s">
        <v>127</v>
      </c>
      <c r="D21" s="118">
        <v>45901</v>
      </c>
      <c r="E21" s="97" t="s">
        <v>181</v>
      </c>
      <c r="F21" s="124">
        <v>35000</v>
      </c>
      <c r="G21" s="103" t="s">
        <v>182</v>
      </c>
    </row>
    <row r="22" spans="1:7" x14ac:dyDescent="0.25">
      <c r="A22" s="107" t="s">
        <v>145</v>
      </c>
      <c r="B22" s="110" t="s">
        <v>183</v>
      </c>
      <c r="C22" s="109" t="s">
        <v>64</v>
      </c>
      <c r="D22" s="16">
        <v>45658</v>
      </c>
      <c r="E22" s="97" t="s">
        <v>181</v>
      </c>
      <c r="F22" s="124">
        <v>21000</v>
      </c>
      <c r="G22" s="98" t="s">
        <v>173</v>
      </c>
    </row>
    <row r="23" spans="1:7" x14ac:dyDescent="0.25">
      <c r="A23" s="107" t="s">
        <v>144</v>
      </c>
      <c r="B23" s="110" t="s">
        <v>10</v>
      </c>
      <c r="C23" s="109" t="s">
        <v>74</v>
      </c>
      <c r="D23" s="16">
        <v>45658</v>
      </c>
      <c r="E23" s="97" t="s">
        <v>181</v>
      </c>
      <c r="F23" s="124">
        <v>19000</v>
      </c>
      <c r="G23" s="103"/>
    </row>
    <row r="24" spans="1:7" x14ac:dyDescent="0.25">
      <c r="A24" s="107" t="s">
        <v>75</v>
      </c>
      <c r="B24" s="110" t="s">
        <v>47</v>
      </c>
      <c r="C24" s="109" t="s">
        <v>60</v>
      </c>
      <c r="D24" s="118">
        <v>45658</v>
      </c>
      <c r="E24" s="97" t="s">
        <v>181</v>
      </c>
      <c r="F24" s="124">
        <v>15000</v>
      </c>
      <c r="G24" s="103"/>
    </row>
    <row r="25" spans="1:7" ht="30" x14ac:dyDescent="0.25">
      <c r="A25" s="107" t="s">
        <v>104</v>
      </c>
      <c r="B25" s="110" t="s">
        <v>21</v>
      </c>
      <c r="C25" s="109" t="s">
        <v>105</v>
      </c>
      <c r="D25" s="118">
        <v>45778</v>
      </c>
      <c r="E25" s="97" t="s">
        <v>181</v>
      </c>
      <c r="F25" s="124">
        <v>0</v>
      </c>
      <c r="G25" s="103" t="s">
        <v>184</v>
      </c>
    </row>
    <row r="26" spans="1:7" x14ac:dyDescent="0.25">
      <c r="A26" s="107" t="s">
        <v>170</v>
      </c>
      <c r="B26" s="110" t="s">
        <v>16</v>
      </c>
      <c r="C26" s="109" t="s">
        <v>185</v>
      </c>
      <c r="D26" s="118">
        <v>45658</v>
      </c>
      <c r="E26" s="97" t="s">
        <v>181</v>
      </c>
      <c r="F26" s="125">
        <v>7000</v>
      </c>
      <c r="G26" s="103"/>
    </row>
    <row r="27" spans="1:7" x14ac:dyDescent="0.25">
      <c r="A27" s="107" t="s">
        <v>124</v>
      </c>
      <c r="B27" s="105" t="s">
        <v>21</v>
      </c>
      <c r="C27" s="106" t="s">
        <v>72</v>
      </c>
      <c r="D27" s="118">
        <v>45748</v>
      </c>
      <c r="E27" s="121">
        <v>500000</v>
      </c>
      <c r="F27" s="123">
        <f t="shared" ref="F27" si="1">0.1*E27</f>
        <v>50000</v>
      </c>
      <c r="G27" s="103"/>
    </row>
    <row r="28" spans="1:7" x14ac:dyDescent="0.25">
      <c r="A28" s="107"/>
      <c r="B28" s="110"/>
      <c r="C28" s="109"/>
      <c r="D28" s="96"/>
      <c r="E28" s="97"/>
      <c r="F28" s="97"/>
      <c r="G28" s="103"/>
    </row>
  </sheetData>
  <autoFilter ref="A1:G1" xr:uid="{87267334-FB0F-4B5C-9926-8B490E0A53C3}"/>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D335F-5694-4F7F-9994-BF67C5C003FB}">
  <sheetPr codeName="Sheet11"/>
  <dimension ref="A1:L28"/>
  <sheetViews>
    <sheetView workbookViewId="0"/>
  </sheetViews>
  <sheetFormatPr defaultRowHeight="15" x14ac:dyDescent="0.25"/>
  <cols>
    <col min="1" max="1" width="11.42578125" bestFit="1" customWidth="1"/>
    <col min="2" max="2" width="20" customWidth="1"/>
    <col min="3" max="3" width="21" customWidth="1"/>
    <col min="4" max="4" width="16.28515625" customWidth="1"/>
    <col min="5" max="5" width="18.28515625" bestFit="1" customWidth="1"/>
    <col min="6" max="8" width="17.85546875" customWidth="1"/>
    <col min="9" max="9" width="51.85546875" customWidth="1"/>
    <col min="11" max="11" width="9.5703125" bestFit="1" customWidth="1"/>
    <col min="12" max="12" width="14.85546875" bestFit="1" customWidth="1"/>
  </cols>
  <sheetData>
    <row r="1" spans="1:12" ht="30" x14ac:dyDescent="0.25">
      <c r="A1" s="88" t="s">
        <v>0</v>
      </c>
      <c r="B1" s="89" t="s">
        <v>1</v>
      </c>
      <c r="C1" s="89" t="s">
        <v>2</v>
      </c>
      <c r="D1" s="90" t="s">
        <v>54</v>
      </c>
      <c r="E1" s="91" t="s">
        <v>4</v>
      </c>
      <c r="F1" s="92" t="s">
        <v>5</v>
      </c>
      <c r="G1" s="92" t="s">
        <v>186</v>
      </c>
      <c r="H1" s="92" t="s">
        <v>187</v>
      </c>
      <c r="I1" s="93" t="s">
        <v>133</v>
      </c>
    </row>
    <row r="2" spans="1:12" x14ac:dyDescent="0.25">
      <c r="A2" s="107" t="s">
        <v>153</v>
      </c>
      <c r="B2" s="110" t="s">
        <v>47</v>
      </c>
      <c r="C2" s="109" t="s">
        <v>154</v>
      </c>
      <c r="D2" s="16">
        <v>45689</v>
      </c>
      <c r="E2" s="121">
        <v>170000</v>
      </c>
      <c r="F2" s="127">
        <f>0.1*E2</f>
        <v>17000</v>
      </c>
      <c r="G2" s="119">
        <v>14627.15</v>
      </c>
      <c r="H2" s="122">
        <f t="shared" ref="H2:H24" si="0">F2-G2</f>
        <v>2372.8500000000004</v>
      </c>
      <c r="I2" s="103"/>
      <c r="K2" s="83"/>
      <c r="L2" s="84"/>
    </row>
    <row r="3" spans="1:12" x14ac:dyDescent="0.25">
      <c r="A3" s="94" t="s">
        <v>99</v>
      </c>
      <c r="B3" s="112" t="s">
        <v>7</v>
      </c>
      <c r="C3" s="113" t="s">
        <v>83</v>
      </c>
      <c r="D3" s="16">
        <v>45689</v>
      </c>
      <c r="E3" s="121">
        <v>750000</v>
      </c>
      <c r="F3" s="127">
        <f>0.1*E3</f>
        <v>75000</v>
      </c>
      <c r="G3" s="119">
        <v>43132.5</v>
      </c>
      <c r="H3" s="122">
        <f t="shared" si="0"/>
        <v>31867.5</v>
      </c>
      <c r="I3" s="98"/>
      <c r="K3" s="83"/>
      <c r="L3" s="84"/>
    </row>
    <row r="4" spans="1:12" x14ac:dyDescent="0.25">
      <c r="A4" s="100" t="s">
        <v>75</v>
      </c>
      <c r="B4" s="111" t="s">
        <v>47</v>
      </c>
      <c r="C4" s="102" t="s">
        <v>60</v>
      </c>
      <c r="D4" s="16">
        <v>45689</v>
      </c>
      <c r="E4" s="97" t="s">
        <v>181</v>
      </c>
      <c r="F4" s="127">
        <v>25000</v>
      </c>
      <c r="G4" s="119">
        <v>0</v>
      </c>
      <c r="H4" s="122">
        <f t="shared" si="0"/>
        <v>25000</v>
      </c>
      <c r="I4" s="103"/>
      <c r="K4" s="83"/>
      <c r="L4" s="84"/>
    </row>
    <row r="5" spans="1:12" x14ac:dyDescent="0.25">
      <c r="A5" s="100" t="s">
        <v>170</v>
      </c>
      <c r="B5" s="111" t="s">
        <v>16</v>
      </c>
      <c r="C5" s="102" t="s">
        <v>171</v>
      </c>
      <c r="D5" s="16">
        <v>45689</v>
      </c>
      <c r="E5" s="97" t="s">
        <v>181</v>
      </c>
      <c r="F5" s="127">
        <v>9570</v>
      </c>
      <c r="G5" s="119">
        <v>0</v>
      </c>
      <c r="H5" s="122">
        <f t="shared" si="0"/>
        <v>9570</v>
      </c>
      <c r="I5" s="103"/>
      <c r="K5" s="83"/>
      <c r="L5" s="84"/>
    </row>
    <row r="6" spans="1:12" x14ac:dyDescent="0.25">
      <c r="A6" s="107" t="s">
        <v>145</v>
      </c>
      <c r="B6" s="110" t="s">
        <v>183</v>
      </c>
      <c r="C6" s="109" t="s">
        <v>64</v>
      </c>
      <c r="D6" s="118">
        <v>45689</v>
      </c>
      <c r="E6" s="97" t="s">
        <v>181</v>
      </c>
      <c r="F6" s="127">
        <v>30655</v>
      </c>
      <c r="G6" s="119">
        <v>0</v>
      </c>
      <c r="H6" s="122">
        <f t="shared" si="0"/>
        <v>30655</v>
      </c>
      <c r="I6" s="98"/>
      <c r="K6" s="83"/>
      <c r="L6" s="84"/>
    </row>
    <row r="7" spans="1:12" x14ac:dyDescent="0.25">
      <c r="A7" s="107" t="s">
        <v>15</v>
      </c>
      <c r="B7" s="110" t="s">
        <v>16</v>
      </c>
      <c r="C7" s="109" t="s">
        <v>17</v>
      </c>
      <c r="D7" s="118">
        <v>45689</v>
      </c>
      <c r="E7" s="121">
        <v>300000</v>
      </c>
      <c r="F7" s="127">
        <f t="shared" ref="F7:F14" si="1">0.1*E7</f>
        <v>30000</v>
      </c>
      <c r="G7" s="18">
        <v>0</v>
      </c>
      <c r="H7" s="122">
        <f t="shared" si="0"/>
        <v>30000</v>
      </c>
      <c r="I7" s="9"/>
    </row>
    <row r="8" spans="1:12" x14ac:dyDescent="0.25">
      <c r="A8" s="104" t="s">
        <v>148</v>
      </c>
      <c r="B8" s="105" t="s">
        <v>16</v>
      </c>
      <c r="C8" s="106" t="s">
        <v>149</v>
      </c>
      <c r="D8" s="118">
        <v>45689</v>
      </c>
      <c r="E8" s="121">
        <v>350000</v>
      </c>
      <c r="F8" s="127">
        <f t="shared" si="1"/>
        <v>35000</v>
      </c>
      <c r="G8" s="119">
        <v>0</v>
      </c>
      <c r="H8" s="122">
        <f t="shared" si="0"/>
        <v>35000</v>
      </c>
      <c r="I8" s="98"/>
    </row>
    <row r="9" spans="1:12" ht="45" x14ac:dyDescent="0.25">
      <c r="A9" s="107" t="s">
        <v>179</v>
      </c>
      <c r="B9" s="110" t="s">
        <v>164</v>
      </c>
      <c r="C9" s="109" t="s">
        <v>180</v>
      </c>
      <c r="D9" s="118">
        <v>45689</v>
      </c>
      <c r="E9" s="121">
        <v>700000</v>
      </c>
      <c r="F9" s="127">
        <f t="shared" si="1"/>
        <v>70000</v>
      </c>
      <c r="G9" s="119">
        <v>0</v>
      </c>
      <c r="H9" s="122">
        <f t="shared" si="0"/>
        <v>70000</v>
      </c>
      <c r="I9" s="103"/>
    </row>
    <row r="10" spans="1:12" ht="45" x14ac:dyDescent="0.25">
      <c r="A10" s="104" t="s">
        <v>163</v>
      </c>
      <c r="B10" s="105" t="s">
        <v>164</v>
      </c>
      <c r="C10" s="106" t="s">
        <v>165</v>
      </c>
      <c r="D10" s="118">
        <v>45717</v>
      </c>
      <c r="E10" s="121">
        <v>400000</v>
      </c>
      <c r="F10" s="127">
        <f t="shared" si="1"/>
        <v>40000</v>
      </c>
      <c r="G10" s="119">
        <v>0</v>
      </c>
      <c r="H10" s="122">
        <f t="shared" si="0"/>
        <v>40000</v>
      </c>
      <c r="I10" s="98"/>
    </row>
    <row r="11" spans="1:12" x14ac:dyDescent="0.25">
      <c r="A11" s="107" t="s">
        <v>177</v>
      </c>
      <c r="B11" s="105" t="s">
        <v>156</v>
      </c>
      <c r="C11" s="106" t="s">
        <v>178</v>
      </c>
      <c r="D11" s="118">
        <v>45717</v>
      </c>
      <c r="E11" s="121">
        <v>750000</v>
      </c>
      <c r="F11" s="127">
        <f t="shared" si="1"/>
        <v>75000</v>
      </c>
      <c r="G11" s="119">
        <v>0</v>
      </c>
      <c r="H11" s="122">
        <f t="shared" si="0"/>
        <v>75000</v>
      </c>
      <c r="I11" s="103"/>
    </row>
    <row r="12" spans="1:12" x14ac:dyDescent="0.25">
      <c r="A12" s="104" t="s">
        <v>125</v>
      </c>
      <c r="B12" s="105" t="s">
        <v>21</v>
      </c>
      <c r="C12" s="106" t="s">
        <v>105</v>
      </c>
      <c r="D12" s="118">
        <v>45717</v>
      </c>
      <c r="E12" s="121">
        <v>500000</v>
      </c>
      <c r="F12" s="127">
        <f t="shared" si="1"/>
        <v>50000</v>
      </c>
      <c r="G12" s="119">
        <v>36735</v>
      </c>
      <c r="H12" s="122">
        <f t="shared" si="0"/>
        <v>13265</v>
      </c>
      <c r="I12" s="98"/>
    </row>
    <row r="13" spans="1:12" x14ac:dyDescent="0.25">
      <c r="A13" s="107" t="s">
        <v>155</v>
      </c>
      <c r="B13" s="110" t="s">
        <v>156</v>
      </c>
      <c r="C13" s="109" t="s">
        <v>25</v>
      </c>
      <c r="D13" s="118">
        <v>45717</v>
      </c>
      <c r="E13" s="121">
        <v>250000</v>
      </c>
      <c r="F13" s="122">
        <f t="shared" si="1"/>
        <v>25000</v>
      </c>
      <c r="G13" s="119">
        <v>0</v>
      </c>
      <c r="H13" s="122">
        <f t="shared" si="0"/>
        <v>25000</v>
      </c>
      <c r="I13" s="103"/>
    </row>
    <row r="14" spans="1:12" x14ac:dyDescent="0.25">
      <c r="A14" s="107" t="s">
        <v>188</v>
      </c>
      <c r="B14" s="110" t="s">
        <v>21</v>
      </c>
      <c r="C14" s="110" t="s">
        <v>189</v>
      </c>
      <c r="D14" s="118">
        <v>45717</v>
      </c>
      <c r="E14" s="121">
        <v>250000</v>
      </c>
      <c r="F14" s="122">
        <f t="shared" si="1"/>
        <v>25000</v>
      </c>
      <c r="G14" s="119">
        <v>0</v>
      </c>
      <c r="H14" s="122">
        <f t="shared" si="0"/>
        <v>25000</v>
      </c>
      <c r="I14" s="103"/>
    </row>
    <row r="15" spans="1:12" x14ac:dyDescent="0.25">
      <c r="A15" s="107" t="s">
        <v>190</v>
      </c>
      <c r="B15" s="110" t="s">
        <v>16</v>
      </c>
      <c r="C15" s="109" t="s">
        <v>127</v>
      </c>
      <c r="D15" s="16">
        <v>45717</v>
      </c>
      <c r="E15" s="97" t="s">
        <v>181</v>
      </c>
      <c r="F15" s="122">
        <v>26000</v>
      </c>
      <c r="G15" s="119">
        <v>0</v>
      </c>
      <c r="H15" s="122">
        <f t="shared" si="0"/>
        <v>26000</v>
      </c>
      <c r="I15" s="103"/>
    </row>
    <row r="16" spans="1:12" x14ac:dyDescent="0.25">
      <c r="A16" s="107" t="s">
        <v>161</v>
      </c>
      <c r="B16" s="110" t="s">
        <v>57</v>
      </c>
      <c r="C16" s="109" t="s">
        <v>162</v>
      </c>
      <c r="D16" s="16">
        <v>45717</v>
      </c>
      <c r="E16" s="121">
        <v>100000</v>
      </c>
      <c r="F16" s="122">
        <f>0.1*E16</f>
        <v>10000</v>
      </c>
      <c r="G16" s="119">
        <v>0</v>
      </c>
      <c r="H16" s="122">
        <f t="shared" si="0"/>
        <v>10000</v>
      </c>
      <c r="I16" s="103"/>
    </row>
    <row r="17" spans="1:9" x14ac:dyDescent="0.25">
      <c r="A17" s="107" t="s">
        <v>191</v>
      </c>
      <c r="B17" s="110" t="s">
        <v>156</v>
      </c>
      <c r="C17" s="109" t="s">
        <v>25</v>
      </c>
      <c r="D17" s="118">
        <v>45717</v>
      </c>
      <c r="E17" s="121">
        <v>100000</v>
      </c>
      <c r="F17" s="122">
        <f>0.1*E17</f>
        <v>10000</v>
      </c>
      <c r="G17" s="119">
        <v>0</v>
      </c>
      <c r="H17" s="122">
        <f t="shared" si="0"/>
        <v>10000</v>
      </c>
      <c r="I17" s="103"/>
    </row>
    <row r="18" spans="1:9" x14ac:dyDescent="0.25">
      <c r="A18" s="116" t="s">
        <v>100</v>
      </c>
      <c r="B18" s="43" t="s">
        <v>16</v>
      </c>
      <c r="C18" s="117" t="s">
        <v>101</v>
      </c>
      <c r="D18" s="118">
        <v>45748</v>
      </c>
      <c r="E18" s="121">
        <v>6500000</v>
      </c>
      <c r="F18" s="122">
        <f>0.1*E18</f>
        <v>650000</v>
      </c>
      <c r="G18" s="119">
        <v>484740</v>
      </c>
      <c r="H18" s="122">
        <f t="shared" si="0"/>
        <v>165260</v>
      </c>
      <c r="I18" s="98"/>
    </row>
    <row r="19" spans="1:9" x14ac:dyDescent="0.25">
      <c r="A19" s="107" t="s">
        <v>144</v>
      </c>
      <c r="B19" s="110" t="s">
        <v>10</v>
      </c>
      <c r="C19" s="109" t="s">
        <v>74</v>
      </c>
      <c r="D19" s="118">
        <v>45748</v>
      </c>
      <c r="E19" s="97" t="s">
        <v>181</v>
      </c>
      <c r="F19" s="122">
        <v>17000</v>
      </c>
      <c r="G19" s="119">
        <v>0</v>
      </c>
      <c r="H19" s="122">
        <f t="shared" si="0"/>
        <v>17000</v>
      </c>
      <c r="I19" s="103"/>
    </row>
    <row r="20" spans="1:9" x14ac:dyDescent="0.25">
      <c r="A20" s="107" t="s">
        <v>192</v>
      </c>
      <c r="B20" s="105" t="s">
        <v>21</v>
      </c>
      <c r="C20" s="106" t="s">
        <v>72</v>
      </c>
      <c r="D20" s="118">
        <v>45748</v>
      </c>
      <c r="E20" s="121">
        <v>1500000</v>
      </c>
      <c r="F20" s="126">
        <f>0.1*E20</f>
        <v>150000</v>
      </c>
      <c r="G20" s="120">
        <v>0</v>
      </c>
      <c r="H20" s="122">
        <f t="shared" si="0"/>
        <v>150000</v>
      </c>
      <c r="I20" s="103" t="s">
        <v>193</v>
      </c>
    </row>
    <row r="21" spans="1:9" ht="30" x14ac:dyDescent="0.25">
      <c r="A21" s="107" t="s">
        <v>104</v>
      </c>
      <c r="B21" s="110" t="s">
        <v>21</v>
      </c>
      <c r="C21" s="110" t="s">
        <v>105</v>
      </c>
      <c r="D21" s="118">
        <v>45778</v>
      </c>
      <c r="E21" s="97" t="s">
        <v>181</v>
      </c>
      <c r="F21" s="131">
        <v>3000</v>
      </c>
      <c r="G21" s="119">
        <v>0</v>
      </c>
      <c r="H21" s="122">
        <f t="shared" si="0"/>
        <v>3000</v>
      </c>
      <c r="I21" s="103" t="s">
        <v>184</v>
      </c>
    </row>
    <row r="22" spans="1:9" x14ac:dyDescent="0.25">
      <c r="A22" s="107" t="s">
        <v>126</v>
      </c>
      <c r="B22" s="110" t="s">
        <v>107</v>
      </c>
      <c r="C22" s="109" t="s">
        <v>51</v>
      </c>
      <c r="D22" s="118">
        <v>45809</v>
      </c>
      <c r="E22" s="121">
        <v>10000000</v>
      </c>
      <c r="F22" s="122">
        <f>0.1*E22</f>
        <v>1000000</v>
      </c>
      <c r="G22" s="119">
        <v>146400</v>
      </c>
      <c r="H22" s="122">
        <f t="shared" si="0"/>
        <v>853600</v>
      </c>
      <c r="I22" s="103" t="s">
        <v>194</v>
      </c>
    </row>
    <row r="23" spans="1:9" x14ac:dyDescent="0.25">
      <c r="A23" s="104" t="s">
        <v>44</v>
      </c>
      <c r="B23" s="129" t="s">
        <v>16</v>
      </c>
      <c r="C23" s="130" t="s">
        <v>45</v>
      </c>
      <c r="D23" s="16">
        <v>45870</v>
      </c>
      <c r="E23" s="17">
        <v>500000</v>
      </c>
      <c r="F23" s="122">
        <f>0.1*E23</f>
        <v>50000</v>
      </c>
      <c r="G23" s="119">
        <v>0</v>
      </c>
      <c r="H23" s="122">
        <f t="shared" si="0"/>
        <v>50000</v>
      </c>
      <c r="I23" s="98" t="s">
        <v>176</v>
      </c>
    </row>
    <row r="24" spans="1:9" x14ac:dyDescent="0.25">
      <c r="A24" s="114" t="s">
        <v>61</v>
      </c>
      <c r="B24" s="115" t="s">
        <v>16</v>
      </c>
      <c r="C24" s="78" t="s">
        <v>45</v>
      </c>
      <c r="D24" s="118">
        <v>45870</v>
      </c>
      <c r="E24" s="121">
        <v>1700000</v>
      </c>
      <c r="F24" s="122">
        <f>0.1*E24</f>
        <v>170000</v>
      </c>
      <c r="G24" s="18">
        <v>113895</v>
      </c>
      <c r="H24" s="122">
        <f t="shared" si="0"/>
        <v>56105</v>
      </c>
      <c r="I24" s="67" t="s">
        <v>176</v>
      </c>
    </row>
    <row r="25" spans="1:9" x14ac:dyDescent="0.25">
      <c r="F25" s="122"/>
      <c r="G25" s="6"/>
      <c r="H25" s="6"/>
    </row>
    <row r="26" spans="1:9" x14ac:dyDescent="0.25">
      <c r="B26" t="s">
        <v>195</v>
      </c>
      <c r="C26" s="128">
        <f>SUM(H2:H9)</f>
        <v>234465.35</v>
      </c>
    </row>
    <row r="27" spans="1:9" x14ac:dyDescent="0.25">
      <c r="B27" t="s">
        <v>196</v>
      </c>
      <c r="C27" s="128">
        <f>SUM(H8:H17)</f>
        <v>329265</v>
      </c>
    </row>
    <row r="28" spans="1:9" x14ac:dyDescent="0.25">
      <c r="B28" t="s">
        <v>197</v>
      </c>
      <c r="C28" s="128">
        <f>SUM(H18:H20)</f>
        <v>332260</v>
      </c>
    </row>
  </sheetData>
  <autoFilter ref="A1:I24" xr:uid="{87267334-FB0F-4B5C-9926-8B490E0A53C3}">
    <sortState xmlns:xlrd2="http://schemas.microsoft.com/office/spreadsheetml/2017/richdata2" ref="A2:I24">
      <sortCondition ref="D1:D24"/>
    </sortState>
  </autoFilter>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2AF91-5F0B-4835-B0F4-96254A568754}">
  <sheetPr codeName="Sheet12"/>
  <dimension ref="A1:R38"/>
  <sheetViews>
    <sheetView workbookViewId="0"/>
  </sheetViews>
  <sheetFormatPr defaultRowHeight="15" x14ac:dyDescent="0.25"/>
  <cols>
    <col min="1" max="1" width="18.140625" style="32" customWidth="1"/>
    <col min="2" max="2" width="20" customWidth="1"/>
    <col min="3" max="3" width="21" customWidth="1"/>
    <col min="4" max="4" width="16.28515625" customWidth="1"/>
    <col min="5" max="5" width="18.28515625" bestFit="1" customWidth="1"/>
    <col min="6" max="8" width="17.85546875" customWidth="1"/>
    <col min="9" max="9" width="51.85546875" customWidth="1"/>
    <col min="11" max="11" width="9.5703125" bestFit="1" customWidth="1"/>
    <col min="12" max="12" width="14.85546875" bestFit="1" customWidth="1"/>
    <col min="15" max="15" width="14.85546875" bestFit="1" customWidth="1"/>
  </cols>
  <sheetData>
    <row r="1" spans="1:18" ht="30" x14ac:dyDescent="0.25">
      <c r="A1" s="88" t="s">
        <v>0</v>
      </c>
      <c r="B1" s="89" t="s">
        <v>1</v>
      </c>
      <c r="C1" s="89" t="s">
        <v>2</v>
      </c>
      <c r="D1" s="90" t="s">
        <v>54</v>
      </c>
      <c r="E1" s="91" t="s">
        <v>4</v>
      </c>
      <c r="F1" s="92" t="s">
        <v>5</v>
      </c>
      <c r="G1" s="92" t="s">
        <v>186</v>
      </c>
      <c r="H1" s="92" t="s">
        <v>187</v>
      </c>
      <c r="I1" s="93" t="s">
        <v>133</v>
      </c>
    </row>
    <row r="2" spans="1:18" ht="15" customHeight="1" x14ac:dyDescent="0.25">
      <c r="A2" s="141" t="s">
        <v>153</v>
      </c>
      <c r="B2" s="110" t="s">
        <v>47</v>
      </c>
      <c r="C2" s="109" t="s">
        <v>154</v>
      </c>
      <c r="D2" s="16">
        <v>45717</v>
      </c>
      <c r="E2" s="121">
        <v>170000</v>
      </c>
      <c r="F2" s="127">
        <f>0.1*E2</f>
        <v>17000</v>
      </c>
      <c r="G2" s="122">
        <v>14627.15</v>
      </c>
      <c r="H2" s="122">
        <f t="shared" ref="H2:H29" si="0">F2-G2</f>
        <v>2372.8500000000004</v>
      </c>
      <c r="I2" s="103"/>
      <c r="K2" s="107" t="s">
        <v>153</v>
      </c>
      <c r="L2" s="110" t="s">
        <v>47</v>
      </c>
      <c r="M2" s="109" t="s">
        <v>154</v>
      </c>
      <c r="N2" s="16">
        <v>45689</v>
      </c>
      <c r="O2" s="121">
        <v>170000</v>
      </c>
      <c r="P2" s="127">
        <f>0.1*O2</f>
        <v>17000</v>
      </c>
      <c r="Q2" s="119">
        <v>14627.15</v>
      </c>
      <c r="R2" s="122">
        <f t="shared" ref="R2:R24" si="1">P2-Q2</f>
        <v>2372.8500000000004</v>
      </c>
    </row>
    <row r="3" spans="1:18" ht="15" customHeight="1" x14ac:dyDescent="0.25">
      <c r="A3" s="143" t="s">
        <v>75</v>
      </c>
      <c r="B3" s="111" t="s">
        <v>47</v>
      </c>
      <c r="C3" s="102" t="s">
        <v>60</v>
      </c>
      <c r="D3" s="16">
        <v>45717</v>
      </c>
      <c r="E3" s="97" t="s">
        <v>181</v>
      </c>
      <c r="F3" s="138">
        <v>25000</v>
      </c>
      <c r="G3" s="122">
        <v>0</v>
      </c>
      <c r="H3" s="122">
        <f t="shared" si="0"/>
        <v>25000</v>
      </c>
      <c r="I3" s="103"/>
      <c r="K3" s="94" t="s">
        <v>99</v>
      </c>
      <c r="L3" s="112" t="s">
        <v>7</v>
      </c>
      <c r="M3" s="113" t="s">
        <v>83</v>
      </c>
      <c r="N3" s="16">
        <v>45689</v>
      </c>
      <c r="O3" s="121">
        <v>750000</v>
      </c>
      <c r="P3" s="127">
        <f>0.1*O3</f>
        <v>75000</v>
      </c>
      <c r="Q3" s="119">
        <v>43132.5</v>
      </c>
      <c r="R3" s="122">
        <f t="shared" si="1"/>
        <v>31867.5</v>
      </c>
    </row>
    <row r="4" spans="1:18" ht="15" customHeight="1" x14ac:dyDescent="0.25">
      <c r="A4" s="143" t="s">
        <v>198</v>
      </c>
      <c r="B4" s="111" t="s">
        <v>47</v>
      </c>
      <c r="C4" s="102" t="s">
        <v>48</v>
      </c>
      <c r="D4" s="16">
        <v>45717</v>
      </c>
      <c r="E4" s="97" t="s">
        <v>181</v>
      </c>
      <c r="F4" s="138">
        <v>2600</v>
      </c>
      <c r="G4" s="122">
        <v>0</v>
      </c>
      <c r="H4" s="122">
        <f t="shared" si="0"/>
        <v>2600</v>
      </c>
      <c r="I4" s="103"/>
      <c r="K4" s="100" t="s">
        <v>75</v>
      </c>
      <c r="L4" s="111" t="s">
        <v>47</v>
      </c>
      <c r="M4" s="102" t="s">
        <v>60</v>
      </c>
      <c r="N4" s="16">
        <v>45689</v>
      </c>
      <c r="O4" s="97" t="s">
        <v>181</v>
      </c>
      <c r="P4" s="127">
        <v>25000</v>
      </c>
      <c r="Q4" s="119">
        <v>0</v>
      </c>
      <c r="R4" s="122">
        <f t="shared" si="1"/>
        <v>25000</v>
      </c>
    </row>
    <row r="5" spans="1:18" ht="15" customHeight="1" x14ac:dyDescent="0.25">
      <c r="A5" s="142" t="s">
        <v>99</v>
      </c>
      <c r="B5" s="105" t="s">
        <v>7</v>
      </c>
      <c r="C5" s="106" t="s">
        <v>83</v>
      </c>
      <c r="D5" s="118">
        <v>45717</v>
      </c>
      <c r="E5" s="121">
        <v>750000</v>
      </c>
      <c r="F5" s="127">
        <f>0.1*E5</f>
        <v>75000</v>
      </c>
      <c r="G5" s="6">
        <v>43132.5</v>
      </c>
      <c r="H5" s="122">
        <f t="shared" si="0"/>
        <v>31867.5</v>
      </c>
      <c r="I5" s="67"/>
      <c r="K5" s="100" t="s">
        <v>170</v>
      </c>
      <c r="L5" s="111" t="s">
        <v>16</v>
      </c>
      <c r="M5" s="102" t="s">
        <v>171</v>
      </c>
      <c r="N5" s="16">
        <v>45689</v>
      </c>
      <c r="O5" s="97" t="s">
        <v>181</v>
      </c>
      <c r="P5" s="127">
        <v>9570</v>
      </c>
      <c r="Q5" s="119">
        <v>0</v>
      </c>
      <c r="R5" s="122">
        <f t="shared" si="1"/>
        <v>9570</v>
      </c>
    </row>
    <row r="6" spans="1:18" ht="15" customHeight="1" x14ac:dyDescent="0.25">
      <c r="A6" s="141" t="s">
        <v>15</v>
      </c>
      <c r="B6" s="110" t="s">
        <v>16</v>
      </c>
      <c r="C6" s="109" t="s">
        <v>17</v>
      </c>
      <c r="D6" s="118">
        <v>45717</v>
      </c>
      <c r="E6" s="121">
        <v>350000</v>
      </c>
      <c r="F6" s="127">
        <f>0.1*E6</f>
        <v>35000</v>
      </c>
      <c r="G6" s="122">
        <v>0</v>
      </c>
      <c r="H6" s="122">
        <f t="shared" si="0"/>
        <v>35000</v>
      </c>
      <c r="I6" s="103"/>
      <c r="K6" s="107" t="s">
        <v>145</v>
      </c>
      <c r="L6" s="110" t="s">
        <v>183</v>
      </c>
      <c r="M6" s="109" t="s">
        <v>64</v>
      </c>
      <c r="N6" s="118">
        <v>45689</v>
      </c>
      <c r="O6" s="97" t="s">
        <v>181</v>
      </c>
      <c r="P6" s="127">
        <v>30655</v>
      </c>
      <c r="Q6" s="119">
        <v>0</v>
      </c>
      <c r="R6" s="122">
        <f t="shared" si="1"/>
        <v>30655</v>
      </c>
    </row>
    <row r="7" spans="1:18" ht="15" customHeight="1" x14ac:dyDescent="0.25">
      <c r="A7" s="141" t="s">
        <v>199</v>
      </c>
      <c r="B7" s="110" t="s">
        <v>21</v>
      </c>
      <c r="C7" s="109" t="s">
        <v>43</v>
      </c>
      <c r="D7" s="118">
        <v>45717</v>
      </c>
      <c r="E7" s="97" t="s">
        <v>181</v>
      </c>
      <c r="F7" s="138">
        <v>6000</v>
      </c>
      <c r="G7" s="122">
        <v>0</v>
      </c>
      <c r="H7" s="122">
        <f t="shared" si="0"/>
        <v>6000</v>
      </c>
      <c r="I7" s="103" t="s">
        <v>200</v>
      </c>
      <c r="K7" s="107" t="s">
        <v>15</v>
      </c>
      <c r="L7" s="110" t="s">
        <v>16</v>
      </c>
      <c r="M7" s="109" t="s">
        <v>17</v>
      </c>
      <c r="N7" s="118">
        <v>45689</v>
      </c>
      <c r="O7" s="121">
        <v>300000</v>
      </c>
      <c r="P7" s="127">
        <f t="shared" ref="P7:P14" si="2">0.1*O7</f>
        <v>30000</v>
      </c>
      <c r="Q7" s="18">
        <v>0</v>
      </c>
      <c r="R7" s="122">
        <f t="shared" si="1"/>
        <v>30000</v>
      </c>
    </row>
    <row r="8" spans="1:18" ht="15" customHeight="1" x14ac:dyDescent="0.25">
      <c r="A8" s="142" t="s">
        <v>163</v>
      </c>
      <c r="B8" s="105" t="s">
        <v>164</v>
      </c>
      <c r="C8" s="106" t="s">
        <v>165</v>
      </c>
      <c r="D8" s="118">
        <v>45717</v>
      </c>
      <c r="E8" s="121">
        <v>400000</v>
      </c>
      <c r="F8" s="127">
        <f>0.1*E8</f>
        <v>40000</v>
      </c>
      <c r="G8" s="122">
        <v>0</v>
      </c>
      <c r="H8" s="122">
        <f t="shared" si="0"/>
        <v>40000</v>
      </c>
      <c r="I8" s="98"/>
      <c r="K8" s="104" t="s">
        <v>148</v>
      </c>
      <c r="L8" s="105" t="s">
        <v>16</v>
      </c>
      <c r="M8" s="106" t="s">
        <v>149</v>
      </c>
      <c r="N8" s="118">
        <v>45689</v>
      </c>
      <c r="O8" s="121">
        <v>350000</v>
      </c>
      <c r="P8" s="127">
        <f t="shared" si="2"/>
        <v>35000</v>
      </c>
      <c r="Q8" s="119">
        <v>0</v>
      </c>
      <c r="R8" s="122">
        <f t="shared" si="1"/>
        <v>35000</v>
      </c>
    </row>
    <row r="9" spans="1:18" ht="15" customHeight="1" x14ac:dyDescent="0.25">
      <c r="A9" s="141" t="s">
        <v>177</v>
      </c>
      <c r="B9" s="105" t="s">
        <v>156</v>
      </c>
      <c r="C9" s="106" t="s">
        <v>178</v>
      </c>
      <c r="D9" s="118">
        <v>45717</v>
      </c>
      <c r="E9" s="121">
        <v>1100000</v>
      </c>
      <c r="F9" s="127">
        <f>0.1*E9</f>
        <v>110000</v>
      </c>
      <c r="G9" s="122">
        <v>0</v>
      </c>
      <c r="H9" s="122">
        <f t="shared" si="0"/>
        <v>110000</v>
      </c>
      <c r="I9" s="103"/>
      <c r="K9" s="107" t="s">
        <v>179</v>
      </c>
      <c r="L9" s="110" t="s">
        <v>164</v>
      </c>
      <c r="M9" s="109" t="s">
        <v>180</v>
      </c>
      <c r="N9" s="118">
        <v>45689</v>
      </c>
      <c r="O9" s="121">
        <v>700000</v>
      </c>
      <c r="P9" s="127">
        <f t="shared" si="2"/>
        <v>70000</v>
      </c>
      <c r="Q9" s="119">
        <v>0</v>
      </c>
      <c r="R9" s="122">
        <f t="shared" si="1"/>
        <v>70000</v>
      </c>
    </row>
    <row r="10" spans="1:18" ht="15" customHeight="1" x14ac:dyDescent="0.25">
      <c r="A10" s="142" t="s">
        <v>125</v>
      </c>
      <c r="B10" s="105" t="s">
        <v>21</v>
      </c>
      <c r="C10" s="106" t="s">
        <v>105</v>
      </c>
      <c r="D10" s="118">
        <v>45717</v>
      </c>
      <c r="E10" s="121">
        <v>750000</v>
      </c>
      <c r="F10" s="127">
        <f>0.1*E10</f>
        <v>75000</v>
      </c>
      <c r="G10" s="122">
        <v>36735</v>
      </c>
      <c r="H10" s="122">
        <f t="shared" si="0"/>
        <v>38265</v>
      </c>
      <c r="I10" s="98"/>
      <c r="K10" s="104" t="s">
        <v>163</v>
      </c>
      <c r="L10" s="105" t="s">
        <v>164</v>
      </c>
      <c r="M10" s="106" t="s">
        <v>165</v>
      </c>
      <c r="N10" s="118">
        <v>45717</v>
      </c>
      <c r="O10" s="121">
        <v>400000</v>
      </c>
      <c r="P10" s="127">
        <f t="shared" si="2"/>
        <v>40000</v>
      </c>
      <c r="Q10" s="119">
        <v>0</v>
      </c>
      <c r="R10" s="122">
        <f t="shared" si="1"/>
        <v>40000</v>
      </c>
    </row>
    <row r="11" spans="1:18" ht="15" customHeight="1" x14ac:dyDescent="0.25">
      <c r="A11" s="141" t="s">
        <v>155</v>
      </c>
      <c r="B11" s="110" t="s">
        <v>156</v>
      </c>
      <c r="C11" s="109" t="s">
        <v>25</v>
      </c>
      <c r="D11" s="118">
        <v>45717</v>
      </c>
      <c r="E11" s="121">
        <v>150000</v>
      </c>
      <c r="F11" s="127">
        <f>0.1*E11</f>
        <v>15000</v>
      </c>
      <c r="G11" s="122">
        <v>0</v>
      </c>
      <c r="H11" s="122">
        <f t="shared" si="0"/>
        <v>15000</v>
      </c>
      <c r="I11" s="103"/>
      <c r="K11" s="107" t="s">
        <v>177</v>
      </c>
      <c r="L11" s="105" t="s">
        <v>156</v>
      </c>
      <c r="M11" s="106" t="s">
        <v>178</v>
      </c>
      <c r="N11" s="118">
        <v>45717</v>
      </c>
      <c r="O11" s="121">
        <v>750000</v>
      </c>
      <c r="P11" s="127">
        <f t="shared" si="2"/>
        <v>75000</v>
      </c>
      <c r="Q11" s="119">
        <v>0</v>
      </c>
      <c r="R11" s="122">
        <f t="shared" si="1"/>
        <v>75000</v>
      </c>
    </row>
    <row r="12" spans="1:18" ht="15" customHeight="1" x14ac:dyDescent="0.25">
      <c r="A12" s="141" t="s">
        <v>188</v>
      </c>
      <c r="B12" s="110" t="s">
        <v>21</v>
      </c>
      <c r="C12" s="110" t="s">
        <v>201</v>
      </c>
      <c r="D12" s="118">
        <v>45717</v>
      </c>
      <c r="E12" s="121">
        <v>250000</v>
      </c>
      <c r="F12" s="127">
        <f>0.1*E12</f>
        <v>25000</v>
      </c>
      <c r="G12" s="122">
        <v>0</v>
      </c>
      <c r="H12" s="122">
        <f t="shared" si="0"/>
        <v>25000</v>
      </c>
      <c r="I12" s="103"/>
      <c r="K12" s="104" t="s">
        <v>125</v>
      </c>
      <c r="L12" s="105" t="s">
        <v>21</v>
      </c>
      <c r="M12" s="106" t="s">
        <v>105</v>
      </c>
      <c r="N12" s="118">
        <v>45717</v>
      </c>
      <c r="O12" s="121">
        <v>500000</v>
      </c>
      <c r="P12" s="127">
        <f t="shared" si="2"/>
        <v>50000</v>
      </c>
      <c r="Q12" s="119">
        <v>36735</v>
      </c>
      <c r="R12" s="122">
        <f t="shared" si="1"/>
        <v>13265</v>
      </c>
    </row>
    <row r="13" spans="1:18" ht="15" customHeight="1" x14ac:dyDescent="0.25">
      <c r="A13" s="141" t="s">
        <v>190</v>
      </c>
      <c r="B13" s="110" t="s">
        <v>16</v>
      </c>
      <c r="C13" s="109" t="s">
        <v>127</v>
      </c>
      <c r="D13" s="118">
        <v>45717</v>
      </c>
      <c r="E13" s="97" t="s">
        <v>181</v>
      </c>
      <c r="F13" s="138">
        <v>38000</v>
      </c>
      <c r="G13" s="122">
        <v>0</v>
      </c>
      <c r="H13" s="122">
        <f t="shared" si="0"/>
        <v>38000</v>
      </c>
      <c r="I13" s="103"/>
      <c r="K13" s="107" t="s">
        <v>155</v>
      </c>
      <c r="L13" s="110" t="s">
        <v>156</v>
      </c>
      <c r="M13" s="109" t="s">
        <v>25</v>
      </c>
      <c r="N13" s="118">
        <v>45717</v>
      </c>
      <c r="O13" s="121">
        <v>250000</v>
      </c>
      <c r="P13" s="122">
        <f t="shared" si="2"/>
        <v>25000</v>
      </c>
      <c r="Q13" s="119">
        <v>0</v>
      </c>
      <c r="R13" s="122">
        <f t="shared" si="1"/>
        <v>25000</v>
      </c>
    </row>
    <row r="14" spans="1:18" ht="15" customHeight="1" x14ac:dyDescent="0.25">
      <c r="A14" s="141" t="s">
        <v>161</v>
      </c>
      <c r="B14" s="110" t="s">
        <v>57</v>
      </c>
      <c r="C14" s="109" t="s">
        <v>162</v>
      </c>
      <c r="D14" s="118">
        <v>45717</v>
      </c>
      <c r="E14" s="121">
        <v>150000</v>
      </c>
      <c r="F14" s="127">
        <f>0.1*E14</f>
        <v>15000</v>
      </c>
      <c r="G14" s="122">
        <v>0</v>
      </c>
      <c r="H14" s="122">
        <f t="shared" si="0"/>
        <v>15000</v>
      </c>
      <c r="I14" s="103"/>
      <c r="K14" s="107" t="s">
        <v>188</v>
      </c>
      <c r="L14" s="110" t="s">
        <v>21</v>
      </c>
      <c r="M14" s="110" t="s">
        <v>189</v>
      </c>
      <c r="N14" s="118">
        <v>45717</v>
      </c>
      <c r="O14" s="121">
        <v>250000</v>
      </c>
      <c r="P14" s="122">
        <f t="shared" si="2"/>
        <v>25000</v>
      </c>
      <c r="Q14" s="119">
        <v>0</v>
      </c>
      <c r="R14" s="122">
        <f t="shared" si="1"/>
        <v>25000</v>
      </c>
    </row>
    <row r="15" spans="1:18" ht="15" customHeight="1" x14ac:dyDescent="0.25">
      <c r="A15" s="141" t="s">
        <v>191</v>
      </c>
      <c r="B15" s="110" t="s">
        <v>156</v>
      </c>
      <c r="C15" s="109" t="s">
        <v>25</v>
      </c>
      <c r="D15" s="118">
        <v>45717</v>
      </c>
      <c r="E15" s="121">
        <v>180000</v>
      </c>
      <c r="F15" s="127">
        <f>0.1*E15</f>
        <v>18000</v>
      </c>
      <c r="G15" s="122">
        <v>0</v>
      </c>
      <c r="H15" s="122">
        <f t="shared" si="0"/>
        <v>18000</v>
      </c>
      <c r="I15" s="103"/>
      <c r="K15" s="107" t="s">
        <v>190</v>
      </c>
      <c r="L15" s="110" t="s">
        <v>16</v>
      </c>
      <c r="M15" s="109" t="s">
        <v>127</v>
      </c>
      <c r="N15" s="16">
        <v>45717</v>
      </c>
      <c r="O15" s="97" t="s">
        <v>181</v>
      </c>
      <c r="P15" s="122">
        <v>26000</v>
      </c>
      <c r="Q15" s="119">
        <v>0</v>
      </c>
      <c r="R15" s="122">
        <f t="shared" si="1"/>
        <v>26000</v>
      </c>
    </row>
    <row r="16" spans="1:18" ht="15" customHeight="1" x14ac:dyDescent="0.25">
      <c r="A16" s="141" t="s">
        <v>202</v>
      </c>
      <c r="B16" s="105" t="s">
        <v>47</v>
      </c>
      <c r="C16" s="106" t="s">
        <v>60</v>
      </c>
      <c r="D16" s="118">
        <v>45717</v>
      </c>
      <c r="E16" s="121">
        <v>275000</v>
      </c>
      <c r="F16" s="122">
        <f>0.1*E16</f>
        <v>27500</v>
      </c>
      <c r="G16" s="122">
        <v>0</v>
      </c>
      <c r="H16" s="122">
        <f t="shared" si="0"/>
        <v>27500</v>
      </c>
      <c r="I16" s="103"/>
      <c r="K16" s="107" t="s">
        <v>161</v>
      </c>
      <c r="L16" s="110" t="s">
        <v>57</v>
      </c>
      <c r="M16" s="109" t="s">
        <v>162</v>
      </c>
      <c r="N16" s="16">
        <v>45717</v>
      </c>
      <c r="O16" s="121">
        <v>100000</v>
      </c>
      <c r="P16" s="122">
        <f>0.1*O16</f>
        <v>10000</v>
      </c>
      <c r="Q16" s="119">
        <v>0</v>
      </c>
      <c r="R16" s="122">
        <f t="shared" si="1"/>
        <v>10000</v>
      </c>
    </row>
    <row r="17" spans="1:18" ht="15" customHeight="1" x14ac:dyDescent="0.25">
      <c r="A17" s="137" t="s">
        <v>203</v>
      </c>
      <c r="B17" s="110" t="s">
        <v>10</v>
      </c>
      <c r="C17" s="109" t="s">
        <v>74</v>
      </c>
      <c r="D17" s="118">
        <v>45717</v>
      </c>
      <c r="E17" s="97" t="s">
        <v>181</v>
      </c>
      <c r="F17" s="119">
        <v>22000</v>
      </c>
      <c r="G17" s="122">
        <v>0</v>
      </c>
      <c r="H17" s="122">
        <f t="shared" si="0"/>
        <v>22000</v>
      </c>
      <c r="I17" s="103"/>
      <c r="K17" s="107" t="s">
        <v>191</v>
      </c>
      <c r="L17" s="110" t="s">
        <v>156</v>
      </c>
      <c r="M17" s="109" t="s">
        <v>25</v>
      </c>
      <c r="N17" s="118">
        <v>45717</v>
      </c>
      <c r="O17" s="121">
        <v>100000</v>
      </c>
      <c r="P17" s="122">
        <f>0.1*O17</f>
        <v>10000</v>
      </c>
      <c r="Q17" s="119">
        <v>0</v>
      </c>
      <c r="R17" s="122">
        <f t="shared" si="1"/>
        <v>10000</v>
      </c>
    </row>
    <row r="18" spans="1:18" ht="15" customHeight="1" x14ac:dyDescent="0.25">
      <c r="A18" s="136" t="s">
        <v>204</v>
      </c>
      <c r="B18" s="105" t="s">
        <v>21</v>
      </c>
      <c r="C18" s="106" t="s">
        <v>205</v>
      </c>
      <c r="D18" s="16">
        <v>45748</v>
      </c>
      <c r="E18" s="121">
        <v>100000</v>
      </c>
      <c r="F18" s="122">
        <f t="shared" ref="F18:F25" si="3">0.1*E18</f>
        <v>10000</v>
      </c>
      <c r="G18" s="122">
        <v>0</v>
      </c>
      <c r="H18" s="122">
        <f t="shared" si="0"/>
        <v>10000</v>
      </c>
      <c r="I18" s="98"/>
      <c r="K18" s="116" t="s">
        <v>100</v>
      </c>
      <c r="L18" s="43" t="s">
        <v>16</v>
      </c>
      <c r="M18" s="117" t="s">
        <v>101</v>
      </c>
      <c r="N18" s="118">
        <v>45748</v>
      </c>
      <c r="O18" s="121">
        <v>6500000</v>
      </c>
      <c r="P18" s="122">
        <f>0.1*O18</f>
        <v>650000</v>
      </c>
      <c r="Q18" s="119">
        <v>484740</v>
      </c>
      <c r="R18" s="122">
        <f t="shared" si="1"/>
        <v>165260</v>
      </c>
    </row>
    <row r="19" spans="1:18" ht="15" customHeight="1" x14ac:dyDescent="0.25">
      <c r="A19" s="139" t="s">
        <v>100</v>
      </c>
      <c r="B19" s="43" t="s">
        <v>16</v>
      </c>
      <c r="C19" s="117" t="s">
        <v>101</v>
      </c>
      <c r="D19" s="16">
        <v>45748</v>
      </c>
      <c r="E19" s="121">
        <v>6500000</v>
      </c>
      <c r="F19" s="122">
        <f t="shared" si="3"/>
        <v>650000</v>
      </c>
      <c r="G19" s="122">
        <v>484740</v>
      </c>
      <c r="H19" s="122">
        <f t="shared" si="0"/>
        <v>165260</v>
      </c>
      <c r="I19" s="98"/>
      <c r="K19" s="107" t="s">
        <v>144</v>
      </c>
      <c r="L19" s="110" t="s">
        <v>10</v>
      </c>
      <c r="M19" s="109" t="s">
        <v>74</v>
      </c>
      <c r="N19" s="118">
        <v>45748</v>
      </c>
      <c r="O19" s="97" t="s">
        <v>181</v>
      </c>
      <c r="P19" s="122">
        <v>17000</v>
      </c>
      <c r="Q19" s="119">
        <v>0</v>
      </c>
      <c r="R19" s="122">
        <f t="shared" si="1"/>
        <v>17000</v>
      </c>
    </row>
    <row r="20" spans="1:18" ht="15" customHeight="1" x14ac:dyDescent="0.25">
      <c r="A20" s="137" t="s">
        <v>192</v>
      </c>
      <c r="B20" s="105" t="s">
        <v>21</v>
      </c>
      <c r="C20" s="106" t="s">
        <v>72</v>
      </c>
      <c r="D20" s="118">
        <v>45748</v>
      </c>
      <c r="E20" s="121">
        <v>1500000</v>
      </c>
      <c r="F20" s="122">
        <f t="shared" si="3"/>
        <v>150000</v>
      </c>
      <c r="G20" s="122">
        <v>0</v>
      </c>
      <c r="H20" s="122">
        <f t="shared" si="0"/>
        <v>150000</v>
      </c>
      <c r="I20" s="103" t="s">
        <v>193</v>
      </c>
      <c r="K20" s="107" t="s">
        <v>192</v>
      </c>
      <c r="L20" s="105" t="s">
        <v>21</v>
      </c>
      <c r="M20" s="106" t="s">
        <v>72</v>
      </c>
      <c r="N20" s="118">
        <v>45748</v>
      </c>
      <c r="O20" s="121">
        <v>1500000</v>
      </c>
      <c r="P20" s="126">
        <f>0.1*O20</f>
        <v>150000</v>
      </c>
      <c r="Q20" s="120">
        <v>0</v>
      </c>
      <c r="R20" s="122">
        <f t="shared" si="1"/>
        <v>150000</v>
      </c>
    </row>
    <row r="21" spans="1:18" ht="15" customHeight="1" x14ac:dyDescent="0.25">
      <c r="A21" s="137" t="s">
        <v>206</v>
      </c>
      <c r="B21" s="105" t="s">
        <v>156</v>
      </c>
      <c r="C21" s="106" t="s">
        <v>89</v>
      </c>
      <c r="D21" s="118">
        <v>45748</v>
      </c>
      <c r="E21" s="121">
        <v>0</v>
      </c>
      <c r="F21" s="122">
        <f t="shared" si="3"/>
        <v>0</v>
      </c>
      <c r="G21" s="122">
        <v>0</v>
      </c>
      <c r="H21" s="122">
        <f t="shared" si="0"/>
        <v>0</v>
      </c>
      <c r="I21" s="103" t="s">
        <v>207</v>
      </c>
      <c r="K21" s="107" t="s">
        <v>104</v>
      </c>
      <c r="L21" s="110" t="s">
        <v>21</v>
      </c>
      <c r="M21" s="110" t="s">
        <v>105</v>
      </c>
      <c r="N21" s="118">
        <v>45778</v>
      </c>
      <c r="O21" s="97" t="s">
        <v>181</v>
      </c>
      <c r="P21" s="131">
        <v>3000</v>
      </c>
      <c r="Q21" s="119">
        <v>0</v>
      </c>
      <c r="R21" s="122">
        <f t="shared" si="1"/>
        <v>3000</v>
      </c>
    </row>
    <row r="22" spans="1:18" ht="15" customHeight="1" x14ac:dyDescent="0.25">
      <c r="A22" s="136" t="s">
        <v>166</v>
      </c>
      <c r="B22" s="105" t="s">
        <v>57</v>
      </c>
      <c r="C22" s="110" t="s">
        <v>167</v>
      </c>
      <c r="D22" s="118">
        <v>45778</v>
      </c>
      <c r="E22" s="121">
        <v>300000</v>
      </c>
      <c r="F22" s="122">
        <f t="shared" si="3"/>
        <v>30000</v>
      </c>
      <c r="G22" s="122">
        <v>0</v>
      </c>
      <c r="H22" s="122">
        <f t="shared" si="0"/>
        <v>30000</v>
      </c>
      <c r="I22" s="98" t="s">
        <v>208</v>
      </c>
      <c r="K22" s="107" t="s">
        <v>126</v>
      </c>
      <c r="L22" s="110" t="s">
        <v>107</v>
      </c>
      <c r="M22" s="109" t="s">
        <v>51</v>
      </c>
      <c r="N22" s="118">
        <v>45809</v>
      </c>
      <c r="O22" s="121">
        <v>10000000</v>
      </c>
      <c r="P22" s="122">
        <f>0.1*O22</f>
        <v>1000000</v>
      </c>
      <c r="Q22" s="119">
        <v>146400</v>
      </c>
      <c r="R22" s="122">
        <f t="shared" si="1"/>
        <v>853600</v>
      </c>
    </row>
    <row r="23" spans="1:18" ht="15" customHeight="1" x14ac:dyDescent="0.25">
      <c r="A23" s="136" t="s">
        <v>209</v>
      </c>
      <c r="B23" s="105" t="s">
        <v>16</v>
      </c>
      <c r="C23" s="106" t="s">
        <v>210</v>
      </c>
      <c r="D23" s="118">
        <v>45778</v>
      </c>
      <c r="E23" s="121">
        <v>300000</v>
      </c>
      <c r="F23" s="126">
        <f t="shared" si="3"/>
        <v>30000</v>
      </c>
      <c r="G23" s="126">
        <v>0</v>
      </c>
      <c r="H23" s="122">
        <f t="shared" si="0"/>
        <v>30000</v>
      </c>
      <c r="I23" s="98"/>
      <c r="K23" s="104" t="s">
        <v>44</v>
      </c>
      <c r="L23" s="129" t="s">
        <v>16</v>
      </c>
      <c r="M23" s="130" t="s">
        <v>45</v>
      </c>
      <c r="N23" s="16">
        <v>45870</v>
      </c>
      <c r="O23" s="17">
        <v>500000</v>
      </c>
      <c r="P23" s="122">
        <f>0.1*O23</f>
        <v>50000</v>
      </c>
      <c r="Q23" s="119">
        <v>0</v>
      </c>
      <c r="R23" s="122">
        <f t="shared" si="1"/>
        <v>50000</v>
      </c>
    </row>
    <row r="24" spans="1:18" ht="15" customHeight="1" x14ac:dyDescent="0.25">
      <c r="A24" s="136" t="s">
        <v>211</v>
      </c>
      <c r="B24" s="105" t="s">
        <v>7</v>
      </c>
      <c r="C24" s="106" t="s">
        <v>212</v>
      </c>
      <c r="D24" s="118">
        <v>45778</v>
      </c>
      <c r="E24" s="121">
        <v>75000</v>
      </c>
      <c r="F24" s="126">
        <f t="shared" si="3"/>
        <v>7500</v>
      </c>
      <c r="G24" s="122">
        <v>0</v>
      </c>
      <c r="H24" s="122">
        <f t="shared" si="0"/>
        <v>7500</v>
      </c>
      <c r="I24" s="98"/>
      <c r="K24" s="114" t="s">
        <v>61</v>
      </c>
      <c r="L24" s="115" t="s">
        <v>16</v>
      </c>
      <c r="M24" s="78" t="s">
        <v>45</v>
      </c>
      <c r="N24" s="118">
        <v>45870</v>
      </c>
      <c r="O24" s="121">
        <v>1700000</v>
      </c>
      <c r="P24" s="122">
        <f>0.1*O24</f>
        <v>170000</v>
      </c>
      <c r="Q24" s="18">
        <v>113895</v>
      </c>
      <c r="R24" s="122">
        <f t="shared" si="1"/>
        <v>56105</v>
      </c>
    </row>
    <row r="25" spans="1:18" ht="15" customHeight="1" x14ac:dyDescent="0.25">
      <c r="A25" s="137" t="s">
        <v>157</v>
      </c>
      <c r="B25" s="110" t="s">
        <v>21</v>
      </c>
      <c r="C25" s="109" t="s">
        <v>85</v>
      </c>
      <c r="D25" s="118">
        <v>45778</v>
      </c>
      <c r="E25" s="121">
        <v>0</v>
      </c>
      <c r="F25" s="126">
        <f t="shared" si="3"/>
        <v>0</v>
      </c>
      <c r="G25" s="122">
        <v>0</v>
      </c>
      <c r="H25" s="122">
        <f t="shared" si="0"/>
        <v>0</v>
      </c>
      <c r="I25" s="103" t="s">
        <v>213</v>
      </c>
    </row>
    <row r="26" spans="1:18" ht="15" customHeight="1" x14ac:dyDescent="0.25">
      <c r="A26" s="137" t="s">
        <v>104</v>
      </c>
      <c r="B26" s="110" t="s">
        <v>21</v>
      </c>
      <c r="C26" s="110" t="s">
        <v>105</v>
      </c>
      <c r="D26" s="118">
        <v>45778</v>
      </c>
      <c r="E26" s="97" t="s">
        <v>181</v>
      </c>
      <c r="F26" s="138">
        <v>4000</v>
      </c>
      <c r="G26" s="122">
        <v>0</v>
      </c>
      <c r="H26" s="122">
        <f t="shared" si="0"/>
        <v>4000</v>
      </c>
      <c r="I26" s="103" t="s">
        <v>214</v>
      </c>
    </row>
    <row r="27" spans="1:18" ht="15" customHeight="1" x14ac:dyDescent="0.25">
      <c r="A27" s="137" t="s">
        <v>126</v>
      </c>
      <c r="B27" s="110" t="s">
        <v>107</v>
      </c>
      <c r="C27" s="109" t="s">
        <v>51</v>
      </c>
      <c r="D27" s="118">
        <v>45839</v>
      </c>
      <c r="E27" s="121">
        <v>10000000</v>
      </c>
      <c r="F27" s="122">
        <f>0.1*E27</f>
        <v>1000000</v>
      </c>
      <c r="G27" s="122">
        <v>146400</v>
      </c>
      <c r="H27" s="122">
        <f t="shared" si="0"/>
        <v>853600</v>
      </c>
      <c r="I27" s="103" t="s">
        <v>194</v>
      </c>
    </row>
    <row r="28" spans="1:18" ht="15" customHeight="1" x14ac:dyDescent="0.25">
      <c r="A28" s="136" t="s">
        <v>44</v>
      </c>
      <c r="B28" s="129" t="s">
        <v>16</v>
      </c>
      <c r="C28" s="130" t="s">
        <v>45</v>
      </c>
      <c r="D28" s="16">
        <v>45870</v>
      </c>
      <c r="E28" s="17">
        <v>500000</v>
      </c>
      <c r="F28" s="122">
        <f>0.1*E28</f>
        <v>50000</v>
      </c>
      <c r="G28" s="122">
        <v>0</v>
      </c>
      <c r="H28" s="122">
        <f t="shared" si="0"/>
        <v>50000</v>
      </c>
      <c r="I28" s="98" t="s">
        <v>176</v>
      </c>
    </row>
    <row r="29" spans="1:18" ht="15" customHeight="1" x14ac:dyDescent="0.25">
      <c r="A29" s="140" t="s">
        <v>61</v>
      </c>
      <c r="B29" s="115" t="s">
        <v>16</v>
      </c>
      <c r="C29" s="78" t="s">
        <v>45</v>
      </c>
      <c r="D29" s="118">
        <v>45870</v>
      </c>
      <c r="E29" s="121">
        <v>1700000</v>
      </c>
      <c r="F29" s="122">
        <f>0.1*E29</f>
        <v>170000</v>
      </c>
      <c r="G29" s="6">
        <v>113895</v>
      </c>
      <c r="H29" s="122">
        <f t="shared" si="0"/>
        <v>56105</v>
      </c>
      <c r="I29" s="67" t="s">
        <v>176</v>
      </c>
    </row>
    <row r="30" spans="1:18" x14ac:dyDescent="0.25">
      <c r="F30" s="122"/>
      <c r="G30" s="6"/>
      <c r="H30" s="6"/>
    </row>
    <row r="31" spans="1:18" x14ac:dyDescent="0.25">
      <c r="C31" s="128"/>
    </row>
    <row r="32" spans="1:18" x14ac:dyDescent="0.25">
      <c r="A32" s="132" t="s">
        <v>215</v>
      </c>
      <c r="B32" s="133" t="s">
        <v>5</v>
      </c>
      <c r="C32" s="134" t="s">
        <v>216</v>
      </c>
    </row>
    <row r="33" spans="1:3" x14ac:dyDescent="0.25">
      <c r="A33" s="135">
        <v>45717</v>
      </c>
      <c r="B33" s="34">
        <f>SUMIF(D:D,"3/1/2025",F:F)</f>
        <v>546100</v>
      </c>
      <c r="C33" s="34">
        <f>SUMIF(D:D,"3/1/2025",H:H)</f>
        <v>451605.35</v>
      </c>
    </row>
    <row r="34" spans="1:3" x14ac:dyDescent="0.25">
      <c r="A34" s="135">
        <v>45748</v>
      </c>
      <c r="B34" s="34">
        <f>SUMIF(D:D,"4/1/2025",F:F)</f>
        <v>810000</v>
      </c>
      <c r="C34" s="34">
        <f>SUMIF(D:D,"4/1/2025",H:H)</f>
        <v>325260</v>
      </c>
    </row>
    <row r="35" spans="1:3" x14ac:dyDescent="0.25">
      <c r="A35" s="135">
        <v>45778</v>
      </c>
      <c r="B35" s="34">
        <f>SUMIF(D:D,"5/1/2025",F:F)</f>
        <v>71500</v>
      </c>
      <c r="C35" s="34">
        <f>SUMIF(D:D,"5/1/2025",H:H)</f>
        <v>71500</v>
      </c>
    </row>
    <row r="36" spans="1:3" x14ac:dyDescent="0.25">
      <c r="A36" s="135">
        <v>45809</v>
      </c>
      <c r="B36" s="34">
        <f>SUMIF(D:D,"6/1/2025",F:F)</f>
        <v>0</v>
      </c>
      <c r="C36" s="34">
        <f>SUMIF(D:D,"6/1/2025",H:H)</f>
        <v>0</v>
      </c>
    </row>
    <row r="37" spans="1:3" x14ac:dyDescent="0.25">
      <c r="A37" s="135">
        <v>45839</v>
      </c>
      <c r="B37" s="34">
        <f>SUMIF(D:D,"7/1/2025",F:F)</f>
        <v>1000000</v>
      </c>
      <c r="C37" s="34">
        <f>SUMIF(D:D,"7/1/2025",H:H)</f>
        <v>853600</v>
      </c>
    </row>
    <row r="38" spans="1:3" x14ac:dyDescent="0.25">
      <c r="A38" s="135">
        <v>45870</v>
      </c>
      <c r="B38" s="34">
        <f>SUMIF(D:D,"8/1/2025",F:F)</f>
        <v>220000</v>
      </c>
      <c r="C38" s="34">
        <f>SUMIF(D:D,"8/1/2025",H:H)</f>
        <v>106105</v>
      </c>
    </row>
  </sheetData>
  <autoFilter ref="A1:I29" xr:uid="{87267334-FB0F-4B5C-9926-8B490E0A53C3}">
    <sortState xmlns:xlrd2="http://schemas.microsoft.com/office/spreadsheetml/2017/richdata2" ref="A2:I29">
      <sortCondition ref="D1:D29"/>
    </sortState>
  </autoFilter>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DECF1-6A0B-4FCC-8E72-03D295873114}">
  <sheetPr codeName="Sheet13"/>
  <dimension ref="A1:R30"/>
  <sheetViews>
    <sheetView workbookViewId="0"/>
  </sheetViews>
  <sheetFormatPr defaultRowHeight="15" x14ac:dyDescent="0.25"/>
  <cols>
    <col min="1" max="1" width="18.140625" style="32" customWidth="1"/>
    <col min="2" max="2" width="20" customWidth="1"/>
    <col min="3" max="3" width="21" customWidth="1"/>
    <col min="4" max="4" width="16.28515625" customWidth="1"/>
    <col min="5" max="5" width="18.28515625" bestFit="1" customWidth="1"/>
    <col min="6" max="8" width="17.85546875" customWidth="1"/>
    <col min="9" max="9" width="51.85546875" customWidth="1"/>
    <col min="11" max="11" width="9.5703125" bestFit="1" customWidth="1"/>
    <col min="12" max="12" width="14.85546875" bestFit="1" customWidth="1"/>
    <col min="15" max="15" width="14.85546875" bestFit="1" customWidth="1"/>
  </cols>
  <sheetData>
    <row r="1" spans="1:18" ht="30" x14ac:dyDescent="0.25">
      <c r="A1" s="88" t="s">
        <v>0</v>
      </c>
      <c r="B1" s="89" t="s">
        <v>1</v>
      </c>
      <c r="C1" s="89" t="s">
        <v>2</v>
      </c>
      <c r="D1" s="90" t="s">
        <v>54</v>
      </c>
      <c r="E1" s="91" t="s">
        <v>4</v>
      </c>
      <c r="F1" s="92" t="s">
        <v>5</v>
      </c>
      <c r="G1" s="92" t="s">
        <v>186</v>
      </c>
      <c r="H1" s="92" t="s">
        <v>187</v>
      </c>
      <c r="I1" s="93" t="s">
        <v>133</v>
      </c>
    </row>
    <row r="2" spans="1:18" ht="15" customHeight="1" x14ac:dyDescent="0.25">
      <c r="A2" s="100" t="s">
        <v>177</v>
      </c>
      <c r="B2" s="112" t="s">
        <v>156</v>
      </c>
      <c r="C2" s="113" t="s">
        <v>178</v>
      </c>
      <c r="D2" s="16">
        <v>45748</v>
      </c>
      <c r="E2" s="121">
        <v>1300000</v>
      </c>
      <c r="F2" s="127">
        <f>0.1*E2</f>
        <v>130000</v>
      </c>
      <c r="G2" s="122">
        <v>0</v>
      </c>
      <c r="H2" s="122">
        <f t="shared" ref="H2:H22" si="0">F2-G2</f>
        <v>130000</v>
      </c>
      <c r="I2" s="98"/>
      <c r="K2" s="129"/>
      <c r="L2" s="129"/>
      <c r="M2" s="130"/>
      <c r="N2" s="4"/>
      <c r="O2" s="5"/>
      <c r="P2" s="6"/>
      <c r="Q2" s="6"/>
      <c r="R2" s="6"/>
    </row>
    <row r="3" spans="1:18" ht="15" customHeight="1" x14ac:dyDescent="0.25">
      <c r="A3" s="104" t="s">
        <v>125</v>
      </c>
      <c r="B3" s="105" t="s">
        <v>21</v>
      </c>
      <c r="C3" s="106" t="s">
        <v>105</v>
      </c>
      <c r="D3" s="118">
        <v>45748</v>
      </c>
      <c r="E3" s="121">
        <v>1100000</v>
      </c>
      <c r="F3" s="127">
        <f>0.1*E3</f>
        <v>110000</v>
      </c>
      <c r="G3" s="122">
        <v>36735</v>
      </c>
      <c r="H3" s="122">
        <f t="shared" si="0"/>
        <v>73265</v>
      </c>
      <c r="I3" s="98"/>
      <c r="K3" s="9"/>
      <c r="L3" s="9"/>
      <c r="M3" s="67"/>
      <c r="N3" s="4"/>
      <c r="O3" s="5"/>
      <c r="P3" s="6"/>
      <c r="Q3" s="6"/>
      <c r="R3" s="6"/>
    </row>
    <row r="4" spans="1:18" ht="15" customHeight="1" x14ac:dyDescent="0.25">
      <c r="A4" s="107" t="s">
        <v>203</v>
      </c>
      <c r="B4" s="110" t="s">
        <v>10</v>
      </c>
      <c r="C4" s="109" t="s">
        <v>74</v>
      </c>
      <c r="D4" s="118">
        <v>45748</v>
      </c>
      <c r="E4" s="97" t="s">
        <v>181</v>
      </c>
      <c r="F4" s="138">
        <v>34000</v>
      </c>
      <c r="G4" s="122">
        <v>0</v>
      </c>
      <c r="H4" s="122">
        <f t="shared" si="0"/>
        <v>34000</v>
      </c>
      <c r="I4" s="98"/>
      <c r="K4" s="9"/>
      <c r="L4" s="9"/>
      <c r="M4" s="67"/>
      <c r="N4" s="4"/>
      <c r="O4" s="5"/>
      <c r="P4" s="6"/>
      <c r="Q4" s="6"/>
      <c r="R4" s="6"/>
    </row>
    <row r="5" spans="1:18" ht="15" customHeight="1" x14ac:dyDescent="0.25">
      <c r="A5" s="107" t="s">
        <v>192</v>
      </c>
      <c r="B5" s="105" t="s">
        <v>21</v>
      </c>
      <c r="C5" s="106" t="s">
        <v>72</v>
      </c>
      <c r="D5" s="118">
        <v>45748</v>
      </c>
      <c r="E5" s="121">
        <v>1500000</v>
      </c>
      <c r="F5" s="127">
        <f>0.1*E5</f>
        <v>150000</v>
      </c>
      <c r="G5" s="122">
        <v>0</v>
      </c>
      <c r="H5" s="122">
        <f t="shared" si="0"/>
        <v>150000</v>
      </c>
      <c r="I5" s="145" t="s">
        <v>193</v>
      </c>
      <c r="K5" s="9"/>
      <c r="L5" s="9"/>
      <c r="M5" s="67"/>
      <c r="N5" s="4"/>
      <c r="O5" s="5"/>
      <c r="P5" s="6"/>
      <c r="Q5" s="6"/>
      <c r="R5" s="6"/>
    </row>
    <row r="6" spans="1:18" ht="15" customHeight="1" x14ac:dyDescent="0.25">
      <c r="A6" s="107" t="s">
        <v>206</v>
      </c>
      <c r="B6" s="105" t="s">
        <v>21</v>
      </c>
      <c r="C6" s="106" t="s">
        <v>89</v>
      </c>
      <c r="D6" s="118">
        <v>45748</v>
      </c>
      <c r="E6" s="121">
        <v>600000</v>
      </c>
      <c r="F6" s="127">
        <f>0.1*E6</f>
        <v>60000</v>
      </c>
      <c r="G6" s="122">
        <v>0</v>
      </c>
      <c r="H6" s="122">
        <f t="shared" si="0"/>
        <v>60000</v>
      </c>
      <c r="I6" s="145" t="s">
        <v>217</v>
      </c>
      <c r="K6" s="129"/>
      <c r="L6" s="129"/>
      <c r="M6" s="130"/>
      <c r="N6" s="4"/>
      <c r="O6" s="5"/>
      <c r="P6" s="6"/>
      <c r="Q6" s="6"/>
      <c r="R6" s="6"/>
    </row>
    <row r="7" spans="1:18" ht="15" customHeight="1" x14ac:dyDescent="0.25">
      <c r="A7" s="107" t="s">
        <v>218</v>
      </c>
      <c r="B7" s="110" t="s">
        <v>57</v>
      </c>
      <c r="C7" s="109" t="s">
        <v>175</v>
      </c>
      <c r="D7" s="118">
        <v>45748</v>
      </c>
      <c r="E7" s="97" t="s">
        <v>181</v>
      </c>
      <c r="F7" s="119">
        <v>15000</v>
      </c>
      <c r="G7" s="122">
        <v>0</v>
      </c>
      <c r="H7" s="122">
        <f t="shared" si="0"/>
        <v>15000</v>
      </c>
      <c r="I7" s="145" t="s">
        <v>219</v>
      </c>
      <c r="K7" s="9"/>
      <c r="L7" s="9"/>
      <c r="M7" s="67"/>
      <c r="N7" s="4"/>
      <c r="O7" s="5"/>
      <c r="P7" s="6"/>
      <c r="Q7" s="6"/>
      <c r="R7" s="6"/>
    </row>
    <row r="8" spans="1:18" ht="15" customHeight="1" x14ac:dyDescent="0.25">
      <c r="A8" s="107" t="s">
        <v>220</v>
      </c>
      <c r="B8" s="110" t="s">
        <v>47</v>
      </c>
      <c r="C8" s="109" t="s">
        <v>60</v>
      </c>
      <c r="D8" s="16">
        <v>45778</v>
      </c>
      <c r="E8" s="97" t="s">
        <v>181</v>
      </c>
      <c r="F8" s="119">
        <v>30000</v>
      </c>
      <c r="G8" s="122">
        <v>0</v>
      </c>
      <c r="H8" s="122">
        <f t="shared" si="0"/>
        <v>30000</v>
      </c>
      <c r="I8" s="145" t="s">
        <v>221</v>
      </c>
      <c r="K8" s="38"/>
      <c r="L8" s="38"/>
      <c r="M8" s="77"/>
      <c r="N8" s="4"/>
      <c r="O8" s="5"/>
      <c r="P8" s="6"/>
      <c r="Q8" s="6"/>
      <c r="R8" s="6"/>
    </row>
    <row r="9" spans="1:18" ht="15" customHeight="1" x14ac:dyDescent="0.25">
      <c r="A9" s="107" t="s">
        <v>199</v>
      </c>
      <c r="B9" s="110" t="s">
        <v>21</v>
      </c>
      <c r="C9" s="109" t="s">
        <v>43</v>
      </c>
      <c r="D9" s="16">
        <v>45778</v>
      </c>
      <c r="E9" s="97" t="s">
        <v>181</v>
      </c>
      <c r="F9" s="119">
        <v>10000</v>
      </c>
      <c r="G9" s="122">
        <v>0</v>
      </c>
      <c r="H9" s="122">
        <f t="shared" si="0"/>
        <v>10000</v>
      </c>
      <c r="I9" s="145" t="s">
        <v>222</v>
      </c>
      <c r="K9" s="9"/>
      <c r="L9" s="9"/>
      <c r="M9" s="67"/>
      <c r="N9" s="4"/>
      <c r="O9" s="5"/>
      <c r="P9" s="6"/>
      <c r="Q9" s="6"/>
      <c r="R9" s="6"/>
    </row>
    <row r="10" spans="1:18" ht="15" customHeight="1" x14ac:dyDescent="0.25">
      <c r="A10" s="104" t="s">
        <v>204</v>
      </c>
      <c r="B10" s="105" t="s">
        <v>21</v>
      </c>
      <c r="C10" s="106" t="s">
        <v>205</v>
      </c>
      <c r="D10" s="118">
        <v>45778</v>
      </c>
      <c r="E10" s="121">
        <v>100000</v>
      </c>
      <c r="F10" s="122">
        <f t="shared" ref="F10:F18" si="1">0.1*E10</f>
        <v>10000</v>
      </c>
      <c r="G10" s="122">
        <v>0</v>
      </c>
      <c r="H10" s="122">
        <f t="shared" si="0"/>
        <v>10000</v>
      </c>
      <c r="I10" s="98"/>
      <c r="K10" s="9"/>
      <c r="L10" s="129"/>
      <c r="M10" s="130"/>
      <c r="N10" s="4"/>
      <c r="O10" s="5"/>
      <c r="P10" s="6"/>
      <c r="Q10" s="6"/>
      <c r="R10" s="6"/>
    </row>
    <row r="11" spans="1:18" ht="15" customHeight="1" x14ac:dyDescent="0.25">
      <c r="A11" s="104" t="s">
        <v>209</v>
      </c>
      <c r="B11" s="105" t="s">
        <v>16</v>
      </c>
      <c r="C11" s="106" t="s">
        <v>210</v>
      </c>
      <c r="D11" s="118">
        <v>45778</v>
      </c>
      <c r="E11" s="121">
        <v>300000</v>
      </c>
      <c r="F11" s="122">
        <f t="shared" si="1"/>
        <v>30000</v>
      </c>
      <c r="G11" s="122">
        <v>0</v>
      </c>
      <c r="H11" s="122">
        <f t="shared" si="0"/>
        <v>30000</v>
      </c>
      <c r="I11" s="98"/>
      <c r="K11" s="9"/>
      <c r="L11" s="9"/>
      <c r="M11" s="9"/>
      <c r="N11" s="4"/>
      <c r="O11" s="5"/>
      <c r="P11" s="6"/>
      <c r="Q11" s="6"/>
      <c r="R11" s="6"/>
    </row>
    <row r="12" spans="1:18" ht="15" customHeight="1" x14ac:dyDescent="0.25">
      <c r="A12" s="107" t="s">
        <v>157</v>
      </c>
      <c r="B12" s="110" t="s">
        <v>21</v>
      </c>
      <c r="C12" s="109" t="s">
        <v>85</v>
      </c>
      <c r="D12" s="118">
        <v>45778</v>
      </c>
      <c r="E12" s="121">
        <v>0</v>
      </c>
      <c r="F12" s="122">
        <f t="shared" si="1"/>
        <v>0</v>
      </c>
      <c r="G12" s="122">
        <v>0</v>
      </c>
      <c r="H12" s="122">
        <f t="shared" si="0"/>
        <v>0</v>
      </c>
      <c r="I12" s="145" t="s">
        <v>213</v>
      </c>
      <c r="K12" s="9"/>
      <c r="L12" s="9"/>
      <c r="M12" s="67"/>
      <c r="N12" s="4"/>
      <c r="O12" s="5"/>
      <c r="P12" s="6"/>
      <c r="Q12" s="6"/>
      <c r="R12" s="6"/>
    </row>
    <row r="13" spans="1:18" ht="15" customHeight="1" x14ac:dyDescent="0.25">
      <c r="A13" s="144" t="s">
        <v>223</v>
      </c>
      <c r="B13" s="115" t="s">
        <v>57</v>
      </c>
      <c r="C13" s="78" t="s">
        <v>224</v>
      </c>
      <c r="D13" s="118">
        <v>45778</v>
      </c>
      <c r="E13" s="121">
        <v>200000</v>
      </c>
      <c r="F13" s="126">
        <f t="shared" si="1"/>
        <v>20000</v>
      </c>
      <c r="G13" s="122">
        <v>0</v>
      </c>
      <c r="H13" s="122">
        <f t="shared" si="0"/>
        <v>20000</v>
      </c>
      <c r="I13" s="145" t="s">
        <v>207</v>
      </c>
      <c r="L13" s="33"/>
      <c r="M13" s="72"/>
      <c r="N13" s="4"/>
      <c r="O13" s="5"/>
      <c r="P13" s="6"/>
      <c r="Q13" s="6"/>
      <c r="R13" s="6"/>
    </row>
    <row r="14" spans="1:18" ht="15" customHeight="1" x14ac:dyDescent="0.25">
      <c r="A14" s="104" t="s">
        <v>211</v>
      </c>
      <c r="B14" s="105" t="s">
        <v>7</v>
      </c>
      <c r="C14" s="106" t="s">
        <v>212</v>
      </c>
      <c r="D14" s="118">
        <v>45809</v>
      </c>
      <c r="E14" s="121">
        <v>75000</v>
      </c>
      <c r="F14" s="126">
        <f t="shared" si="1"/>
        <v>7500</v>
      </c>
      <c r="G14" s="122">
        <v>0</v>
      </c>
      <c r="H14" s="122">
        <f t="shared" si="0"/>
        <v>7500</v>
      </c>
      <c r="I14" s="98"/>
      <c r="L14" s="33"/>
      <c r="M14" s="72"/>
      <c r="N14" s="4"/>
      <c r="O14" s="5"/>
      <c r="P14" s="6"/>
      <c r="Q14" s="6"/>
      <c r="R14" s="6"/>
    </row>
    <row r="15" spans="1:18" ht="15" customHeight="1" x14ac:dyDescent="0.25">
      <c r="A15" s="107" t="s">
        <v>15</v>
      </c>
      <c r="B15" s="110" t="s">
        <v>16</v>
      </c>
      <c r="C15" s="109" t="s">
        <v>17</v>
      </c>
      <c r="D15" s="118">
        <v>45809</v>
      </c>
      <c r="E15" s="121">
        <v>350000</v>
      </c>
      <c r="F15" s="126">
        <f t="shared" si="1"/>
        <v>35000</v>
      </c>
      <c r="G15" s="122">
        <v>0</v>
      </c>
      <c r="H15" s="122">
        <f t="shared" si="0"/>
        <v>35000</v>
      </c>
      <c r="I15" s="98"/>
      <c r="L15" s="33"/>
      <c r="M15" s="72"/>
      <c r="N15" s="4"/>
      <c r="O15" s="5"/>
      <c r="P15" s="6"/>
      <c r="Q15" s="6"/>
      <c r="R15" s="6"/>
    </row>
    <row r="16" spans="1:18" ht="15" customHeight="1" x14ac:dyDescent="0.25">
      <c r="A16" s="116" t="s">
        <v>100</v>
      </c>
      <c r="B16" s="43" t="s">
        <v>16</v>
      </c>
      <c r="C16" s="117" t="s">
        <v>101</v>
      </c>
      <c r="D16" s="118">
        <v>45809</v>
      </c>
      <c r="E16" s="121">
        <v>6500000</v>
      </c>
      <c r="F16" s="126">
        <f t="shared" si="1"/>
        <v>650000</v>
      </c>
      <c r="G16" s="122">
        <v>484740</v>
      </c>
      <c r="H16" s="122">
        <f t="shared" si="0"/>
        <v>165260</v>
      </c>
      <c r="I16" s="98"/>
      <c r="L16" s="33"/>
      <c r="M16" s="72"/>
      <c r="N16" s="4"/>
      <c r="O16" s="5"/>
      <c r="P16" s="6"/>
      <c r="Q16" s="6"/>
      <c r="R16" s="6"/>
    </row>
    <row r="17" spans="1:9" ht="15" customHeight="1" x14ac:dyDescent="0.25">
      <c r="A17" s="104" t="s">
        <v>225</v>
      </c>
      <c r="B17" s="105" t="s">
        <v>57</v>
      </c>
      <c r="C17" s="106" t="s">
        <v>171</v>
      </c>
      <c r="D17" s="118">
        <v>45809</v>
      </c>
      <c r="E17" s="121">
        <v>0</v>
      </c>
      <c r="F17" s="126">
        <f t="shared" si="1"/>
        <v>0</v>
      </c>
      <c r="G17" s="122">
        <v>0</v>
      </c>
      <c r="H17" s="122">
        <f t="shared" si="0"/>
        <v>0</v>
      </c>
      <c r="I17" s="145" t="s">
        <v>226</v>
      </c>
    </row>
    <row r="18" spans="1:9" ht="15" customHeight="1" x14ac:dyDescent="0.25">
      <c r="A18" s="104" t="s">
        <v>227</v>
      </c>
      <c r="B18" s="105" t="s">
        <v>16</v>
      </c>
      <c r="C18" s="106" t="s">
        <v>228</v>
      </c>
      <c r="D18" s="118">
        <v>45809</v>
      </c>
      <c r="E18" s="121">
        <v>530000</v>
      </c>
      <c r="F18" s="122">
        <f t="shared" si="1"/>
        <v>53000</v>
      </c>
      <c r="G18" s="122">
        <v>0</v>
      </c>
      <c r="H18" s="122">
        <f t="shared" si="0"/>
        <v>53000</v>
      </c>
      <c r="I18" s="98"/>
    </row>
    <row r="19" spans="1:9" ht="15" customHeight="1" x14ac:dyDescent="0.25">
      <c r="A19" s="104" t="s">
        <v>168</v>
      </c>
      <c r="B19" s="129" t="s">
        <v>151</v>
      </c>
      <c r="C19" s="130" t="s">
        <v>169</v>
      </c>
      <c r="D19" s="16">
        <v>45809</v>
      </c>
      <c r="E19" s="5" t="s">
        <v>181</v>
      </c>
      <c r="F19" s="119">
        <v>14000</v>
      </c>
      <c r="G19" s="122">
        <v>0</v>
      </c>
      <c r="H19" s="122">
        <f t="shared" si="0"/>
        <v>14000</v>
      </c>
      <c r="I19" s="98" t="s">
        <v>229</v>
      </c>
    </row>
    <row r="20" spans="1:9" ht="15" customHeight="1" x14ac:dyDescent="0.25">
      <c r="A20" s="107" t="s">
        <v>126</v>
      </c>
      <c r="B20" s="9" t="s">
        <v>107</v>
      </c>
      <c r="C20" s="67" t="s">
        <v>51</v>
      </c>
      <c r="D20" s="16">
        <v>45839</v>
      </c>
      <c r="E20" s="17">
        <v>10000000</v>
      </c>
      <c r="F20" s="122">
        <f>0.1*E20</f>
        <v>1000000</v>
      </c>
      <c r="G20" s="122">
        <v>146400</v>
      </c>
      <c r="H20" s="122">
        <f t="shared" si="0"/>
        <v>853600</v>
      </c>
      <c r="I20" s="145" t="s">
        <v>194</v>
      </c>
    </row>
    <row r="21" spans="1:9" ht="15" customHeight="1" x14ac:dyDescent="0.25">
      <c r="A21" s="104" t="s">
        <v>44</v>
      </c>
      <c r="B21" s="129" t="s">
        <v>16</v>
      </c>
      <c r="C21" s="130" t="s">
        <v>45</v>
      </c>
      <c r="D21" s="16">
        <v>45870</v>
      </c>
      <c r="E21" s="17">
        <v>500000</v>
      </c>
      <c r="F21" s="122">
        <f>0.1*E21</f>
        <v>50000</v>
      </c>
      <c r="G21" s="122">
        <v>0</v>
      </c>
      <c r="H21" s="122">
        <f t="shared" si="0"/>
        <v>50000</v>
      </c>
      <c r="I21" s="82" t="s">
        <v>176</v>
      </c>
    </row>
    <row r="22" spans="1:9" ht="15" customHeight="1" x14ac:dyDescent="0.25">
      <c r="A22" s="144" t="s">
        <v>61</v>
      </c>
      <c r="B22" s="115" t="s">
        <v>16</v>
      </c>
      <c r="C22" s="78" t="s">
        <v>45</v>
      </c>
      <c r="D22" s="118">
        <v>45870</v>
      </c>
      <c r="E22" s="121">
        <v>1700000</v>
      </c>
      <c r="F22" s="122">
        <f>0.1*E22</f>
        <v>170000</v>
      </c>
      <c r="G22" s="6">
        <v>113895</v>
      </c>
      <c r="H22" s="122">
        <f t="shared" si="0"/>
        <v>56105</v>
      </c>
      <c r="I22" s="82" t="s">
        <v>176</v>
      </c>
    </row>
    <row r="23" spans="1:9" x14ac:dyDescent="0.25">
      <c r="F23" s="122"/>
      <c r="G23" s="6"/>
      <c r="H23" s="6"/>
    </row>
    <row r="24" spans="1:9" x14ac:dyDescent="0.25">
      <c r="C24" s="128"/>
    </row>
    <row r="25" spans="1:9" x14ac:dyDescent="0.25">
      <c r="A25" s="132" t="s">
        <v>215</v>
      </c>
      <c r="B25" s="133" t="s">
        <v>5</v>
      </c>
      <c r="C25" s="134" t="s">
        <v>216</v>
      </c>
    </row>
    <row r="26" spans="1:9" x14ac:dyDescent="0.25">
      <c r="A26" s="135">
        <v>45748</v>
      </c>
      <c r="B26" s="34">
        <f>SUMIF(D:D,"4/1/2025",F:F)</f>
        <v>499000</v>
      </c>
      <c r="C26" s="34">
        <f>SUMIF(D:D,"4/1/2025",H:H)</f>
        <v>462265</v>
      </c>
    </row>
    <row r="27" spans="1:9" x14ac:dyDescent="0.25">
      <c r="A27" s="135">
        <v>45778</v>
      </c>
      <c r="B27" s="34">
        <f>SUMIF(D:D,"5/1/2025",F:F)</f>
        <v>100000</v>
      </c>
      <c r="C27" s="34">
        <f>SUMIF(D:D,"5/1/2025",H:H)</f>
        <v>100000</v>
      </c>
    </row>
    <row r="28" spans="1:9" x14ac:dyDescent="0.25">
      <c r="A28" s="135">
        <v>45809</v>
      </c>
      <c r="B28" s="34">
        <f>SUMIF(D:D,"6/1/2025",F:F)</f>
        <v>759500</v>
      </c>
      <c r="C28" s="34">
        <f>SUMIF(D:D,"6/1/2025",H:H)</f>
        <v>274760</v>
      </c>
    </row>
    <row r="29" spans="1:9" x14ac:dyDescent="0.25">
      <c r="A29" s="135">
        <v>45839</v>
      </c>
      <c r="B29" s="34">
        <f>SUMIF(D:D,"7/1/2025",F:F)</f>
        <v>1000000</v>
      </c>
      <c r="C29" s="34">
        <f>SUMIF(D:D,"7/1/2025",H:H)</f>
        <v>853600</v>
      </c>
    </row>
    <row r="30" spans="1:9" x14ac:dyDescent="0.25">
      <c r="A30" s="135">
        <v>45870</v>
      </c>
      <c r="B30" s="34">
        <f>SUMIF(D:D,"8/1/2025",F:F)</f>
        <v>220000</v>
      </c>
      <c r="C30" s="34">
        <f>SUMIF(D:D,"8/1/2025",H:H)</f>
        <v>106105</v>
      </c>
    </row>
  </sheetData>
  <autoFilter ref="A1:I22" xr:uid="{87267334-FB0F-4B5C-9926-8B490E0A53C3}">
    <sortState xmlns:xlrd2="http://schemas.microsoft.com/office/spreadsheetml/2017/richdata2" ref="A2:I22">
      <sortCondition ref="D1:D22"/>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CBAE2-2E0E-470F-9C81-B42631ACD441}">
  <sheetPr codeName="Sheet14"/>
  <dimension ref="A1:R48"/>
  <sheetViews>
    <sheetView workbookViewId="0"/>
  </sheetViews>
  <sheetFormatPr defaultRowHeight="15" x14ac:dyDescent="0.25"/>
  <cols>
    <col min="1" max="1" width="18.140625" style="32" customWidth="1"/>
    <col min="2" max="2" width="20" customWidth="1"/>
    <col min="3" max="3" width="21" customWidth="1"/>
    <col min="4" max="4" width="16.28515625" customWidth="1"/>
    <col min="5" max="5" width="18.28515625" bestFit="1" customWidth="1"/>
    <col min="6" max="8" width="17.85546875" customWidth="1"/>
    <col min="9" max="9" width="51.85546875" customWidth="1"/>
    <col min="11" max="11" width="9.5703125" bestFit="1" customWidth="1"/>
    <col min="12" max="12" width="14.85546875" bestFit="1" customWidth="1"/>
    <col min="15" max="15" width="14.85546875" bestFit="1" customWidth="1"/>
  </cols>
  <sheetData>
    <row r="1" spans="1:18" ht="30" x14ac:dyDescent="0.25">
      <c r="A1" s="88" t="s">
        <v>0</v>
      </c>
      <c r="B1" s="89" t="s">
        <v>1</v>
      </c>
      <c r="C1" s="89" t="s">
        <v>2</v>
      </c>
      <c r="D1" s="90" t="s">
        <v>54</v>
      </c>
      <c r="E1" s="91" t="s">
        <v>4</v>
      </c>
      <c r="F1" s="92" t="s">
        <v>5</v>
      </c>
      <c r="G1" s="92" t="s">
        <v>186</v>
      </c>
      <c r="H1" s="92" t="s">
        <v>187</v>
      </c>
      <c r="I1" s="93" t="s">
        <v>230</v>
      </c>
    </row>
    <row r="2" spans="1:18" ht="15" customHeight="1" x14ac:dyDescent="0.25">
      <c r="A2" s="144" t="s">
        <v>231</v>
      </c>
      <c r="B2" s="115" t="s">
        <v>232</v>
      </c>
      <c r="C2" s="78" t="s">
        <v>233</v>
      </c>
      <c r="D2" s="96">
        <v>45809</v>
      </c>
      <c r="E2" s="97">
        <v>380000</v>
      </c>
      <c r="F2" s="127">
        <f>0.1*E2</f>
        <v>38000</v>
      </c>
      <c r="G2" s="122">
        <v>0</v>
      </c>
      <c r="H2" s="122">
        <f>F2-G2</f>
        <v>38000</v>
      </c>
      <c r="I2" s="98" t="s">
        <v>234</v>
      </c>
      <c r="K2" s="9"/>
      <c r="L2" s="9"/>
      <c r="M2" s="67"/>
      <c r="N2" s="4"/>
      <c r="O2" s="5"/>
      <c r="P2" s="6"/>
      <c r="Q2" s="6"/>
      <c r="R2" s="6"/>
    </row>
    <row r="3" spans="1:18" ht="15" customHeight="1" x14ac:dyDescent="0.25">
      <c r="A3" s="144" t="s">
        <v>235</v>
      </c>
      <c r="B3" s="115" t="s">
        <v>57</v>
      </c>
      <c r="C3" s="78" t="s">
        <v>236</v>
      </c>
      <c r="D3" s="150">
        <v>45809</v>
      </c>
      <c r="E3" s="97">
        <v>0</v>
      </c>
      <c r="F3" s="127">
        <f>0.1*E3</f>
        <v>0</v>
      </c>
      <c r="G3" s="122">
        <v>0</v>
      </c>
      <c r="H3" s="122">
        <f>F3-G3</f>
        <v>0</v>
      </c>
      <c r="I3" s="98" t="s">
        <v>237</v>
      </c>
      <c r="K3" s="9"/>
      <c r="L3" s="9"/>
      <c r="M3" s="67"/>
      <c r="N3" s="4"/>
      <c r="O3" s="5"/>
      <c r="P3" s="6"/>
      <c r="Q3" s="6"/>
      <c r="R3" s="6"/>
    </row>
    <row r="4" spans="1:18" ht="15" customHeight="1" x14ac:dyDescent="0.25">
      <c r="A4" s="144" t="s">
        <v>238</v>
      </c>
      <c r="B4" s="115" t="s">
        <v>7</v>
      </c>
      <c r="C4" s="115" t="s">
        <v>239</v>
      </c>
      <c r="D4" s="4">
        <v>45778</v>
      </c>
      <c r="E4" s="76" t="s">
        <v>181</v>
      </c>
      <c r="F4" s="122">
        <v>12000</v>
      </c>
      <c r="G4" s="122">
        <v>0</v>
      </c>
      <c r="H4" s="122">
        <f>F4-G4</f>
        <v>12000</v>
      </c>
      <c r="I4" s="147"/>
      <c r="K4" s="38"/>
      <c r="L4" s="38"/>
      <c r="M4" s="77"/>
      <c r="N4" s="4"/>
      <c r="O4" s="5"/>
      <c r="P4" s="6"/>
      <c r="Q4" s="6"/>
      <c r="R4" s="6"/>
    </row>
    <row r="5" spans="1:18" ht="15" customHeight="1" x14ac:dyDescent="0.25">
      <c r="A5" s="144" t="s">
        <v>240</v>
      </c>
      <c r="B5" s="115" t="s">
        <v>241</v>
      </c>
      <c r="C5" s="115" t="s">
        <v>242</v>
      </c>
      <c r="D5" s="4">
        <v>45839</v>
      </c>
      <c r="E5" s="76" t="s">
        <v>181</v>
      </c>
      <c r="F5" s="122">
        <v>21000</v>
      </c>
      <c r="G5" s="122">
        <v>0</v>
      </c>
      <c r="H5" s="122">
        <v>21000</v>
      </c>
      <c r="I5" s="147" t="s">
        <v>243</v>
      </c>
      <c r="K5" s="9"/>
      <c r="L5" s="9"/>
      <c r="M5" s="67"/>
      <c r="N5" s="4"/>
      <c r="O5" s="5"/>
      <c r="P5" s="6"/>
      <c r="Q5" s="6"/>
      <c r="R5" s="6"/>
    </row>
    <row r="6" spans="1:18" ht="15" customHeight="1" x14ac:dyDescent="0.25">
      <c r="A6" s="144" t="s">
        <v>244</v>
      </c>
      <c r="B6" s="115" t="s">
        <v>57</v>
      </c>
      <c r="C6" s="115" t="s">
        <v>245</v>
      </c>
      <c r="D6" s="96">
        <v>45839</v>
      </c>
      <c r="E6" s="76" t="s">
        <v>181</v>
      </c>
      <c r="F6" s="122">
        <v>12000</v>
      </c>
      <c r="G6" s="122">
        <v>0</v>
      </c>
      <c r="H6" s="122">
        <f t="shared" ref="H6:H39" si="0">F6-G6</f>
        <v>12000</v>
      </c>
      <c r="I6" s="148" t="s">
        <v>246</v>
      </c>
      <c r="K6" s="9"/>
      <c r="L6" s="129"/>
      <c r="M6" s="130"/>
      <c r="N6" s="4"/>
      <c r="O6" s="5"/>
      <c r="P6" s="6"/>
      <c r="Q6" s="6"/>
      <c r="R6" s="6"/>
    </row>
    <row r="7" spans="1:18" ht="15" customHeight="1" x14ac:dyDescent="0.25">
      <c r="A7" s="116" t="s">
        <v>100</v>
      </c>
      <c r="B7" s="43" t="s">
        <v>16</v>
      </c>
      <c r="C7" s="117" t="s">
        <v>101</v>
      </c>
      <c r="D7" s="96">
        <v>45839</v>
      </c>
      <c r="E7" s="97" t="s">
        <v>181</v>
      </c>
      <c r="F7" s="122">
        <v>630000</v>
      </c>
      <c r="G7" s="122">
        <v>484740</v>
      </c>
      <c r="H7" s="122">
        <f t="shared" si="0"/>
        <v>145260</v>
      </c>
      <c r="I7" s="98" t="s">
        <v>247</v>
      </c>
      <c r="K7" s="9"/>
      <c r="L7" s="9"/>
      <c r="M7" s="9"/>
      <c r="N7" s="4"/>
      <c r="O7" s="5"/>
      <c r="P7" s="6"/>
      <c r="Q7" s="6"/>
      <c r="R7" s="6"/>
    </row>
    <row r="8" spans="1:18" ht="15" customHeight="1" x14ac:dyDescent="0.25">
      <c r="A8" s="107" t="s">
        <v>126</v>
      </c>
      <c r="B8" s="110" t="s">
        <v>16</v>
      </c>
      <c r="C8" s="109" t="s">
        <v>51</v>
      </c>
      <c r="D8" s="96">
        <v>45870</v>
      </c>
      <c r="E8" s="97" t="s">
        <v>181</v>
      </c>
      <c r="F8" s="122">
        <v>300000</v>
      </c>
      <c r="G8" s="122">
        <v>146400</v>
      </c>
      <c r="H8" s="122">
        <f t="shared" si="0"/>
        <v>153600</v>
      </c>
      <c r="I8" s="98" t="s">
        <v>248</v>
      </c>
      <c r="K8" s="9"/>
      <c r="L8" s="9"/>
      <c r="M8" s="67"/>
      <c r="N8" s="4"/>
      <c r="O8" s="5"/>
      <c r="P8" s="6"/>
      <c r="Q8" s="6"/>
      <c r="R8" s="6"/>
    </row>
    <row r="9" spans="1:18" ht="15" customHeight="1" x14ac:dyDescent="0.25">
      <c r="A9" s="144" t="s">
        <v>249</v>
      </c>
      <c r="B9" s="110" t="s">
        <v>16</v>
      </c>
      <c r="C9" s="115" t="s">
        <v>250</v>
      </c>
      <c r="D9" s="96">
        <v>45839</v>
      </c>
      <c r="E9" s="76" t="s">
        <v>181</v>
      </c>
      <c r="F9" s="126">
        <v>300000</v>
      </c>
      <c r="G9" s="122">
        <v>0</v>
      </c>
      <c r="H9" s="122">
        <f t="shared" si="0"/>
        <v>300000</v>
      </c>
      <c r="I9" s="148" t="s">
        <v>251</v>
      </c>
      <c r="L9" s="33"/>
      <c r="M9" s="72"/>
      <c r="N9" s="4"/>
      <c r="O9" s="5"/>
      <c r="P9" s="6"/>
      <c r="Q9" s="6"/>
      <c r="R9" s="6"/>
    </row>
    <row r="10" spans="1:18" ht="15" customHeight="1" x14ac:dyDescent="0.25">
      <c r="A10" s="144" t="s">
        <v>252</v>
      </c>
      <c r="B10" s="115" t="s">
        <v>156</v>
      </c>
      <c r="C10" s="78" t="s">
        <v>253</v>
      </c>
      <c r="D10" s="96">
        <v>45870</v>
      </c>
      <c r="E10" s="97">
        <v>300000</v>
      </c>
      <c r="F10" s="126">
        <f>0.1*E10</f>
        <v>30000</v>
      </c>
      <c r="G10" s="122">
        <v>0</v>
      </c>
      <c r="H10" s="122">
        <f t="shared" si="0"/>
        <v>30000</v>
      </c>
      <c r="I10" s="98" t="s">
        <v>254</v>
      </c>
      <c r="L10" s="33"/>
      <c r="M10" s="72"/>
      <c r="N10" s="4"/>
      <c r="O10" s="5"/>
      <c r="P10" s="6"/>
      <c r="Q10" s="6"/>
      <c r="R10" s="6"/>
    </row>
    <row r="11" spans="1:18" ht="15" customHeight="1" x14ac:dyDescent="0.25">
      <c r="A11" s="104" t="s">
        <v>227</v>
      </c>
      <c r="B11" s="105" t="s">
        <v>16</v>
      </c>
      <c r="C11" s="106" t="s">
        <v>228</v>
      </c>
      <c r="D11" s="96">
        <v>45839</v>
      </c>
      <c r="E11" s="97">
        <v>530000</v>
      </c>
      <c r="F11" s="126">
        <f>0.1*E11</f>
        <v>53000</v>
      </c>
      <c r="G11" s="122">
        <v>0</v>
      </c>
      <c r="H11" s="122">
        <f t="shared" si="0"/>
        <v>53000</v>
      </c>
      <c r="I11" s="98" t="s">
        <v>255</v>
      </c>
      <c r="L11" s="33"/>
      <c r="M11" s="72"/>
      <c r="N11" s="4"/>
      <c r="O11" s="5"/>
      <c r="P11" s="6"/>
      <c r="Q11" s="6"/>
      <c r="R11" s="6"/>
    </row>
    <row r="12" spans="1:18" ht="15" customHeight="1" x14ac:dyDescent="0.25">
      <c r="A12" s="107" t="s">
        <v>256</v>
      </c>
      <c r="B12" s="105" t="s">
        <v>21</v>
      </c>
      <c r="C12" s="106" t="s">
        <v>72</v>
      </c>
      <c r="D12" s="96">
        <v>45778</v>
      </c>
      <c r="E12" s="97">
        <v>873402.13</v>
      </c>
      <c r="F12" s="126">
        <f>0.1*E12</f>
        <v>87340.213000000003</v>
      </c>
      <c r="G12" s="122">
        <v>0</v>
      </c>
      <c r="H12" s="122">
        <f t="shared" si="0"/>
        <v>87340.213000000003</v>
      </c>
      <c r="I12" s="98"/>
      <c r="L12" s="33"/>
      <c r="M12" s="72"/>
      <c r="N12" s="4"/>
      <c r="O12" s="5"/>
      <c r="P12" s="6"/>
      <c r="Q12" s="6"/>
      <c r="R12" s="6"/>
    </row>
    <row r="13" spans="1:18" ht="15" customHeight="1" x14ac:dyDescent="0.25">
      <c r="A13" s="107" t="s">
        <v>257</v>
      </c>
      <c r="B13" s="105" t="s">
        <v>21</v>
      </c>
      <c r="C13" s="106" t="s">
        <v>72</v>
      </c>
      <c r="D13" s="96">
        <v>45778</v>
      </c>
      <c r="E13" s="97">
        <v>2500000</v>
      </c>
      <c r="F13" s="126">
        <f>0.1*E13</f>
        <v>250000</v>
      </c>
      <c r="G13" s="122">
        <v>0</v>
      </c>
      <c r="H13" s="122">
        <f t="shared" si="0"/>
        <v>250000</v>
      </c>
      <c r="I13" s="98"/>
    </row>
    <row r="14" spans="1:18" ht="15" customHeight="1" x14ac:dyDescent="0.25">
      <c r="A14" s="144" t="s">
        <v>258</v>
      </c>
      <c r="B14" s="115" t="s">
        <v>16</v>
      </c>
      <c r="C14" s="78" t="s">
        <v>19</v>
      </c>
      <c r="D14" s="96">
        <v>45870</v>
      </c>
      <c r="E14" s="97">
        <v>350000</v>
      </c>
      <c r="F14" s="122">
        <f>0.1*E14</f>
        <v>35000</v>
      </c>
      <c r="G14" s="122">
        <v>0</v>
      </c>
      <c r="H14" s="122">
        <f t="shared" si="0"/>
        <v>35000</v>
      </c>
      <c r="I14" s="98"/>
    </row>
    <row r="15" spans="1:18" ht="15" customHeight="1" x14ac:dyDescent="0.25">
      <c r="A15" s="144" t="s">
        <v>259</v>
      </c>
      <c r="B15" s="33" t="s">
        <v>107</v>
      </c>
      <c r="C15" s="33" t="s">
        <v>260</v>
      </c>
      <c r="D15" s="4">
        <v>45809</v>
      </c>
      <c r="E15" t="s">
        <v>181</v>
      </c>
      <c r="F15" s="122">
        <v>21000</v>
      </c>
      <c r="G15" s="122">
        <v>0</v>
      </c>
      <c r="H15" s="122">
        <f t="shared" si="0"/>
        <v>21000</v>
      </c>
      <c r="I15" s="147" t="s">
        <v>261</v>
      </c>
    </row>
    <row r="16" spans="1:18" ht="15" customHeight="1" x14ac:dyDescent="0.25">
      <c r="A16" s="104" t="s">
        <v>211</v>
      </c>
      <c r="B16" s="129" t="s">
        <v>7</v>
      </c>
      <c r="C16" s="130" t="s">
        <v>212</v>
      </c>
      <c r="D16" s="4">
        <v>45809</v>
      </c>
      <c r="E16" s="5">
        <v>400000</v>
      </c>
      <c r="F16" s="122">
        <f>0.1*E16</f>
        <v>40000</v>
      </c>
      <c r="G16" s="122">
        <v>0</v>
      </c>
      <c r="H16" s="122">
        <f t="shared" si="0"/>
        <v>40000</v>
      </c>
      <c r="I16" s="98" t="s">
        <v>262</v>
      </c>
    </row>
    <row r="17" spans="1:9" ht="15" customHeight="1" x14ac:dyDescent="0.25">
      <c r="A17" s="104" t="s">
        <v>204</v>
      </c>
      <c r="B17" s="129" t="s">
        <v>21</v>
      </c>
      <c r="C17" s="130" t="s">
        <v>205</v>
      </c>
      <c r="D17" s="4">
        <v>45778</v>
      </c>
      <c r="E17" s="5">
        <v>100000</v>
      </c>
      <c r="F17" s="122">
        <f>0.1*E17</f>
        <v>10000</v>
      </c>
      <c r="G17" s="122">
        <v>0</v>
      </c>
      <c r="H17" s="122">
        <f t="shared" si="0"/>
        <v>10000</v>
      </c>
      <c r="I17" s="67" t="s">
        <v>263</v>
      </c>
    </row>
    <row r="18" spans="1:9" ht="15" customHeight="1" x14ac:dyDescent="0.25">
      <c r="A18" s="107" t="s">
        <v>157</v>
      </c>
      <c r="B18" s="110" t="s">
        <v>21</v>
      </c>
      <c r="C18" s="109" t="s">
        <v>85</v>
      </c>
      <c r="D18" s="96">
        <v>45809</v>
      </c>
      <c r="E18" s="97">
        <v>200000</v>
      </c>
      <c r="F18" s="122">
        <f>0.1*E18</f>
        <v>20000</v>
      </c>
      <c r="G18" s="6">
        <v>0</v>
      </c>
      <c r="H18" s="122">
        <f t="shared" si="0"/>
        <v>20000</v>
      </c>
      <c r="I18" s="67" t="s">
        <v>264</v>
      </c>
    </row>
    <row r="19" spans="1:9" ht="15" customHeight="1" x14ac:dyDescent="0.25">
      <c r="A19" s="32" t="s">
        <v>265</v>
      </c>
      <c r="B19" s="33" t="s">
        <v>107</v>
      </c>
      <c r="C19" s="33" t="s">
        <v>33</v>
      </c>
      <c r="D19" s="4">
        <v>45870</v>
      </c>
      <c r="E19" t="s">
        <v>181</v>
      </c>
      <c r="F19" s="122">
        <v>25000</v>
      </c>
      <c r="G19" s="6">
        <v>0</v>
      </c>
      <c r="H19" s="122">
        <f t="shared" si="0"/>
        <v>25000</v>
      </c>
      <c r="I19" t="s">
        <v>266</v>
      </c>
    </row>
    <row r="20" spans="1:9" ht="15" customHeight="1" x14ac:dyDescent="0.25">
      <c r="A20" s="32" t="s">
        <v>267</v>
      </c>
      <c r="B20" s="33" t="s">
        <v>232</v>
      </c>
      <c r="C20" s="72" t="s">
        <v>268</v>
      </c>
      <c r="D20" s="4">
        <v>45778</v>
      </c>
      <c r="E20" s="5">
        <v>130000</v>
      </c>
      <c r="F20" s="122">
        <f>0.1*E20</f>
        <v>13000</v>
      </c>
      <c r="G20" s="6">
        <v>0</v>
      </c>
      <c r="H20" s="122">
        <f t="shared" si="0"/>
        <v>13000</v>
      </c>
      <c r="I20" s="67" t="s">
        <v>269</v>
      </c>
    </row>
    <row r="21" spans="1:9" ht="15" customHeight="1" x14ac:dyDescent="0.25">
      <c r="A21" s="32" t="s">
        <v>270</v>
      </c>
      <c r="B21" s="33" t="s">
        <v>47</v>
      </c>
      <c r="C21" s="33" t="s">
        <v>33</v>
      </c>
      <c r="D21" s="4">
        <v>45778</v>
      </c>
      <c r="E21" s="5" t="s">
        <v>181</v>
      </c>
      <c r="F21" s="122">
        <v>9000</v>
      </c>
      <c r="G21" s="6">
        <v>0</v>
      </c>
      <c r="H21" s="122">
        <f t="shared" si="0"/>
        <v>9000</v>
      </c>
      <c r="I21" t="s">
        <v>271</v>
      </c>
    </row>
    <row r="22" spans="1:9" ht="15" customHeight="1" x14ac:dyDescent="0.25">
      <c r="A22" s="32" t="s">
        <v>272</v>
      </c>
      <c r="B22" s="33" t="s">
        <v>7</v>
      </c>
      <c r="C22" s="72" t="s">
        <v>273</v>
      </c>
      <c r="D22" s="4">
        <v>45809</v>
      </c>
      <c r="E22" s="5">
        <v>250000</v>
      </c>
      <c r="F22" s="122">
        <f>0.1*E22</f>
        <v>25000</v>
      </c>
      <c r="G22" s="6">
        <v>0</v>
      </c>
      <c r="H22" s="122">
        <f t="shared" si="0"/>
        <v>25000</v>
      </c>
      <c r="I22" s="67" t="s">
        <v>274</v>
      </c>
    </row>
    <row r="23" spans="1:9" ht="15" customHeight="1" x14ac:dyDescent="0.25">
      <c r="A23" s="9" t="s">
        <v>220</v>
      </c>
      <c r="B23" s="9" t="s">
        <v>47</v>
      </c>
      <c r="C23" s="67" t="s">
        <v>60</v>
      </c>
      <c r="D23" s="4">
        <v>45809</v>
      </c>
      <c r="E23" s="5" t="s">
        <v>181</v>
      </c>
      <c r="F23" s="122">
        <v>35000</v>
      </c>
      <c r="G23" s="6">
        <v>0</v>
      </c>
      <c r="H23" s="122">
        <f t="shared" si="0"/>
        <v>35000</v>
      </c>
      <c r="I23" s="67" t="s">
        <v>221</v>
      </c>
    </row>
    <row r="24" spans="1:9" ht="15" customHeight="1" x14ac:dyDescent="0.25">
      <c r="A24" s="9" t="s">
        <v>199</v>
      </c>
      <c r="B24" s="9" t="s">
        <v>21</v>
      </c>
      <c r="C24" s="67" t="s">
        <v>43</v>
      </c>
      <c r="D24" s="4">
        <v>45778</v>
      </c>
      <c r="E24" s="5" t="s">
        <v>181</v>
      </c>
      <c r="F24" s="122">
        <v>10500</v>
      </c>
      <c r="G24" s="6">
        <v>0</v>
      </c>
      <c r="H24" s="122">
        <f t="shared" si="0"/>
        <v>10500</v>
      </c>
      <c r="I24" s="67" t="s">
        <v>275</v>
      </c>
    </row>
    <row r="25" spans="1:9" ht="15" customHeight="1" x14ac:dyDescent="0.25">
      <c r="A25" s="129" t="s">
        <v>44</v>
      </c>
      <c r="B25" s="129" t="s">
        <v>16</v>
      </c>
      <c r="C25" s="130" t="s">
        <v>45</v>
      </c>
      <c r="D25" s="4">
        <v>45809</v>
      </c>
      <c r="E25" s="5">
        <v>500000</v>
      </c>
      <c r="F25" s="122">
        <f>0.1*E25</f>
        <v>50000</v>
      </c>
      <c r="G25" s="6">
        <v>0</v>
      </c>
      <c r="H25" s="122">
        <f t="shared" si="0"/>
        <v>50000</v>
      </c>
      <c r="I25" s="67" t="s">
        <v>276</v>
      </c>
    </row>
    <row r="26" spans="1:9" ht="15" customHeight="1" x14ac:dyDescent="0.25">
      <c r="A26" s="32" t="s">
        <v>61</v>
      </c>
      <c r="B26" s="33" t="s">
        <v>16</v>
      </c>
      <c r="C26" s="72" t="s">
        <v>45</v>
      </c>
      <c r="D26" s="4">
        <v>45809</v>
      </c>
      <c r="E26" s="5">
        <v>1700000</v>
      </c>
      <c r="F26" s="122">
        <f>0.1*E26</f>
        <v>170000</v>
      </c>
      <c r="G26" s="6">
        <v>113895</v>
      </c>
      <c r="H26" s="122">
        <f t="shared" si="0"/>
        <v>56105</v>
      </c>
      <c r="I26" s="67" t="s">
        <v>276</v>
      </c>
    </row>
    <row r="27" spans="1:9" x14ac:dyDescent="0.25">
      <c r="A27" s="9" t="s">
        <v>15</v>
      </c>
      <c r="B27" s="9" t="s">
        <v>16</v>
      </c>
      <c r="C27" s="67" t="s">
        <v>17</v>
      </c>
      <c r="D27" s="4">
        <v>45809</v>
      </c>
      <c r="E27" s="5">
        <v>350000</v>
      </c>
      <c r="F27" s="122">
        <f>0.1*E27</f>
        <v>35000</v>
      </c>
      <c r="G27" s="6">
        <v>0</v>
      </c>
      <c r="H27" s="122">
        <f t="shared" si="0"/>
        <v>35000</v>
      </c>
      <c r="I27" s="67"/>
    </row>
    <row r="28" spans="1:9" ht="30" x14ac:dyDescent="0.25">
      <c r="A28" s="32" t="s">
        <v>277</v>
      </c>
      <c r="B28" s="33" t="s">
        <v>57</v>
      </c>
      <c r="C28" s="33" t="s">
        <v>278</v>
      </c>
      <c r="D28" s="4">
        <v>45870</v>
      </c>
      <c r="E28" t="s">
        <v>181</v>
      </c>
      <c r="F28" s="122">
        <v>15000</v>
      </c>
      <c r="G28" s="6">
        <v>0</v>
      </c>
      <c r="H28" s="122">
        <f t="shared" si="0"/>
        <v>15000</v>
      </c>
      <c r="I28" s="32" t="s">
        <v>279</v>
      </c>
    </row>
    <row r="29" spans="1:9" ht="30" x14ac:dyDescent="0.25">
      <c r="A29" s="129" t="s">
        <v>168</v>
      </c>
      <c r="B29" s="129" t="s">
        <v>151</v>
      </c>
      <c r="C29" s="130" t="s">
        <v>169</v>
      </c>
      <c r="D29" s="4">
        <v>45809</v>
      </c>
      <c r="E29" s="5" t="s">
        <v>181</v>
      </c>
      <c r="F29" s="122">
        <v>14000</v>
      </c>
      <c r="G29" s="6">
        <v>0</v>
      </c>
      <c r="H29" s="122">
        <f t="shared" si="0"/>
        <v>14000</v>
      </c>
      <c r="I29" s="67" t="s">
        <v>229</v>
      </c>
    </row>
    <row r="30" spans="1:9" x14ac:dyDescent="0.25">
      <c r="A30" s="32" t="s">
        <v>280</v>
      </c>
      <c r="B30" s="33" t="s">
        <v>107</v>
      </c>
      <c r="C30" s="33" t="s">
        <v>74</v>
      </c>
      <c r="D30" s="4">
        <v>45931</v>
      </c>
      <c r="E30" t="s">
        <v>181</v>
      </c>
      <c r="F30" s="122">
        <v>30000</v>
      </c>
      <c r="G30" s="6">
        <v>0</v>
      </c>
      <c r="H30" s="122">
        <f t="shared" si="0"/>
        <v>30000</v>
      </c>
      <c r="I30" t="s">
        <v>281</v>
      </c>
    </row>
    <row r="31" spans="1:9" x14ac:dyDescent="0.25">
      <c r="A31" s="129" t="s">
        <v>209</v>
      </c>
      <c r="B31" s="129" t="s">
        <v>16</v>
      </c>
      <c r="C31" s="130" t="s">
        <v>210</v>
      </c>
      <c r="D31" s="4">
        <v>45778</v>
      </c>
      <c r="E31" s="5">
        <v>350000</v>
      </c>
      <c r="F31" s="122">
        <f>0.1*E31</f>
        <v>35000</v>
      </c>
      <c r="G31" s="6">
        <v>0</v>
      </c>
      <c r="H31" s="122">
        <f t="shared" si="0"/>
        <v>35000</v>
      </c>
      <c r="I31" s="67"/>
    </row>
    <row r="32" spans="1:9" x14ac:dyDescent="0.25">
      <c r="A32" s="32" t="s">
        <v>282</v>
      </c>
      <c r="B32" s="33" t="s">
        <v>107</v>
      </c>
      <c r="C32" s="33" t="s">
        <v>283</v>
      </c>
      <c r="D32" s="4">
        <v>45809</v>
      </c>
      <c r="E32" t="s">
        <v>181</v>
      </c>
      <c r="F32" s="122">
        <v>35000</v>
      </c>
      <c r="G32" s="6">
        <v>0</v>
      </c>
      <c r="H32" s="122">
        <f t="shared" si="0"/>
        <v>35000</v>
      </c>
      <c r="I32" t="s">
        <v>266</v>
      </c>
    </row>
    <row r="33" spans="1:9" x14ac:dyDescent="0.25">
      <c r="A33" s="32" t="s">
        <v>284</v>
      </c>
      <c r="B33" s="33" t="s">
        <v>232</v>
      </c>
      <c r="C33" s="72" t="s">
        <v>285</v>
      </c>
      <c r="D33" s="4">
        <v>45809</v>
      </c>
      <c r="E33" s="5">
        <v>340000</v>
      </c>
      <c r="F33" s="122">
        <f>0.1*E33</f>
        <v>34000</v>
      </c>
      <c r="G33" s="6">
        <v>0</v>
      </c>
      <c r="H33" s="122">
        <f t="shared" si="0"/>
        <v>34000</v>
      </c>
      <c r="I33" s="67" t="s">
        <v>234</v>
      </c>
    </row>
    <row r="34" spans="1:9" x14ac:dyDescent="0.25">
      <c r="A34" s="32" t="s">
        <v>286</v>
      </c>
      <c r="B34" s="33" t="s">
        <v>107</v>
      </c>
      <c r="C34" s="33" t="s">
        <v>43</v>
      </c>
      <c r="D34" s="4">
        <v>45778</v>
      </c>
      <c r="E34" t="s">
        <v>181</v>
      </c>
      <c r="F34" s="122">
        <v>10000</v>
      </c>
      <c r="G34" s="6">
        <v>0</v>
      </c>
      <c r="H34" s="122">
        <f t="shared" si="0"/>
        <v>10000</v>
      </c>
      <c r="I34" t="s">
        <v>287</v>
      </c>
    </row>
    <row r="35" spans="1:9" x14ac:dyDescent="0.25">
      <c r="A35" s="32" t="s">
        <v>288</v>
      </c>
      <c r="B35" s="33" t="s">
        <v>107</v>
      </c>
      <c r="C35" s="33" t="s">
        <v>17</v>
      </c>
      <c r="D35" s="4">
        <v>45809</v>
      </c>
      <c r="E35" t="s">
        <v>181</v>
      </c>
      <c r="F35" s="122">
        <v>15000</v>
      </c>
      <c r="G35" s="6">
        <v>0</v>
      </c>
      <c r="H35" s="122">
        <f t="shared" si="0"/>
        <v>15000</v>
      </c>
      <c r="I35" t="s">
        <v>289</v>
      </c>
    </row>
    <row r="36" spans="1:9" x14ac:dyDescent="0.25">
      <c r="A36" s="129" t="s">
        <v>225</v>
      </c>
      <c r="B36" s="129" t="s">
        <v>57</v>
      </c>
      <c r="C36" s="130" t="s">
        <v>171</v>
      </c>
      <c r="D36" s="4">
        <v>45809</v>
      </c>
      <c r="E36" s="5">
        <v>120000</v>
      </c>
      <c r="F36" s="122">
        <f>0.1*E36</f>
        <v>12000</v>
      </c>
      <c r="G36" s="6">
        <v>0</v>
      </c>
      <c r="H36" s="122">
        <f t="shared" si="0"/>
        <v>12000</v>
      </c>
      <c r="I36" s="149" t="s">
        <v>290</v>
      </c>
    </row>
    <row r="37" spans="1:9" x14ac:dyDescent="0.25">
      <c r="A37" s="32" t="s">
        <v>223</v>
      </c>
      <c r="B37" s="33" t="s">
        <v>57</v>
      </c>
      <c r="C37" s="72" t="s">
        <v>224</v>
      </c>
      <c r="D37" s="4">
        <v>45809</v>
      </c>
      <c r="E37" s="5">
        <v>120000</v>
      </c>
      <c r="F37" s="122">
        <f>0.1*E37</f>
        <v>12000</v>
      </c>
      <c r="G37" s="6">
        <v>0</v>
      </c>
      <c r="H37" s="122">
        <f t="shared" si="0"/>
        <v>12000</v>
      </c>
      <c r="I37" s="67" t="s">
        <v>291</v>
      </c>
    </row>
    <row r="38" spans="1:9" ht="30" x14ac:dyDescent="0.25">
      <c r="A38" s="32" t="s">
        <v>292</v>
      </c>
      <c r="B38" s="33" t="s">
        <v>57</v>
      </c>
      <c r="C38" s="33" t="s">
        <v>293</v>
      </c>
      <c r="D38" s="4">
        <v>45778</v>
      </c>
      <c r="E38" t="s">
        <v>181</v>
      </c>
      <c r="F38" s="122">
        <v>8000</v>
      </c>
      <c r="G38" s="6">
        <v>0</v>
      </c>
      <c r="H38" s="122">
        <f t="shared" si="0"/>
        <v>8000</v>
      </c>
      <c r="I38" s="32" t="s">
        <v>294</v>
      </c>
    </row>
    <row r="39" spans="1:9" x14ac:dyDescent="0.25">
      <c r="A39" s="32" t="s">
        <v>295</v>
      </c>
      <c r="B39" s="33" t="s">
        <v>47</v>
      </c>
      <c r="C39" s="72" t="s">
        <v>296</v>
      </c>
      <c r="D39" s="4">
        <v>45839</v>
      </c>
      <c r="E39" s="5">
        <v>250000</v>
      </c>
      <c r="F39" s="122">
        <f>0.1*E39</f>
        <v>25000</v>
      </c>
      <c r="G39" s="6">
        <v>0</v>
      </c>
      <c r="H39" s="122">
        <f t="shared" si="0"/>
        <v>25000</v>
      </c>
      <c r="I39" s="67" t="s">
        <v>297</v>
      </c>
    </row>
    <row r="40" spans="1:9" x14ac:dyDescent="0.25">
      <c r="F40" s="6"/>
      <c r="G40" s="6"/>
      <c r="H40" s="6"/>
    </row>
    <row r="41" spans="1:9" x14ac:dyDescent="0.25">
      <c r="C41" s="128"/>
    </row>
    <row r="42" spans="1:9" x14ac:dyDescent="0.25">
      <c r="A42" s="132" t="s">
        <v>215</v>
      </c>
      <c r="B42" s="133" t="s">
        <v>5</v>
      </c>
      <c r="C42" s="134" t="s">
        <v>216</v>
      </c>
    </row>
    <row r="43" spans="1:9" x14ac:dyDescent="0.25">
      <c r="A43" s="135">
        <v>45778</v>
      </c>
      <c r="B43" s="34">
        <f>SUMIF(D:D,"5/1/2025",F:F)</f>
        <v>444840.21299999999</v>
      </c>
      <c r="C43" s="34">
        <f>SUMIF(D:D,"5/1/2025",H:H)</f>
        <v>444840.21299999999</v>
      </c>
    </row>
    <row r="44" spans="1:9" x14ac:dyDescent="0.25">
      <c r="A44" s="135">
        <v>45809</v>
      </c>
      <c r="B44" s="34">
        <f>SUMIF(D:D,"6/1/2025",F:F)</f>
        <v>556000</v>
      </c>
      <c r="C44" s="34">
        <f>SUMIF(D:D,"6/1/2025",H:H)</f>
        <v>442105</v>
      </c>
    </row>
    <row r="45" spans="1:9" x14ac:dyDescent="0.25">
      <c r="A45" s="135">
        <v>45839</v>
      </c>
      <c r="B45" s="34">
        <f>SUMIF(D:D,"7/1/2025",F:F)</f>
        <v>1041000</v>
      </c>
      <c r="C45" s="34">
        <f>SUMIF(D:D,"7/1/2025",H:H)</f>
        <v>556260</v>
      </c>
    </row>
    <row r="46" spans="1:9" x14ac:dyDescent="0.25">
      <c r="A46" s="135">
        <v>45870</v>
      </c>
      <c r="B46" s="34">
        <f>SUMIF(D:D,"8/1/2025",F:F)</f>
        <v>405000</v>
      </c>
      <c r="C46" s="34">
        <f>SUMIF(D:D,"8/1/2025",H:H)</f>
        <v>258600</v>
      </c>
    </row>
    <row r="47" spans="1:9" x14ac:dyDescent="0.25">
      <c r="A47" s="146">
        <v>45901</v>
      </c>
      <c r="B47" s="34">
        <f>SUMIF(D:D,"9/1/2025",F:F)</f>
        <v>0</v>
      </c>
      <c r="C47" s="34">
        <f>SUMIF(D:D,"9/1/2025",H:H)</f>
        <v>0</v>
      </c>
    </row>
    <row r="48" spans="1:9" x14ac:dyDescent="0.25">
      <c r="A48" s="146">
        <v>45931</v>
      </c>
      <c r="B48" s="34">
        <f>SUMIF(D:D,"10/1/2025",F:F)</f>
        <v>30000</v>
      </c>
      <c r="C48" s="34">
        <f>SUMIF(D:D,"10/1/2025",H:H)</f>
        <v>30000</v>
      </c>
    </row>
  </sheetData>
  <autoFilter ref="A1:I39" xr:uid="{87267334-FB0F-4B5C-9926-8B490E0A53C3}">
    <sortState xmlns:xlrd2="http://schemas.microsoft.com/office/spreadsheetml/2017/richdata2" ref="A2:I39">
      <sortCondition ref="A1:A39"/>
    </sortState>
  </autoFilter>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E7C65-A7DF-4491-AA9B-B7324202443B}">
  <sheetPr codeName="Sheet15"/>
  <dimension ref="A1:R60"/>
  <sheetViews>
    <sheetView workbookViewId="0"/>
  </sheetViews>
  <sheetFormatPr defaultRowHeight="15" x14ac:dyDescent="0.25"/>
  <cols>
    <col min="1" max="1" width="18.140625" style="32" customWidth="1"/>
    <col min="2" max="2" width="20" customWidth="1"/>
    <col min="3" max="3" width="21" customWidth="1"/>
    <col min="4" max="4" width="16.28515625" customWidth="1"/>
    <col min="5" max="5" width="18.28515625" bestFit="1" customWidth="1"/>
    <col min="6" max="8" width="17.85546875" customWidth="1"/>
    <col min="9" max="9" width="51.85546875" customWidth="1"/>
    <col min="11" max="11" width="9.5703125" bestFit="1" customWidth="1"/>
    <col min="12" max="12" width="14.85546875" bestFit="1" customWidth="1"/>
    <col min="15" max="15" width="14.85546875" bestFit="1" customWidth="1"/>
  </cols>
  <sheetData>
    <row r="1" spans="1:18" ht="30" x14ac:dyDescent="0.25">
      <c r="A1" s="88" t="s">
        <v>0</v>
      </c>
      <c r="B1" s="89" t="s">
        <v>1</v>
      </c>
      <c r="C1" s="89" t="s">
        <v>2</v>
      </c>
      <c r="D1" s="90" t="s">
        <v>54</v>
      </c>
      <c r="E1" s="91" t="s">
        <v>4</v>
      </c>
      <c r="F1" s="92" t="s">
        <v>5</v>
      </c>
      <c r="G1" s="92" t="s">
        <v>186</v>
      </c>
      <c r="H1" s="92" t="s">
        <v>187</v>
      </c>
      <c r="I1" s="93" t="s">
        <v>230</v>
      </c>
    </row>
    <row r="2" spans="1:18" ht="15" customHeight="1" x14ac:dyDescent="0.25">
      <c r="A2" s="151" t="s">
        <v>270</v>
      </c>
      <c r="B2" s="115" t="s">
        <v>47</v>
      </c>
      <c r="C2" s="115" t="s">
        <v>33</v>
      </c>
      <c r="D2" s="96">
        <v>45809</v>
      </c>
      <c r="E2" s="97" t="s">
        <v>181</v>
      </c>
      <c r="F2" s="127">
        <v>12000</v>
      </c>
      <c r="G2" s="122">
        <v>0</v>
      </c>
      <c r="H2" s="122">
        <f t="shared" ref="H2:H33" si="0">F2-G2</f>
        <v>12000</v>
      </c>
      <c r="I2" s="98" t="s">
        <v>298</v>
      </c>
      <c r="K2" s="9"/>
      <c r="L2" s="9"/>
      <c r="M2" s="67"/>
      <c r="N2" s="4"/>
      <c r="O2" s="5"/>
      <c r="P2" s="6"/>
      <c r="Q2" s="6"/>
      <c r="R2" s="6"/>
    </row>
    <row r="3" spans="1:18" ht="15" customHeight="1" x14ac:dyDescent="0.25">
      <c r="A3" s="151" t="s">
        <v>99</v>
      </c>
      <c r="B3" s="76" t="s">
        <v>7</v>
      </c>
      <c r="C3" s="76" t="s">
        <v>83</v>
      </c>
      <c r="D3" s="4">
        <v>45809</v>
      </c>
      <c r="E3" s="76" t="s">
        <v>181</v>
      </c>
      <c r="F3" s="122">
        <v>16000</v>
      </c>
      <c r="G3" s="122">
        <v>0</v>
      </c>
      <c r="H3" s="122">
        <f t="shared" si="0"/>
        <v>16000</v>
      </c>
      <c r="I3" s="147" t="s">
        <v>299</v>
      </c>
      <c r="K3" s="38"/>
      <c r="L3" s="38"/>
      <c r="M3" s="77"/>
      <c r="N3" s="4"/>
      <c r="O3" s="5"/>
      <c r="P3" s="6"/>
      <c r="Q3" s="6"/>
      <c r="R3" s="6"/>
    </row>
    <row r="4" spans="1:18" ht="15" customHeight="1" x14ac:dyDescent="0.25">
      <c r="A4" s="155" t="s">
        <v>211</v>
      </c>
      <c r="B4" s="105" t="s">
        <v>7</v>
      </c>
      <c r="C4" s="106" t="s">
        <v>212</v>
      </c>
      <c r="D4" s="4">
        <v>45809</v>
      </c>
      <c r="E4" s="97">
        <v>400000</v>
      </c>
      <c r="F4" s="122">
        <f>0.1*E4</f>
        <v>40000</v>
      </c>
      <c r="G4" s="122">
        <v>0</v>
      </c>
      <c r="H4" s="122">
        <f t="shared" si="0"/>
        <v>40000</v>
      </c>
      <c r="I4" s="98" t="s">
        <v>300</v>
      </c>
      <c r="K4" s="9"/>
      <c r="L4" s="9"/>
      <c r="M4" s="67"/>
      <c r="N4" s="4"/>
      <c r="O4" s="5"/>
      <c r="P4" s="6"/>
      <c r="Q4" s="6"/>
      <c r="R4" s="6"/>
    </row>
    <row r="5" spans="1:18" ht="15" customHeight="1" x14ac:dyDescent="0.25">
      <c r="A5" s="155" t="s">
        <v>204</v>
      </c>
      <c r="B5" s="105" t="s">
        <v>21</v>
      </c>
      <c r="C5" s="106" t="s">
        <v>205</v>
      </c>
      <c r="D5" s="96">
        <v>45809</v>
      </c>
      <c r="E5" s="97">
        <v>100000</v>
      </c>
      <c r="F5" s="119">
        <v>20593</v>
      </c>
      <c r="G5" s="122">
        <v>0</v>
      </c>
      <c r="H5" s="122">
        <f t="shared" si="0"/>
        <v>20593</v>
      </c>
      <c r="I5" s="98"/>
      <c r="K5" s="9"/>
      <c r="L5" s="129"/>
      <c r="M5" s="130"/>
      <c r="N5" s="4"/>
      <c r="O5" s="5"/>
      <c r="P5" s="6"/>
      <c r="Q5" s="6"/>
      <c r="R5" s="6"/>
    </row>
    <row r="6" spans="1:18" ht="15" customHeight="1" x14ac:dyDescent="0.25">
      <c r="A6" s="156" t="s">
        <v>220</v>
      </c>
      <c r="B6" s="110" t="s">
        <v>47</v>
      </c>
      <c r="C6" s="109" t="s">
        <v>60</v>
      </c>
      <c r="D6" s="96">
        <v>45809</v>
      </c>
      <c r="E6" s="97" t="s">
        <v>181</v>
      </c>
      <c r="F6" s="122">
        <v>45000</v>
      </c>
      <c r="G6" s="122">
        <v>0</v>
      </c>
      <c r="H6" s="122">
        <f t="shared" si="0"/>
        <v>45000</v>
      </c>
      <c r="I6" s="98" t="s">
        <v>301</v>
      </c>
      <c r="K6" s="9"/>
      <c r="L6" s="9"/>
      <c r="M6" s="9"/>
      <c r="N6" s="4"/>
      <c r="O6" s="5"/>
      <c r="P6" s="6"/>
      <c r="Q6" s="6"/>
      <c r="R6" s="6"/>
    </row>
    <row r="7" spans="1:18" ht="15" customHeight="1" x14ac:dyDescent="0.25">
      <c r="A7" s="151" t="s">
        <v>284</v>
      </c>
      <c r="B7" s="115" t="s">
        <v>232</v>
      </c>
      <c r="C7" s="78" t="s">
        <v>285</v>
      </c>
      <c r="D7" s="96">
        <v>45809</v>
      </c>
      <c r="E7" s="97">
        <v>340000</v>
      </c>
      <c r="F7" s="122">
        <f>0.1*E7</f>
        <v>34000</v>
      </c>
      <c r="G7" s="122">
        <v>0</v>
      </c>
      <c r="H7" s="122">
        <f t="shared" si="0"/>
        <v>34000</v>
      </c>
      <c r="I7" s="98" t="s">
        <v>302</v>
      </c>
      <c r="K7" s="9"/>
      <c r="L7" s="9"/>
      <c r="M7" s="67"/>
      <c r="N7" s="4"/>
      <c r="O7" s="5"/>
      <c r="P7" s="6"/>
      <c r="Q7" s="6"/>
      <c r="R7" s="6"/>
    </row>
    <row r="8" spans="1:18" ht="15" customHeight="1" x14ac:dyDescent="0.25">
      <c r="A8" s="155" t="s">
        <v>225</v>
      </c>
      <c r="B8" s="105" t="s">
        <v>57</v>
      </c>
      <c r="C8" s="106" t="s">
        <v>171</v>
      </c>
      <c r="D8" s="96">
        <v>45809</v>
      </c>
      <c r="E8" s="97">
        <v>275000</v>
      </c>
      <c r="F8" s="126">
        <v>19190</v>
      </c>
      <c r="G8" s="122">
        <v>0</v>
      </c>
      <c r="H8" s="122">
        <f t="shared" si="0"/>
        <v>19190</v>
      </c>
      <c r="I8" s="98" t="s">
        <v>303</v>
      </c>
      <c r="L8" s="33"/>
      <c r="M8" s="72"/>
      <c r="N8" s="4"/>
      <c r="O8" s="5"/>
      <c r="P8" s="6"/>
      <c r="Q8" s="6"/>
      <c r="R8" s="6"/>
    </row>
    <row r="9" spans="1:18" ht="15" customHeight="1" x14ac:dyDescent="0.25">
      <c r="A9" s="151" t="s">
        <v>46</v>
      </c>
      <c r="B9" s="115" t="s">
        <v>47</v>
      </c>
      <c r="C9" s="78" t="s">
        <v>48</v>
      </c>
      <c r="D9" s="96">
        <v>45809</v>
      </c>
      <c r="E9" s="97" t="s">
        <v>181</v>
      </c>
      <c r="F9" s="126">
        <v>105000</v>
      </c>
      <c r="G9" s="122">
        <v>0</v>
      </c>
      <c r="H9" s="122">
        <f t="shared" si="0"/>
        <v>105000</v>
      </c>
      <c r="I9" s="98"/>
      <c r="L9" s="33"/>
      <c r="M9" s="72"/>
      <c r="N9" s="4"/>
      <c r="O9" s="5"/>
      <c r="P9" s="6"/>
      <c r="Q9" s="6"/>
      <c r="R9" s="6"/>
    </row>
    <row r="10" spans="1:18" ht="15" customHeight="1" x14ac:dyDescent="0.25">
      <c r="A10" s="151" t="s">
        <v>97</v>
      </c>
      <c r="B10" s="115" t="s">
        <v>21</v>
      </c>
      <c r="C10" s="78" t="s">
        <v>304</v>
      </c>
      <c r="D10" s="96">
        <v>45809</v>
      </c>
      <c r="E10" s="97" t="s">
        <v>181</v>
      </c>
      <c r="F10" s="126">
        <v>10000</v>
      </c>
      <c r="G10" s="122">
        <v>0</v>
      </c>
      <c r="H10" s="122">
        <f t="shared" si="0"/>
        <v>10000</v>
      </c>
      <c r="I10" s="98"/>
      <c r="L10" s="33"/>
      <c r="M10" s="72"/>
      <c r="N10" s="4"/>
      <c r="O10" s="5"/>
      <c r="P10" s="6"/>
      <c r="Q10" s="6"/>
      <c r="R10" s="6"/>
    </row>
    <row r="11" spans="1:18" ht="15" customHeight="1" x14ac:dyDescent="0.25">
      <c r="A11" s="151" t="s">
        <v>12</v>
      </c>
      <c r="B11" s="115" t="s">
        <v>57</v>
      </c>
      <c r="C11" s="78" t="s">
        <v>305</v>
      </c>
      <c r="D11" s="96">
        <v>45809</v>
      </c>
      <c r="E11" s="97" t="s">
        <v>181</v>
      </c>
      <c r="F11" s="122">
        <v>7000</v>
      </c>
      <c r="G11" s="122">
        <v>0</v>
      </c>
      <c r="H11" s="122">
        <f t="shared" si="0"/>
        <v>7000</v>
      </c>
      <c r="I11" s="98"/>
    </row>
    <row r="12" spans="1:18" ht="15" customHeight="1" x14ac:dyDescent="0.25">
      <c r="A12" s="151" t="s">
        <v>143</v>
      </c>
      <c r="B12" s="33" t="s">
        <v>57</v>
      </c>
      <c r="C12" s="72" t="s">
        <v>306</v>
      </c>
      <c r="D12" s="4">
        <v>45809</v>
      </c>
      <c r="E12" s="5" t="s">
        <v>181</v>
      </c>
      <c r="F12" s="122">
        <v>14000</v>
      </c>
      <c r="G12" s="122">
        <v>0</v>
      </c>
      <c r="H12" s="122">
        <f t="shared" si="0"/>
        <v>14000</v>
      </c>
      <c r="I12" s="98"/>
    </row>
    <row r="13" spans="1:18" ht="15" customHeight="1" x14ac:dyDescent="0.25">
      <c r="A13" s="107" t="s">
        <v>256</v>
      </c>
      <c r="B13" s="129" t="s">
        <v>21</v>
      </c>
      <c r="C13" s="130" t="s">
        <v>72</v>
      </c>
      <c r="D13" s="4">
        <v>45809</v>
      </c>
      <c r="E13" s="5">
        <v>873425.47</v>
      </c>
      <c r="F13" s="122">
        <f>0.1*E13</f>
        <v>87342.547000000006</v>
      </c>
      <c r="G13" s="122">
        <v>0</v>
      </c>
      <c r="H13" s="122">
        <f t="shared" si="0"/>
        <v>87342.547000000006</v>
      </c>
      <c r="I13" s="98"/>
    </row>
    <row r="14" spans="1:18" ht="15" customHeight="1" x14ac:dyDescent="0.25">
      <c r="A14" s="107" t="s">
        <v>257</v>
      </c>
      <c r="B14" s="129" t="s">
        <v>21</v>
      </c>
      <c r="C14" s="130" t="s">
        <v>72</v>
      </c>
      <c r="D14" s="4">
        <v>45809</v>
      </c>
      <c r="E14" s="5">
        <v>3071698.32</v>
      </c>
      <c r="F14" s="122">
        <f>0.1*E14</f>
        <v>307169.83199999999</v>
      </c>
      <c r="G14" s="122">
        <v>0</v>
      </c>
      <c r="H14" s="122">
        <f t="shared" si="0"/>
        <v>307169.83199999999</v>
      </c>
      <c r="I14" s="98"/>
    </row>
    <row r="15" spans="1:18" ht="15" customHeight="1" x14ac:dyDescent="0.25">
      <c r="A15" s="107" t="s">
        <v>307</v>
      </c>
      <c r="B15" s="129" t="s">
        <v>21</v>
      </c>
      <c r="C15" s="130" t="s">
        <v>72</v>
      </c>
      <c r="D15" s="4">
        <v>45809</v>
      </c>
      <c r="E15" s="5" t="s">
        <v>181</v>
      </c>
      <c r="F15" s="122">
        <v>9912.5</v>
      </c>
      <c r="G15" s="122">
        <v>0</v>
      </c>
      <c r="H15" s="122">
        <f t="shared" si="0"/>
        <v>9912.5</v>
      </c>
      <c r="I15" s="98"/>
    </row>
    <row r="16" spans="1:18" ht="15" customHeight="1" x14ac:dyDescent="0.25">
      <c r="A16" s="151" t="s">
        <v>231</v>
      </c>
      <c r="B16" s="115" t="s">
        <v>232</v>
      </c>
      <c r="C16" s="78" t="s">
        <v>233</v>
      </c>
      <c r="D16" s="96">
        <v>45839</v>
      </c>
      <c r="E16" s="97">
        <v>380000</v>
      </c>
      <c r="F16" s="122">
        <f>0.1*E16</f>
        <v>38000</v>
      </c>
      <c r="G16" s="6">
        <v>0</v>
      </c>
      <c r="H16" s="122">
        <f t="shared" si="0"/>
        <v>38000</v>
      </c>
      <c r="I16" s="98" t="s">
        <v>234</v>
      </c>
    </row>
    <row r="17" spans="1:9" ht="15" customHeight="1" x14ac:dyDescent="0.25">
      <c r="A17" s="152" t="s">
        <v>308</v>
      </c>
      <c r="B17" s="33" t="s">
        <v>57</v>
      </c>
      <c r="C17" s="72" t="s">
        <v>309</v>
      </c>
      <c r="D17" s="4">
        <v>45839</v>
      </c>
      <c r="E17" s="5">
        <v>650000</v>
      </c>
      <c r="F17" s="122">
        <f>0.1*E17</f>
        <v>65000</v>
      </c>
      <c r="G17" s="6">
        <v>0</v>
      </c>
      <c r="H17" s="122">
        <f t="shared" si="0"/>
        <v>65000</v>
      </c>
      <c r="I17" s="98" t="s">
        <v>310</v>
      </c>
    </row>
    <row r="18" spans="1:9" ht="15" customHeight="1" x14ac:dyDescent="0.25">
      <c r="A18" s="152" t="s">
        <v>288</v>
      </c>
      <c r="B18" s="33" t="s">
        <v>107</v>
      </c>
      <c r="C18" s="33" t="s">
        <v>17</v>
      </c>
      <c r="D18" s="4">
        <v>45839</v>
      </c>
      <c r="E18" t="s">
        <v>181</v>
      </c>
      <c r="F18" s="122">
        <v>15000</v>
      </c>
      <c r="G18" s="6">
        <v>0</v>
      </c>
      <c r="H18" s="122">
        <f t="shared" si="0"/>
        <v>15000</v>
      </c>
      <c r="I18" s="98" t="s">
        <v>311</v>
      </c>
    </row>
    <row r="19" spans="1:9" ht="15" customHeight="1" x14ac:dyDescent="0.25">
      <c r="A19" s="161" t="s">
        <v>100</v>
      </c>
      <c r="B19" s="38" t="s">
        <v>16</v>
      </c>
      <c r="C19" s="77" t="s">
        <v>101</v>
      </c>
      <c r="D19" s="4">
        <v>45870</v>
      </c>
      <c r="E19" s="5" t="s">
        <v>181</v>
      </c>
      <c r="F19" s="122">
        <v>630000</v>
      </c>
      <c r="G19" s="6">
        <v>484740</v>
      </c>
      <c r="H19" s="122">
        <f t="shared" si="0"/>
        <v>145260</v>
      </c>
      <c r="I19" s="98"/>
    </row>
    <row r="20" spans="1:9" ht="15" customHeight="1" x14ac:dyDescent="0.25">
      <c r="A20" s="152" t="s">
        <v>312</v>
      </c>
      <c r="B20" s="33" t="s">
        <v>232</v>
      </c>
      <c r="C20" s="72" t="s">
        <v>205</v>
      </c>
      <c r="D20" s="4">
        <v>45839</v>
      </c>
      <c r="E20" s="5">
        <v>130000</v>
      </c>
      <c r="F20" s="122">
        <f>0.1*E20</f>
        <v>13000</v>
      </c>
      <c r="G20" s="6">
        <v>0</v>
      </c>
      <c r="H20" s="122">
        <f t="shared" si="0"/>
        <v>13000</v>
      </c>
      <c r="I20" s="98" t="s">
        <v>298</v>
      </c>
    </row>
    <row r="21" spans="1:9" ht="15" customHeight="1" x14ac:dyDescent="0.25">
      <c r="A21" s="152" t="s">
        <v>238</v>
      </c>
      <c r="B21" s="33" t="s">
        <v>7</v>
      </c>
      <c r="C21" s="33" t="s">
        <v>239</v>
      </c>
      <c r="D21" s="4">
        <v>45839</v>
      </c>
      <c r="E21" t="s">
        <v>181</v>
      </c>
      <c r="F21" s="122">
        <v>8500</v>
      </c>
      <c r="G21" s="6">
        <v>0</v>
      </c>
      <c r="H21" s="122">
        <f t="shared" si="0"/>
        <v>8500</v>
      </c>
      <c r="I21" s="147" t="s">
        <v>313</v>
      </c>
    </row>
    <row r="22" spans="1:9" ht="15" customHeight="1" x14ac:dyDescent="0.25">
      <c r="A22" s="153" t="s">
        <v>157</v>
      </c>
      <c r="B22" s="9" t="s">
        <v>21</v>
      </c>
      <c r="C22" s="67" t="s">
        <v>85</v>
      </c>
      <c r="D22" s="4">
        <v>45839</v>
      </c>
      <c r="E22" s="5">
        <v>250000</v>
      </c>
      <c r="F22" s="122">
        <f>0.1*E22</f>
        <v>25000</v>
      </c>
      <c r="G22" s="6">
        <v>0</v>
      </c>
      <c r="H22" s="122">
        <f t="shared" si="0"/>
        <v>25000</v>
      </c>
      <c r="I22" s="98"/>
    </row>
    <row r="23" spans="1:9" ht="15" customHeight="1" x14ac:dyDescent="0.25">
      <c r="A23" s="152" t="s">
        <v>314</v>
      </c>
      <c r="B23" s="33" t="s">
        <v>16</v>
      </c>
      <c r="C23" s="72" t="s">
        <v>180</v>
      </c>
      <c r="D23" s="4">
        <v>45839</v>
      </c>
      <c r="E23" s="5">
        <v>150000</v>
      </c>
      <c r="F23" s="122">
        <f>0.1*E23</f>
        <v>15000</v>
      </c>
      <c r="G23" s="6">
        <v>0</v>
      </c>
      <c r="H23" s="122">
        <f t="shared" si="0"/>
        <v>15000</v>
      </c>
      <c r="I23" s="98"/>
    </row>
    <row r="24" spans="1:9" x14ac:dyDescent="0.25">
      <c r="A24" s="152" t="s">
        <v>168</v>
      </c>
      <c r="B24" t="s">
        <v>151</v>
      </c>
      <c r="C24" t="s">
        <v>169</v>
      </c>
      <c r="D24" s="4">
        <v>45839</v>
      </c>
      <c r="E24" t="s">
        <v>181</v>
      </c>
      <c r="F24" s="122">
        <v>14000</v>
      </c>
      <c r="G24" s="6">
        <v>0</v>
      </c>
      <c r="H24" s="122">
        <f t="shared" si="0"/>
        <v>14000</v>
      </c>
      <c r="I24" s="147"/>
    </row>
    <row r="25" spans="1:9" x14ac:dyDescent="0.25">
      <c r="A25" s="152" t="s">
        <v>315</v>
      </c>
      <c r="B25" s="33" t="s">
        <v>21</v>
      </c>
      <c r="C25" s="72" t="s">
        <v>8</v>
      </c>
      <c r="D25" s="4">
        <v>45839</v>
      </c>
      <c r="E25" s="5">
        <v>500000</v>
      </c>
      <c r="F25" s="122">
        <f t="shared" ref="F25:F31" si="1">0.1*E25</f>
        <v>50000</v>
      </c>
      <c r="G25" s="6">
        <v>0</v>
      </c>
      <c r="H25" s="122">
        <f t="shared" si="0"/>
        <v>50000</v>
      </c>
      <c r="I25" s="98"/>
    </row>
    <row r="26" spans="1:9" x14ac:dyDescent="0.25">
      <c r="A26" s="152" t="s">
        <v>223</v>
      </c>
      <c r="B26" s="33" t="s">
        <v>57</v>
      </c>
      <c r="C26" s="72" t="s">
        <v>224</v>
      </c>
      <c r="D26" s="4">
        <v>45839</v>
      </c>
      <c r="E26" s="5">
        <v>110000</v>
      </c>
      <c r="F26" s="122">
        <f t="shared" si="1"/>
        <v>11000</v>
      </c>
      <c r="G26" s="6">
        <v>0</v>
      </c>
      <c r="H26" s="122">
        <f t="shared" si="0"/>
        <v>11000</v>
      </c>
      <c r="I26" s="98" t="s">
        <v>316</v>
      </c>
    </row>
    <row r="27" spans="1:9" x14ac:dyDescent="0.25">
      <c r="A27" s="152" t="s">
        <v>317</v>
      </c>
      <c r="B27" s="33" t="s">
        <v>232</v>
      </c>
      <c r="C27" s="72" t="s">
        <v>105</v>
      </c>
      <c r="D27" s="4">
        <v>45839</v>
      </c>
      <c r="E27" s="5">
        <v>50000</v>
      </c>
      <c r="F27" s="122">
        <f t="shared" si="1"/>
        <v>5000</v>
      </c>
      <c r="G27" s="6">
        <v>0</v>
      </c>
      <c r="H27" s="122">
        <f t="shared" si="0"/>
        <v>5000</v>
      </c>
      <c r="I27" s="98" t="s">
        <v>298</v>
      </c>
    </row>
    <row r="28" spans="1:9" x14ac:dyDescent="0.25">
      <c r="A28" s="152" t="s">
        <v>318</v>
      </c>
      <c r="B28" s="33" t="s">
        <v>151</v>
      </c>
      <c r="C28" s="72" t="s">
        <v>66</v>
      </c>
      <c r="D28" s="4">
        <v>45839</v>
      </c>
      <c r="E28" s="5">
        <v>100000</v>
      </c>
      <c r="F28" s="122">
        <f t="shared" si="1"/>
        <v>10000</v>
      </c>
      <c r="G28" s="6">
        <v>0</v>
      </c>
      <c r="H28" s="122">
        <f t="shared" si="0"/>
        <v>10000</v>
      </c>
      <c r="I28" s="98"/>
    </row>
    <row r="29" spans="1:9" x14ac:dyDescent="0.25">
      <c r="A29" s="152" t="s">
        <v>319</v>
      </c>
      <c r="B29" t="s">
        <v>7</v>
      </c>
      <c r="C29" t="s">
        <v>320</v>
      </c>
      <c r="D29" s="4">
        <v>45839</v>
      </c>
      <c r="E29" s="5">
        <v>1000000</v>
      </c>
      <c r="F29" s="122">
        <f t="shared" si="1"/>
        <v>100000</v>
      </c>
      <c r="G29" s="6">
        <v>0</v>
      </c>
      <c r="H29" s="122">
        <f t="shared" si="0"/>
        <v>100000</v>
      </c>
      <c r="I29" s="98" t="s">
        <v>321</v>
      </c>
    </row>
    <row r="30" spans="1:9" x14ac:dyDescent="0.25">
      <c r="A30" s="152" t="s">
        <v>322</v>
      </c>
      <c r="B30" s="33" t="s">
        <v>151</v>
      </c>
      <c r="C30" s="72" t="s">
        <v>66</v>
      </c>
      <c r="D30" s="4">
        <v>45839</v>
      </c>
      <c r="E30" s="5">
        <v>150000</v>
      </c>
      <c r="F30" s="122">
        <f t="shared" si="1"/>
        <v>15000</v>
      </c>
      <c r="G30" s="6">
        <v>0</v>
      </c>
      <c r="H30" s="122">
        <f t="shared" si="0"/>
        <v>15000</v>
      </c>
      <c r="I30" s="98"/>
    </row>
    <row r="31" spans="1:9" x14ac:dyDescent="0.25">
      <c r="A31" s="152" t="s">
        <v>295</v>
      </c>
      <c r="B31" s="33" t="s">
        <v>47</v>
      </c>
      <c r="C31" s="72" t="s">
        <v>296</v>
      </c>
      <c r="D31" s="4">
        <v>45839</v>
      </c>
      <c r="E31" s="5">
        <v>150000</v>
      </c>
      <c r="F31" s="122">
        <f t="shared" si="1"/>
        <v>15000</v>
      </c>
      <c r="G31" s="6">
        <v>0</v>
      </c>
      <c r="H31" s="122">
        <f t="shared" si="0"/>
        <v>15000</v>
      </c>
      <c r="I31" s="98"/>
    </row>
    <row r="32" spans="1:9" x14ac:dyDescent="0.25">
      <c r="A32" s="152" t="s">
        <v>259</v>
      </c>
      <c r="B32" s="33" t="s">
        <v>107</v>
      </c>
      <c r="C32" s="33" t="s">
        <v>260</v>
      </c>
      <c r="D32" s="4">
        <v>45870</v>
      </c>
      <c r="E32" t="s">
        <v>181</v>
      </c>
      <c r="F32" s="122">
        <v>21000</v>
      </c>
      <c r="G32" s="6">
        <v>0</v>
      </c>
      <c r="H32" s="122">
        <f t="shared" si="0"/>
        <v>21000</v>
      </c>
      <c r="I32" s="147" t="s">
        <v>323</v>
      </c>
    </row>
    <row r="33" spans="1:9" x14ac:dyDescent="0.25">
      <c r="A33" s="153" t="s">
        <v>126</v>
      </c>
      <c r="B33" s="9" t="s">
        <v>16</v>
      </c>
      <c r="C33" s="67" t="s">
        <v>51</v>
      </c>
      <c r="D33" s="4">
        <v>45901</v>
      </c>
      <c r="E33" s="5" t="s">
        <v>181</v>
      </c>
      <c r="F33" s="122">
        <v>300000</v>
      </c>
      <c r="G33" s="6">
        <v>146400</v>
      </c>
      <c r="H33" s="122">
        <f t="shared" si="0"/>
        <v>153600</v>
      </c>
      <c r="I33" s="98"/>
    </row>
    <row r="34" spans="1:9" x14ac:dyDescent="0.25">
      <c r="A34" s="152" t="s">
        <v>249</v>
      </c>
      <c r="B34" s="9" t="s">
        <v>16</v>
      </c>
      <c r="C34" s="33" t="s">
        <v>250</v>
      </c>
      <c r="D34" s="4">
        <v>45901</v>
      </c>
      <c r="E34" t="s">
        <v>181</v>
      </c>
      <c r="F34" s="122">
        <v>300000</v>
      </c>
      <c r="G34" s="6">
        <v>0</v>
      </c>
      <c r="H34" s="122">
        <f t="shared" ref="H34:H52" si="2">F34-G34</f>
        <v>300000</v>
      </c>
      <c r="I34" s="148"/>
    </row>
    <row r="35" spans="1:9" x14ac:dyDescent="0.25">
      <c r="A35" s="152" t="s">
        <v>252</v>
      </c>
      <c r="B35" s="33" t="s">
        <v>156</v>
      </c>
      <c r="C35" s="72" t="s">
        <v>253</v>
      </c>
      <c r="D35" s="4">
        <v>45870</v>
      </c>
      <c r="E35" s="5">
        <v>1500000</v>
      </c>
      <c r="F35" s="122">
        <f>0.1*E35</f>
        <v>150000</v>
      </c>
      <c r="G35" s="6">
        <v>0</v>
      </c>
      <c r="H35" s="122">
        <f t="shared" si="2"/>
        <v>150000</v>
      </c>
      <c r="I35" s="98" t="s">
        <v>324</v>
      </c>
    </row>
    <row r="36" spans="1:9" x14ac:dyDescent="0.25">
      <c r="A36" s="154" t="s">
        <v>227</v>
      </c>
      <c r="B36" s="129" t="s">
        <v>16</v>
      </c>
      <c r="C36" s="130" t="s">
        <v>228</v>
      </c>
      <c r="D36" s="4">
        <v>45870</v>
      </c>
      <c r="E36" s="5">
        <v>530000</v>
      </c>
      <c r="F36" s="122">
        <f>0.1*E36</f>
        <v>53000</v>
      </c>
      <c r="G36" s="6">
        <v>0</v>
      </c>
      <c r="H36" s="122">
        <f t="shared" si="2"/>
        <v>53000</v>
      </c>
      <c r="I36" s="98"/>
    </row>
    <row r="37" spans="1:9" x14ac:dyDescent="0.25">
      <c r="A37" s="152" t="s">
        <v>258</v>
      </c>
      <c r="B37" s="33" t="s">
        <v>16</v>
      </c>
      <c r="C37" s="72" t="s">
        <v>19</v>
      </c>
      <c r="D37" s="4">
        <v>45870</v>
      </c>
      <c r="E37" s="5">
        <v>350000</v>
      </c>
      <c r="F37" s="122">
        <f>0.1*E37</f>
        <v>35000</v>
      </c>
      <c r="G37" s="6">
        <v>0</v>
      </c>
      <c r="H37" s="122">
        <f t="shared" si="2"/>
        <v>35000</v>
      </c>
      <c r="I37" s="98"/>
    </row>
    <row r="38" spans="1:9" x14ac:dyDescent="0.25">
      <c r="A38" s="152" t="s">
        <v>267</v>
      </c>
      <c r="B38" s="33" t="s">
        <v>232</v>
      </c>
      <c r="C38" s="72" t="s">
        <v>268</v>
      </c>
      <c r="D38" s="4">
        <v>45870</v>
      </c>
      <c r="E38" s="97">
        <v>130000</v>
      </c>
      <c r="F38" s="122">
        <f>0.1*E38</f>
        <v>13000</v>
      </c>
      <c r="G38" s="6">
        <v>0</v>
      </c>
      <c r="H38" s="122">
        <f t="shared" si="2"/>
        <v>13000</v>
      </c>
      <c r="I38" s="98" t="s">
        <v>325</v>
      </c>
    </row>
    <row r="39" spans="1:9" x14ac:dyDescent="0.25">
      <c r="A39" s="152" t="s">
        <v>265</v>
      </c>
      <c r="B39" s="33" t="s">
        <v>107</v>
      </c>
      <c r="C39" s="33" t="s">
        <v>33</v>
      </c>
      <c r="D39" s="4">
        <v>45870</v>
      </c>
      <c r="E39" t="s">
        <v>181</v>
      </c>
      <c r="F39" s="122">
        <v>25000</v>
      </c>
      <c r="G39" s="6">
        <v>0</v>
      </c>
      <c r="H39" s="122">
        <f t="shared" si="2"/>
        <v>25000</v>
      </c>
      <c r="I39" s="98" t="s">
        <v>326</v>
      </c>
    </row>
    <row r="40" spans="1:9" x14ac:dyDescent="0.25">
      <c r="A40" s="152" t="s">
        <v>272</v>
      </c>
      <c r="B40" s="33" t="s">
        <v>7</v>
      </c>
      <c r="C40" s="72" t="s">
        <v>273</v>
      </c>
      <c r="D40" s="4">
        <v>45870</v>
      </c>
      <c r="E40" s="5">
        <v>550000</v>
      </c>
      <c r="F40" s="122">
        <f>0.1*E40</f>
        <v>55000</v>
      </c>
      <c r="G40" s="6">
        <v>0</v>
      </c>
      <c r="H40" s="122">
        <f t="shared" si="2"/>
        <v>55000</v>
      </c>
      <c r="I40" s="98" t="s">
        <v>327</v>
      </c>
    </row>
    <row r="41" spans="1:9" x14ac:dyDescent="0.25">
      <c r="A41" s="154" t="s">
        <v>44</v>
      </c>
      <c r="B41" s="129" t="s">
        <v>16</v>
      </c>
      <c r="C41" s="130" t="s">
        <v>45</v>
      </c>
      <c r="D41" s="4">
        <v>45870</v>
      </c>
      <c r="E41" s="5">
        <v>500000</v>
      </c>
      <c r="F41" s="122">
        <f>0.1*E41</f>
        <v>50000</v>
      </c>
      <c r="G41" s="6">
        <v>0</v>
      </c>
      <c r="H41" s="122">
        <f t="shared" si="2"/>
        <v>50000</v>
      </c>
      <c r="I41" s="98"/>
    </row>
    <row r="42" spans="1:9" x14ac:dyDescent="0.25">
      <c r="A42" s="152" t="s">
        <v>61</v>
      </c>
      <c r="B42" s="33" t="s">
        <v>16</v>
      </c>
      <c r="C42" s="72" t="s">
        <v>45</v>
      </c>
      <c r="D42" s="4">
        <v>45870</v>
      </c>
      <c r="E42" s="5">
        <v>1700000</v>
      </c>
      <c r="F42" s="122">
        <f>0.1*E42</f>
        <v>170000</v>
      </c>
      <c r="G42" s="6">
        <v>113895</v>
      </c>
      <c r="H42" s="122">
        <f t="shared" si="2"/>
        <v>56105</v>
      </c>
      <c r="I42" s="98"/>
    </row>
    <row r="43" spans="1:9" x14ac:dyDescent="0.25">
      <c r="A43" s="153" t="s">
        <v>15</v>
      </c>
      <c r="B43" s="9" t="s">
        <v>16</v>
      </c>
      <c r="C43" s="67" t="s">
        <v>17</v>
      </c>
      <c r="D43" s="4">
        <v>45870</v>
      </c>
      <c r="E43" s="5">
        <v>450000</v>
      </c>
      <c r="F43" s="6">
        <f>0.1*E43</f>
        <v>45000</v>
      </c>
      <c r="G43" s="6">
        <v>0</v>
      </c>
      <c r="H43" s="6">
        <f t="shared" si="2"/>
        <v>45000</v>
      </c>
      <c r="I43" s="67"/>
    </row>
    <row r="44" spans="1:9" ht="30" x14ac:dyDescent="0.25">
      <c r="A44" s="152" t="s">
        <v>277</v>
      </c>
      <c r="B44" s="33" t="s">
        <v>57</v>
      </c>
      <c r="C44" s="33" t="s">
        <v>278</v>
      </c>
      <c r="D44" s="4">
        <v>45870</v>
      </c>
      <c r="E44" t="s">
        <v>181</v>
      </c>
      <c r="F44" s="6">
        <v>15000</v>
      </c>
      <c r="G44" s="6">
        <v>0</v>
      </c>
      <c r="H44" s="6">
        <f t="shared" si="2"/>
        <v>15000</v>
      </c>
      <c r="I44" s="67" t="s">
        <v>328</v>
      </c>
    </row>
    <row r="45" spans="1:9" ht="30" x14ac:dyDescent="0.25">
      <c r="A45" s="152" t="s">
        <v>282</v>
      </c>
      <c r="B45" s="33" t="s">
        <v>107</v>
      </c>
      <c r="C45" s="33" t="s">
        <v>283</v>
      </c>
      <c r="D45" s="4">
        <v>45870</v>
      </c>
      <c r="E45" t="s">
        <v>181</v>
      </c>
      <c r="F45" s="6">
        <v>35000</v>
      </c>
      <c r="G45" s="6">
        <v>0</v>
      </c>
      <c r="H45" s="6">
        <f t="shared" si="2"/>
        <v>35000</v>
      </c>
      <c r="I45" s="67" t="s">
        <v>329</v>
      </c>
    </row>
    <row r="46" spans="1:9" x14ac:dyDescent="0.25">
      <c r="A46" s="152" t="s">
        <v>330</v>
      </c>
      <c r="B46" s="33" t="s">
        <v>156</v>
      </c>
      <c r="C46" s="72" t="s">
        <v>80</v>
      </c>
      <c r="D46" s="4">
        <v>45870</v>
      </c>
      <c r="E46" s="5">
        <v>750000</v>
      </c>
      <c r="F46" s="6">
        <f>0.1*E46</f>
        <v>75000</v>
      </c>
      <c r="G46" s="6">
        <v>0</v>
      </c>
      <c r="H46" s="122">
        <f t="shared" si="2"/>
        <v>75000</v>
      </c>
      <c r="I46" s="67" t="s">
        <v>331</v>
      </c>
    </row>
    <row r="47" spans="1:9" ht="30" x14ac:dyDescent="0.25">
      <c r="A47" s="152" t="s">
        <v>292</v>
      </c>
      <c r="B47" s="33" t="s">
        <v>57</v>
      </c>
      <c r="C47" s="33" t="s">
        <v>293</v>
      </c>
      <c r="D47" s="4">
        <v>45870</v>
      </c>
      <c r="E47" t="s">
        <v>181</v>
      </c>
      <c r="F47" s="6">
        <v>8000</v>
      </c>
      <c r="G47" s="6">
        <v>0</v>
      </c>
      <c r="H47" s="122">
        <f t="shared" si="2"/>
        <v>8000</v>
      </c>
      <c r="I47" s="67" t="s">
        <v>332</v>
      </c>
    </row>
    <row r="48" spans="1:9" x14ac:dyDescent="0.25">
      <c r="A48" s="152" t="s">
        <v>333</v>
      </c>
      <c r="B48" s="33" t="s">
        <v>232</v>
      </c>
      <c r="C48" s="72" t="s">
        <v>334</v>
      </c>
      <c r="D48" s="4">
        <v>45870</v>
      </c>
      <c r="E48" s="5">
        <v>50000</v>
      </c>
      <c r="F48" s="6">
        <f>0.1*E48</f>
        <v>5000</v>
      </c>
      <c r="G48" s="6">
        <v>0</v>
      </c>
      <c r="H48" s="122">
        <f t="shared" si="2"/>
        <v>5000</v>
      </c>
      <c r="I48" s="67" t="s">
        <v>298</v>
      </c>
    </row>
    <row r="49" spans="1:9" x14ac:dyDescent="0.25">
      <c r="A49" s="152" t="s">
        <v>335</v>
      </c>
      <c r="B49" t="s">
        <v>7</v>
      </c>
      <c r="C49" t="s">
        <v>167</v>
      </c>
      <c r="D49" s="4">
        <v>45870</v>
      </c>
      <c r="E49" s="5">
        <v>800000</v>
      </c>
      <c r="F49" s="6">
        <f>0.1*E49</f>
        <v>80000</v>
      </c>
      <c r="G49" s="6">
        <v>0</v>
      </c>
      <c r="H49" s="122">
        <f t="shared" si="2"/>
        <v>80000</v>
      </c>
    </row>
    <row r="50" spans="1:9" x14ac:dyDescent="0.25">
      <c r="A50" s="151" t="s">
        <v>244</v>
      </c>
      <c r="B50" s="115" t="s">
        <v>57</v>
      </c>
      <c r="C50" s="115" t="s">
        <v>245</v>
      </c>
      <c r="D50" s="96">
        <v>45901</v>
      </c>
      <c r="E50" s="76" t="s">
        <v>181</v>
      </c>
      <c r="F50" s="126">
        <v>8000</v>
      </c>
      <c r="G50" s="122">
        <v>0</v>
      </c>
      <c r="H50" s="122">
        <f t="shared" si="2"/>
        <v>8000</v>
      </c>
      <c r="I50" s="148" t="s">
        <v>336</v>
      </c>
    </row>
    <row r="51" spans="1:9" x14ac:dyDescent="0.25">
      <c r="A51" s="151" t="s">
        <v>240</v>
      </c>
      <c r="B51" s="115" t="s">
        <v>241</v>
      </c>
      <c r="C51" s="115" t="s">
        <v>242</v>
      </c>
      <c r="D51" s="96">
        <v>45901</v>
      </c>
      <c r="E51" s="76" t="s">
        <v>181</v>
      </c>
      <c r="F51" s="126">
        <v>10000</v>
      </c>
      <c r="G51" s="122">
        <v>0</v>
      </c>
      <c r="H51" s="122">
        <f t="shared" si="2"/>
        <v>10000</v>
      </c>
      <c r="I51" s="147"/>
    </row>
    <row r="52" spans="1:9" x14ac:dyDescent="0.25">
      <c r="A52" s="152" t="s">
        <v>280</v>
      </c>
      <c r="B52" s="115" t="s">
        <v>107</v>
      </c>
      <c r="C52" s="33" t="s">
        <v>74</v>
      </c>
      <c r="D52" s="4">
        <v>45931</v>
      </c>
      <c r="E52" t="s">
        <v>181</v>
      </c>
      <c r="F52" s="6">
        <v>30000</v>
      </c>
      <c r="G52" s="6">
        <v>0</v>
      </c>
      <c r="H52" s="122">
        <f t="shared" si="2"/>
        <v>30000</v>
      </c>
      <c r="I52" s="67" t="s">
        <v>326</v>
      </c>
    </row>
    <row r="53" spans="1:9" x14ac:dyDescent="0.25">
      <c r="C53" s="128"/>
    </row>
    <row r="54" spans="1:9" x14ac:dyDescent="0.25">
      <c r="A54" s="132" t="s">
        <v>215</v>
      </c>
      <c r="B54" s="133" t="s">
        <v>5</v>
      </c>
      <c r="C54" s="134" t="s">
        <v>216</v>
      </c>
    </row>
    <row r="55" spans="1:9" x14ac:dyDescent="0.25">
      <c r="A55" s="135">
        <v>45778</v>
      </c>
      <c r="B55" s="34">
        <f>SUMIF(D:D,"5/1/2025",F:F)</f>
        <v>0</v>
      </c>
      <c r="C55" s="34">
        <f>SUMIF(D:D,"5/1/2025",H:H)</f>
        <v>0</v>
      </c>
    </row>
    <row r="56" spans="1:9" x14ac:dyDescent="0.25">
      <c r="A56" s="135">
        <v>45809</v>
      </c>
      <c r="B56" s="34">
        <f>SUMIF(D:D,"6/1/2025",F:F)</f>
        <v>727207.87899999996</v>
      </c>
      <c r="C56" s="34">
        <f>SUMIF(D:D,"6/1/2025",H:H)</f>
        <v>727207.87899999996</v>
      </c>
    </row>
    <row r="57" spans="1:9" x14ac:dyDescent="0.25">
      <c r="A57" s="135">
        <v>45839</v>
      </c>
      <c r="B57" s="34">
        <f>SUMIF(D:D,"7/1/2025",F:F)</f>
        <v>399500</v>
      </c>
      <c r="C57" s="34">
        <f>SUMIF(D:D,"7/1/2025",H:H)</f>
        <v>399500</v>
      </c>
    </row>
    <row r="58" spans="1:9" x14ac:dyDescent="0.25">
      <c r="A58" s="135">
        <v>45870</v>
      </c>
      <c r="B58" s="34">
        <f>SUMIF(D:D,"8/1/2025",F:F)</f>
        <v>1465000</v>
      </c>
      <c r="C58" s="34">
        <f>SUMIF(D:D,"8/1/2025",H:H)</f>
        <v>866365</v>
      </c>
    </row>
    <row r="59" spans="1:9" x14ac:dyDescent="0.25">
      <c r="A59" s="146">
        <v>45901</v>
      </c>
      <c r="B59" s="34">
        <f>SUMIF(D:D,"9/1/2025",F:F)</f>
        <v>618000</v>
      </c>
      <c r="C59" s="34">
        <f>SUMIF(D:D,"9/1/2025",H:H)</f>
        <v>471600</v>
      </c>
    </row>
    <row r="60" spans="1:9" x14ac:dyDescent="0.25">
      <c r="A60" s="146">
        <v>45931</v>
      </c>
      <c r="B60" s="34">
        <f>SUMIF(D:D,"10/1/2025",F:F)</f>
        <v>30000</v>
      </c>
      <c r="C60" s="34">
        <f>SUMIF(D:D,"10/1/2025",H:H)</f>
        <v>30000</v>
      </c>
    </row>
  </sheetData>
  <autoFilter ref="A1:I52" xr:uid="{87267334-FB0F-4B5C-9926-8B490E0A53C3}">
    <sortState xmlns:xlrd2="http://schemas.microsoft.com/office/spreadsheetml/2017/richdata2" ref="A2:I52">
      <sortCondition ref="D1:D49"/>
    </sortState>
  </autoFilter>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E5048-EDB4-480E-B8B8-8E314196341B}">
  <sheetPr codeName="Sheet16"/>
  <dimension ref="A1:R52"/>
  <sheetViews>
    <sheetView topLeftCell="A25" workbookViewId="0">
      <selection activeCell="A35" sqref="A35"/>
    </sheetView>
  </sheetViews>
  <sheetFormatPr defaultRowHeight="15" x14ac:dyDescent="0.25"/>
  <cols>
    <col min="1" max="1" width="18.140625" style="32" customWidth="1"/>
    <col min="2" max="2" width="20" customWidth="1"/>
    <col min="3" max="3" width="21" customWidth="1"/>
    <col min="4" max="4" width="16.28515625" customWidth="1"/>
    <col min="5" max="5" width="18.28515625" bestFit="1" customWidth="1"/>
    <col min="6" max="8" width="17.85546875" customWidth="1"/>
    <col min="9" max="9" width="51.85546875" customWidth="1"/>
    <col min="10" max="10" width="9.140625" bestFit="1" customWidth="1"/>
    <col min="11" max="11" width="9.5703125" bestFit="1" customWidth="1"/>
    <col min="12" max="12" width="14.85546875" bestFit="1" customWidth="1"/>
    <col min="13" max="14" width="9.140625" bestFit="1" customWidth="1"/>
    <col min="15" max="15" width="14.85546875" bestFit="1" customWidth="1"/>
  </cols>
  <sheetData>
    <row r="1" spans="1:18" ht="30" x14ac:dyDescent="0.25">
      <c r="A1" s="88" t="s">
        <v>0</v>
      </c>
      <c r="B1" s="89" t="s">
        <v>1</v>
      </c>
      <c r="C1" s="89" t="s">
        <v>2</v>
      </c>
      <c r="D1" s="90" t="s">
        <v>54</v>
      </c>
      <c r="E1" s="91" t="s">
        <v>4</v>
      </c>
      <c r="F1" s="92" t="s">
        <v>5</v>
      </c>
      <c r="G1" s="92" t="s">
        <v>186</v>
      </c>
      <c r="H1" s="92" t="s">
        <v>187</v>
      </c>
      <c r="I1" s="93" t="s">
        <v>230</v>
      </c>
    </row>
    <row r="2" spans="1:18" ht="15" customHeight="1" x14ac:dyDescent="0.25">
      <c r="A2" s="144" t="s">
        <v>231</v>
      </c>
      <c r="B2" s="115" t="s">
        <v>232</v>
      </c>
      <c r="C2" s="78" t="s">
        <v>233</v>
      </c>
      <c r="D2" s="118">
        <v>45901</v>
      </c>
      <c r="E2" s="121">
        <v>380000</v>
      </c>
      <c r="F2" s="126">
        <f>0.1*E2</f>
        <v>38000</v>
      </c>
      <c r="G2" s="122">
        <v>0</v>
      </c>
      <c r="H2" s="122">
        <f t="shared" ref="H2:H44" si="0">F2-G2</f>
        <v>38000</v>
      </c>
      <c r="I2" s="98" t="s">
        <v>234</v>
      </c>
      <c r="L2" s="33"/>
      <c r="M2" s="72"/>
      <c r="N2" s="4"/>
      <c r="O2" s="5"/>
      <c r="P2" s="6"/>
      <c r="Q2" s="6"/>
      <c r="R2" s="6"/>
    </row>
    <row r="3" spans="1:18" ht="15" customHeight="1" x14ac:dyDescent="0.25">
      <c r="A3" s="144" t="s">
        <v>238</v>
      </c>
      <c r="B3" s="115" t="s">
        <v>7</v>
      </c>
      <c r="C3" s="115" t="s">
        <v>239</v>
      </c>
      <c r="D3" s="118">
        <v>45870</v>
      </c>
      <c r="E3" s="76" t="s">
        <v>181</v>
      </c>
      <c r="F3" s="119">
        <v>10100</v>
      </c>
      <c r="G3" s="122">
        <v>0</v>
      </c>
      <c r="H3" s="122">
        <f t="shared" si="0"/>
        <v>10100</v>
      </c>
      <c r="I3" s="147" t="s">
        <v>313</v>
      </c>
      <c r="L3" s="33"/>
      <c r="M3" s="72"/>
      <c r="N3" s="4"/>
      <c r="O3" s="5"/>
      <c r="P3" s="6"/>
      <c r="Q3" s="6"/>
      <c r="R3" s="6"/>
    </row>
    <row r="4" spans="1:18" ht="15" customHeight="1" x14ac:dyDescent="0.25">
      <c r="A4" s="144" t="s">
        <v>240</v>
      </c>
      <c r="B4" s="115" t="s">
        <v>241</v>
      </c>
      <c r="C4" s="115" t="s">
        <v>242</v>
      </c>
      <c r="D4" s="118">
        <v>45901</v>
      </c>
      <c r="E4" s="76" t="s">
        <v>181</v>
      </c>
      <c r="F4" s="119">
        <v>10000</v>
      </c>
      <c r="G4" s="122">
        <v>0</v>
      </c>
      <c r="H4" s="122">
        <f t="shared" si="0"/>
        <v>10000</v>
      </c>
      <c r="I4" s="147"/>
    </row>
    <row r="5" spans="1:18" ht="15" customHeight="1" x14ac:dyDescent="0.25">
      <c r="A5" s="144" t="s">
        <v>308</v>
      </c>
      <c r="B5" s="33" t="s">
        <v>57</v>
      </c>
      <c r="C5" s="72" t="s">
        <v>309</v>
      </c>
      <c r="D5" s="16">
        <v>45901</v>
      </c>
      <c r="E5" s="17">
        <v>450000</v>
      </c>
      <c r="F5" s="122">
        <f>0.1*E5</f>
        <v>45000</v>
      </c>
      <c r="G5" s="122">
        <v>0</v>
      </c>
      <c r="H5" s="122">
        <f t="shared" si="0"/>
        <v>45000</v>
      </c>
      <c r="I5" s="98" t="s">
        <v>337</v>
      </c>
    </row>
    <row r="6" spans="1:18" ht="15" customHeight="1" x14ac:dyDescent="0.25">
      <c r="A6" s="144" t="s">
        <v>244</v>
      </c>
      <c r="B6" s="33" t="s">
        <v>57</v>
      </c>
      <c r="C6" s="33" t="s">
        <v>245</v>
      </c>
      <c r="D6" s="16">
        <v>45901</v>
      </c>
      <c r="E6" t="s">
        <v>181</v>
      </c>
      <c r="F6" s="119">
        <v>8000</v>
      </c>
      <c r="G6" s="122">
        <v>0</v>
      </c>
      <c r="H6" s="122">
        <f t="shared" si="0"/>
        <v>8000</v>
      </c>
      <c r="I6" s="148" t="s">
        <v>338</v>
      </c>
    </row>
    <row r="7" spans="1:18" ht="15" customHeight="1" x14ac:dyDescent="0.25">
      <c r="A7" s="116" t="s">
        <v>100</v>
      </c>
      <c r="B7" s="38" t="s">
        <v>16</v>
      </c>
      <c r="C7" s="77" t="s">
        <v>101</v>
      </c>
      <c r="D7" s="16">
        <v>45870</v>
      </c>
      <c r="E7" s="5" t="s">
        <v>181</v>
      </c>
      <c r="F7" s="119">
        <v>630000</v>
      </c>
      <c r="G7" s="122">
        <v>484740</v>
      </c>
      <c r="H7" s="122">
        <f t="shared" si="0"/>
        <v>145260</v>
      </c>
      <c r="I7" s="98"/>
    </row>
    <row r="8" spans="1:18" ht="15" customHeight="1" x14ac:dyDescent="0.25">
      <c r="A8" s="144" t="s">
        <v>99</v>
      </c>
      <c r="B8" t="s">
        <v>7</v>
      </c>
      <c r="C8" t="s">
        <v>83</v>
      </c>
      <c r="D8" s="16">
        <v>45839</v>
      </c>
      <c r="E8" t="s">
        <v>181</v>
      </c>
      <c r="F8" s="119">
        <v>20000</v>
      </c>
      <c r="G8" s="122">
        <v>0</v>
      </c>
      <c r="H8" s="122">
        <f t="shared" si="0"/>
        <v>20000</v>
      </c>
      <c r="I8" s="147" t="s">
        <v>299</v>
      </c>
    </row>
    <row r="9" spans="1:18" ht="15" customHeight="1" x14ac:dyDescent="0.25">
      <c r="A9" s="144" t="s">
        <v>46</v>
      </c>
      <c r="B9" s="115" t="s">
        <v>47</v>
      </c>
      <c r="C9" s="78" t="s">
        <v>48</v>
      </c>
      <c r="D9" s="118">
        <v>45839</v>
      </c>
      <c r="E9" s="97" t="s">
        <v>181</v>
      </c>
      <c r="F9" s="119">
        <v>105000</v>
      </c>
      <c r="G9" s="6">
        <v>0</v>
      </c>
      <c r="H9" s="122">
        <f t="shared" si="0"/>
        <v>105000</v>
      </c>
      <c r="I9" s="98"/>
    </row>
    <row r="10" spans="1:18" ht="15" customHeight="1" x14ac:dyDescent="0.25">
      <c r="A10" s="32" t="s">
        <v>312</v>
      </c>
      <c r="B10" s="33" t="s">
        <v>232</v>
      </c>
      <c r="C10" s="72" t="s">
        <v>205</v>
      </c>
      <c r="D10" s="16">
        <v>45870</v>
      </c>
      <c r="E10" s="17">
        <v>150000</v>
      </c>
      <c r="F10" s="122">
        <f>0.1*E10</f>
        <v>15000</v>
      </c>
      <c r="G10" s="6">
        <v>0</v>
      </c>
      <c r="H10" s="122">
        <f t="shared" si="0"/>
        <v>15000</v>
      </c>
      <c r="I10" s="98" t="s">
        <v>339</v>
      </c>
    </row>
    <row r="11" spans="1:18" ht="15" customHeight="1" x14ac:dyDescent="0.25">
      <c r="A11" s="9" t="s">
        <v>126</v>
      </c>
      <c r="B11" s="9" t="s">
        <v>16</v>
      </c>
      <c r="C11" s="67" t="s">
        <v>51</v>
      </c>
      <c r="D11" s="16">
        <v>45901</v>
      </c>
      <c r="E11" s="5" t="s">
        <v>181</v>
      </c>
      <c r="F11" s="119">
        <v>300000</v>
      </c>
      <c r="G11" s="6">
        <v>146400</v>
      </c>
      <c r="H11" s="122">
        <f t="shared" si="0"/>
        <v>153600</v>
      </c>
      <c r="I11" s="98"/>
    </row>
    <row r="12" spans="1:18" ht="15" customHeight="1" x14ac:dyDescent="0.25">
      <c r="A12" s="32" t="s">
        <v>249</v>
      </c>
      <c r="B12" s="9" t="s">
        <v>16</v>
      </c>
      <c r="C12" s="33" t="s">
        <v>250</v>
      </c>
      <c r="D12" s="16">
        <v>45901</v>
      </c>
      <c r="E12" t="s">
        <v>181</v>
      </c>
      <c r="F12" s="119">
        <v>300000</v>
      </c>
      <c r="G12" s="6">
        <v>0</v>
      </c>
      <c r="H12" s="122">
        <f t="shared" si="0"/>
        <v>300000</v>
      </c>
      <c r="I12" s="148"/>
    </row>
    <row r="13" spans="1:18" ht="15" customHeight="1" x14ac:dyDescent="0.25">
      <c r="A13" s="32" t="s">
        <v>252</v>
      </c>
      <c r="B13" s="33" t="s">
        <v>156</v>
      </c>
      <c r="C13" s="72" t="s">
        <v>253</v>
      </c>
      <c r="D13" s="16">
        <v>45901</v>
      </c>
      <c r="E13" s="17">
        <v>1500000</v>
      </c>
      <c r="F13" s="122">
        <f>0.1*E13</f>
        <v>150000</v>
      </c>
      <c r="G13" s="6">
        <v>0</v>
      </c>
      <c r="H13" s="122">
        <f t="shared" si="0"/>
        <v>150000</v>
      </c>
      <c r="I13" s="98" t="s">
        <v>324</v>
      </c>
    </row>
    <row r="14" spans="1:18" ht="15" customHeight="1" x14ac:dyDescent="0.25">
      <c r="A14" s="129" t="s">
        <v>227</v>
      </c>
      <c r="B14" s="101" t="s">
        <v>16</v>
      </c>
      <c r="C14" s="246" t="s">
        <v>228</v>
      </c>
      <c r="D14" s="16">
        <v>45870</v>
      </c>
      <c r="E14" s="17">
        <v>530000</v>
      </c>
      <c r="F14" s="122">
        <f>0.1*E14</f>
        <v>53000</v>
      </c>
      <c r="G14" s="6">
        <v>0</v>
      </c>
      <c r="H14" s="122">
        <f t="shared" si="0"/>
        <v>53000</v>
      </c>
      <c r="I14" s="98" t="s">
        <v>340</v>
      </c>
    </row>
    <row r="15" spans="1:18" ht="15" customHeight="1" x14ac:dyDescent="0.25">
      <c r="A15" s="46" t="s">
        <v>258</v>
      </c>
      <c r="B15" s="167" t="s">
        <v>16</v>
      </c>
      <c r="C15" s="168" t="s">
        <v>19</v>
      </c>
      <c r="D15" s="16">
        <v>45870</v>
      </c>
      <c r="E15" s="17">
        <v>300000</v>
      </c>
      <c r="F15" s="122">
        <f>0.1*E15</f>
        <v>30000</v>
      </c>
      <c r="G15" s="6">
        <v>0</v>
      </c>
      <c r="H15" s="122">
        <f t="shared" si="0"/>
        <v>30000</v>
      </c>
      <c r="I15" s="98" t="s">
        <v>341</v>
      </c>
    </row>
    <row r="16" spans="1:18" ht="15" customHeight="1" x14ac:dyDescent="0.25">
      <c r="A16" s="185" t="s">
        <v>259</v>
      </c>
      <c r="B16" s="186" t="s">
        <v>107</v>
      </c>
      <c r="C16" s="186" t="s">
        <v>260</v>
      </c>
      <c r="D16" s="16">
        <v>45870</v>
      </c>
      <c r="E16" t="s">
        <v>181</v>
      </c>
      <c r="F16" s="119">
        <v>21000</v>
      </c>
      <c r="G16" s="6">
        <v>0</v>
      </c>
      <c r="H16" s="122">
        <f t="shared" si="0"/>
        <v>21000</v>
      </c>
      <c r="I16" s="147" t="s">
        <v>323</v>
      </c>
    </row>
    <row r="17" spans="1:9" ht="15" customHeight="1" x14ac:dyDescent="0.25">
      <c r="A17" s="129" t="s">
        <v>211</v>
      </c>
      <c r="B17" s="129" t="s">
        <v>7</v>
      </c>
      <c r="C17" s="130" t="s">
        <v>212</v>
      </c>
      <c r="D17" s="16">
        <v>45870</v>
      </c>
      <c r="E17" s="17">
        <v>400000</v>
      </c>
      <c r="F17" s="122">
        <f>0.1*E17</f>
        <v>40000</v>
      </c>
      <c r="G17" s="6">
        <v>0</v>
      </c>
      <c r="H17" s="122">
        <f t="shared" si="0"/>
        <v>40000</v>
      </c>
      <c r="I17" s="98" t="s">
        <v>300</v>
      </c>
    </row>
    <row r="18" spans="1:9" ht="15" customHeight="1" x14ac:dyDescent="0.25">
      <c r="A18" s="9" t="s">
        <v>157</v>
      </c>
      <c r="B18" s="9" t="s">
        <v>21</v>
      </c>
      <c r="C18" s="67" t="s">
        <v>85</v>
      </c>
      <c r="D18" s="16">
        <v>45839</v>
      </c>
      <c r="E18" s="17">
        <v>250000</v>
      </c>
      <c r="F18" s="122">
        <f>0.1*E18</f>
        <v>25000</v>
      </c>
      <c r="G18" s="6">
        <v>0</v>
      </c>
      <c r="H18" s="122">
        <f t="shared" si="0"/>
        <v>25000</v>
      </c>
      <c r="I18" s="98" t="s">
        <v>342</v>
      </c>
    </row>
    <row r="19" spans="1:9" ht="15" customHeight="1" x14ac:dyDescent="0.25">
      <c r="A19" s="32" t="s">
        <v>265</v>
      </c>
      <c r="B19" s="33" t="s">
        <v>107</v>
      </c>
      <c r="C19" s="33" t="s">
        <v>33</v>
      </c>
      <c r="D19" s="16">
        <v>45962</v>
      </c>
      <c r="E19" t="s">
        <v>181</v>
      </c>
      <c r="F19" s="119">
        <v>25000</v>
      </c>
      <c r="G19" s="6">
        <v>0</v>
      </c>
      <c r="H19" s="122">
        <f t="shared" si="0"/>
        <v>25000</v>
      </c>
      <c r="I19" s="98" t="s">
        <v>329</v>
      </c>
    </row>
    <row r="20" spans="1:9" ht="15" customHeight="1" x14ac:dyDescent="0.25">
      <c r="A20" s="32" t="s">
        <v>267</v>
      </c>
      <c r="B20" s="33" t="s">
        <v>232</v>
      </c>
      <c r="C20" s="72" t="s">
        <v>268</v>
      </c>
      <c r="D20" s="16">
        <v>45870</v>
      </c>
      <c r="E20" s="17">
        <v>200000</v>
      </c>
      <c r="F20" s="122">
        <f>0.1*E20</f>
        <v>20000</v>
      </c>
      <c r="G20" s="6">
        <v>0</v>
      </c>
      <c r="H20" s="122">
        <f t="shared" si="0"/>
        <v>20000</v>
      </c>
      <c r="I20" s="98" t="s">
        <v>343</v>
      </c>
    </row>
    <row r="21" spans="1:9" ht="30" customHeight="1" x14ac:dyDescent="0.25">
      <c r="A21" s="32" t="s">
        <v>270</v>
      </c>
      <c r="B21" s="33" t="s">
        <v>47</v>
      </c>
      <c r="C21" s="33" t="s">
        <v>33</v>
      </c>
      <c r="D21" s="16">
        <v>45839</v>
      </c>
      <c r="E21" s="5" t="s">
        <v>181</v>
      </c>
      <c r="F21" s="119">
        <v>13000</v>
      </c>
      <c r="G21" s="6">
        <v>0</v>
      </c>
      <c r="H21" s="122">
        <f t="shared" si="0"/>
        <v>13000</v>
      </c>
      <c r="I21" s="98" t="s">
        <v>298</v>
      </c>
    </row>
    <row r="22" spans="1:9" ht="30" customHeight="1" x14ac:dyDescent="0.25">
      <c r="A22" s="32" t="s">
        <v>272</v>
      </c>
      <c r="B22" s="33" t="s">
        <v>7</v>
      </c>
      <c r="C22" s="72" t="s">
        <v>273</v>
      </c>
      <c r="D22" s="16">
        <v>45901</v>
      </c>
      <c r="E22" s="17">
        <v>550000</v>
      </c>
      <c r="F22" s="122">
        <f>0.1*E22</f>
        <v>55000</v>
      </c>
      <c r="G22" s="6">
        <v>0</v>
      </c>
      <c r="H22" s="122">
        <f t="shared" si="0"/>
        <v>55000</v>
      </c>
      <c r="I22" s="98" t="s">
        <v>327</v>
      </c>
    </row>
    <row r="23" spans="1:9" ht="30" customHeight="1" x14ac:dyDescent="0.25">
      <c r="A23" s="9" t="s">
        <v>220</v>
      </c>
      <c r="B23" s="9" t="s">
        <v>47</v>
      </c>
      <c r="C23" s="67" t="s">
        <v>60</v>
      </c>
      <c r="D23" s="16">
        <v>45839</v>
      </c>
      <c r="E23" s="5" t="s">
        <v>181</v>
      </c>
      <c r="F23" s="119">
        <v>45000</v>
      </c>
      <c r="G23" s="6">
        <v>0</v>
      </c>
      <c r="H23" s="122">
        <f t="shared" si="0"/>
        <v>45000</v>
      </c>
      <c r="I23" s="98" t="s">
        <v>344</v>
      </c>
    </row>
    <row r="24" spans="1:9" ht="15" customHeight="1" x14ac:dyDescent="0.25">
      <c r="A24" s="129" t="s">
        <v>44</v>
      </c>
      <c r="B24" s="129" t="s">
        <v>16</v>
      </c>
      <c r="C24" s="130" t="s">
        <v>45</v>
      </c>
      <c r="D24" s="16">
        <v>45839</v>
      </c>
      <c r="E24" s="17">
        <v>1100000</v>
      </c>
      <c r="F24" s="122">
        <f>0.1*E24</f>
        <v>110000</v>
      </c>
      <c r="G24" s="6">
        <v>0</v>
      </c>
      <c r="H24" s="122">
        <f t="shared" si="0"/>
        <v>110000</v>
      </c>
      <c r="I24" s="98"/>
    </row>
    <row r="25" spans="1:9" x14ac:dyDescent="0.25">
      <c r="A25" s="32" t="s">
        <v>61</v>
      </c>
      <c r="B25" s="33" t="s">
        <v>16</v>
      </c>
      <c r="C25" s="72" t="s">
        <v>45</v>
      </c>
      <c r="D25" s="16">
        <v>45839</v>
      </c>
      <c r="E25" s="17">
        <v>1177325</v>
      </c>
      <c r="F25" s="122">
        <f>0.1*E25</f>
        <v>117732.5</v>
      </c>
      <c r="G25" s="6">
        <v>113895</v>
      </c>
      <c r="H25" s="122">
        <f t="shared" si="0"/>
        <v>3837.5</v>
      </c>
      <c r="I25" s="98"/>
    </row>
    <row r="26" spans="1:9" x14ac:dyDescent="0.25">
      <c r="A26" s="32" t="s">
        <v>12</v>
      </c>
      <c r="B26" s="33" t="s">
        <v>57</v>
      </c>
      <c r="C26" s="72" t="s">
        <v>305</v>
      </c>
      <c r="D26" s="16">
        <v>45839</v>
      </c>
      <c r="E26" s="5" t="s">
        <v>181</v>
      </c>
      <c r="F26" s="119">
        <v>5000</v>
      </c>
      <c r="G26" s="6">
        <v>0</v>
      </c>
      <c r="H26" s="122">
        <f t="shared" si="0"/>
        <v>5000</v>
      </c>
      <c r="I26" s="98" t="s">
        <v>345</v>
      </c>
    </row>
    <row r="27" spans="1:9" ht="30" x14ac:dyDescent="0.25">
      <c r="A27" s="9" t="s">
        <v>15</v>
      </c>
      <c r="B27" s="9" t="s">
        <v>16</v>
      </c>
      <c r="C27" s="67" t="s">
        <v>17</v>
      </c>
      <c r="D27" s="16">
        <v>45870</v>
      </c>
      <c r="E27" s="17">
        <v>450000</v>
      </c>
      <c r="F27" s="122">
        <f>0.1*E27</f>
        <v>45000</v>
      </c>
      <c r="G27" s="6">
        <v>0</v>
      </c>
      <c r="H27" s="122">
        <f t="shared" si="0"/>
        <v>45000</v>
      </c>
      <c r="I27" s="98" t="s">
        <v>346</v>
      </c>
    </row>
    <row r="28" spans="1:9" ht="15" customHeight="1" x14ac:dyDescent="0.25">
      <c r="A28" s="32" t="s">
        <v>277</v>
      </c>
      <c r="B28" s="33" t="s">
        <v>57</v>
      </c>
      <c r="C28" s="33" t="s">
        <v>278</v>
      </c>
      <c r="D28" s="16">
        <v>45870</v>
      </c>
      <c r="E28" t="s">
        <v>181</v>
      </c>
      <c r="F28" s="119">
        <v>15000</v>
      </c>
      <c r="G28" s="6">
        <v>0</v>
      </c>
      <c r="H28" s="122">
        <f t="shared" si="0"/>
        <v>15000</v>
      </c>
      <c r="I28" s="98" t="s">
        <v>328</v>
      </c>
    </row>
    <row r="29" spans="1:9" ht="15" customHeight="1" x14ac:dyDescent="0.25">
      <c r="A29" s="32" t="s">
        <v>168</v>
      </c>
      <c r="B29" t="s">
        <v>151</v>
      </c>
      <c r="C29" t="s">
        <v>169</v>
      </c>
      <c r="D29" s="16">
        <v>45870</v>
      </c>
      <c r="E29" t="s">
        <v>181</v>
      </c>
      <c r="F29" s="119">
        <v>14000</v>
      </c>
      <c r="G29" s="6">
        <v>0</v>
      </c>
      <c r="H29" s="122">
        <f t="shared" si="0"/>
        <v>14000</v>
      </c>
      <c r="I29" s="147" t="s">
        <v>347</v>
      </c>
    </row>
    <row r="30" spans="1:9" ht="15" customHeight="1" x14ac:dyDescent="0.25">
      <c r="A30" s="32" t="s">
        <v>280</v>
      </c>
      <c r="B30" s="33" t="s">
        <v>107</v>
      </c>
      <c r="C30" s="33" t="s">
        <v>74</v>
      </c>
      <c r="D30" s="16">
        <v>45962</v>
      </c>
      <c r="E30" t="s">
        <v>181</v>
      </c>
      <c r="F30" s="119">
        <v>22000</v>
      </c>
      <c r="G30" s="6">
        <v>0</v>
      </c>
      <c r="H30" s="122">
        <f t="shared" si="0"/>
        <v>22000</v>
      </c>
      <c r="I30" s="98" t="s">
        <v>348</v>
      </c>
    </row>
    <row r="31" spans="1:9" ht="15" customHeight="1" x14ac:dyDescent="0.25">
      <c r="A31" s="32" t="s">
        <v>315</v>
      </c>
      <c r="B31" s="33" t="s">
        <v>21</v>
      </c>
      <c r="C31" s="72" t="s">
        <v>8</v>
      </c>
      <c r="D31" s="16">
        <v>45839</v>
      </c>
      <c r="E31" s="17">
        <v>500000</v>
      </c>
      <c r="F31" s="122">
        <f>0.1*E31</f>
        <v>50000</v>
      </c>
      <c r="G31" s="6">
        <v>0</v>
      </c>
      <c r="H31" s="122">
        <f t="shared" si="0"/>
        <v>50000</v>
      </c>
      <c r="I31" s="98" t="s">
        <v>349</v>
      </c>
    </row>
    <row r="32" spans="1:9" ht="15" customHeight="1" x14ac:dyDescent="0.25">
      <c r="A32" s="32" t="s">
        <v>330</v>
      </c>
      <c r="B32" s="33" t="s">
        <v>156</v>
      </c>
      <c r="C32" s="72" t="s">
        <v>80</v>
      </c>
      <c r="D32" s="16">
        <v>45901</v>
      </c>
      <c r="E32" s="121">
        <v>750000</v>
      </c>
      <c r="F32" s="122">
        <f>0.1*E32</f>
        <v>75000</v>
      </c>
      <c r="G32" s="6">
        <v>0</v>
      </c>
      <c r="H32" s="122">
        <f t="shared" si="0"/>
        <v>75000</v>
      </c>
      <c r="I32" s="98" t="s">
        <v>331</v>
      </c>
    </row>
    <row r="33" spans="1:9" ht="15" customHeight="1" x14ac:dyDescent="0.25">
      <c r="A33" s="32" t="s">
        <v>282</v>
      </c>
      <c r="B33" s="33" t="s">
        <v>107</v>
      </c>
      <c r="C33" s="33" t="s">
        <v>283</v>
      </c>
      <c r="D33" s="16">
        <v>45870</v>
      </c>
      <c r="E33" t="s">
        <v>181</v>
      </c>
      <c r="F33" s="119">
        <v>35000</v>
      </c>
      <c r="G33" s="6">
        <v>0</v>
      </c>
      <c r="H33" s="122">
        <f t="shared" si="0"/>
        <v>35000</v>
      </c>
      <c r="I33" s="98" t="s">
        <v>329</v>
      </c>
    </row>
    <row r="34" spans="1:9" ht="15" customHeight="1" x14ac:dyDescent="0.25">
      <c r="A34" s="32" t="s">
        <v>284</v>
      </c>
      <c r="B34" s="33" t="s">
        <v>350</v>
      </c>
      <c r="C34" s="33" t="s">
        <v>285</v>
      </c>
      <c r="D34" s="16">
        <v>45839</v>
      </c>
      <c r="E34" s="5">
        <v>650000</v>
      </c>
      <c r="F34" s="122">
        <f>0.1*E34</f>
        <v>65000</v>
      </c>
      <c r="G34" s="6">
        <v>0</v>
      </c>
      <c r="H34" s="122">
        <f t="shared" si="0"/>
        <v>65000</v>
      </c>
      <c r="I34" s="98" t="s">
        <v>351</v>
      </c>
    </row>
    <row r="35" spans="1:9" ht="15" customHeight="1" x14ac:dyDescent="0.25">
      <c r="A35" s="32" t="s">
        <v>288</v>
      </c>
      <c r="B35" s="33" t="s">
        <v>107</v>
      </c>
      <c r="C35" s="33" t="s">
        <v>17</v>
      </c>
      <c r="D35" s="16">
        <v>45839</v>
      </c>
      <c r="E35" t="s">
        <v>181</v>
      </c>
      <c r="F35" s="119">
        <v>11000</v>
      </c>
      <c r="G35" s="6">
        <v>0</v>
      </c>
      <c r="H35" s="122">
        <f t="shared" si="0"/>
        <v>11000</v>
      </c>
      <c r="I35" s="98" t="s">
        <v>311</v>
      </c>
    </row>
    <row r="36" spans="1:9" x14ac:dyDescent="0.25">
      <c r="A36" s="32" t="s">
        <v>223</v>
      </c>
      <c r="B36" s="33" t="s">
        <v>57</v>
      </c>
      <c r="C36" s="72" t="s">
        <v>224</v>
      </c>
      <c r="D36" s="16">
        <v>45839</v>
      </c>
      <c r="E36" s="17">
        <v>190000</v>
      </c>
      <c r="F36" s="6">
        <f>0.1*E36</f>
        <v>19000</v>
      </c>
      <c r="G36" s="6">
        <v>0</v>
      </c>
      <c r="H36" s="6">
        <f t="shared" si="0"/>
        <v>19000</v>
      </c>
      <c r="I36" s="67" t="s">
        <v>316</v>
      </c>
    </row>
    <row r="37" spans="1:9" x14ac:dyDescent="0.25">
      <c r="A37" s="32" t="s">
        <v>333</v>
      </c>
      <c r="B37" s="33" t="s">
        <v>352</v>
      </c>
      <c r="C37" s="72" t="s">
        <v>334</v>
      </c>
      <c r="D37" s="16">
        <v>45901</v>
      </c>
      <c r="E37" s="17">
        <v>200000</v>
      </c>
      <c r="F37" s="6">
        <f>0.1*E37</f>
        <v>20000</v>
      </c>
      <c r="G37" s="6">
        <v>0</v>
      </c>
      <c r="H37" s="6">
        <f t="shared" si="0"/>
        <v>20000</v>
      </c>
      <c r="I37" s="67" t="s">
        <v>353</v>
      </c>
    </row>
    <row r="38" spans="1:9" x14ac:dyDescent="0.25">
      <c r="A38" s="32" t="s">
        <v>317</v>
      </c>
      <c r="B38" s="33" t="s">
        <v>232</v>
      </c>
      <c r="C38" s="72" t="s">
        <v>105</v>
      </c>
      <c r="D38" s="16">
        <v>45839</v>
      </c>
      <c r="E38" s="17">
        <v>50000</v>
      </c>
      <c r="F38" s="6">
        <f>0.1*E38</f>
        <v>5000</v>
      </c>
      <c r="G38" s="6">
        <v>0</v>
      </c>
      <c r="H38" s="6">
        <f t="shared" si="0"/>
        <v>5000</v>
      </c>
      <c r="I38" s="67" t="s">
        <v>298</v>
      </c>
    </row>
    <row r="39" spans="1:9" x14ac:dyDescent="0.25">
      <c r="A39" s="32" t="s">
        <v>318</v>
      </c>
      <c r="B39" s="33" t="s">
        <v>151</v>
      </c>
      <c r="C39" s="72" t="s">
        <v>66</v>
      </c>
      <c r="D39" s="16">
        <v>45901</v>
      </c>
      <c r="E39" s="17">
        <v>100000</v>
      </c>
      <c r="F39" s="6">
        <f>0.1*E39</f>
        <v>10000</v>
      </c>
      <c r="G39" s="6">
        <v>0</v>
      </c>
      <c r="H39" s="122">
        <f t="shared" si="0"/>
        <v>10000</v>
      </c>
      <c r="I39" s="67" t="s">
        <v>354</v>
      </c>
    </row>
    <row r="40" spans="1:9" x14ac:dyDescent="0.25">
      <c r="A40" s="32" t="s">
        <v>335</v>
      </c>
      <c r="B40" t="s">
        <v>7</v>
      </c>
      <c r="C40" t="s">
        <v>167</v>
      </c>
      <c r="D40" s="16">
        <v>45931</v>
      </c>
      <c r="E40" s="17">
        <v>800000</v>
      </c>
      <c r="F40" s="6">
        <f>0.1*E40</f>
        <v>80000</v>
      </c>
      <c r="G40" s="6">
        <v>0</v>
      </c>
      <c r="H40" s="122">
        <f t="shared" si="0"/>
        <v>80000</v>
      </c>
    </row>
    <row r="41" spans="1:9" ht="30" x14ac:dyDescent="0.25">
      <c r="A41" s="32" t="s">
        <v>292</v>
      </c>
      <c r="B41" s="33" t="s">
        <v>57</v>
      </c>
      <c r="C41" s="33" t="s">
        <v>293</v>
      </c>
      <c r="D41" s="16">
        <v>45870</v>
      </c>
      <c r="E41" t="s">
        <v>181</v>
      </c>
      <c r="F41" s="18">
        <v>8000</v>
      </c>
      <c r="G41" s="6">
        <v>0</v>
      </c>
      <c r="H41" s="122">
        <f t="shared" si="0"/>
        <v>8000</v>
      </c>
      <c r="I41" s="67" t="s">
        <v>332</v>
      </c>
    </row>
    <row r="42" spans="1:9" x14ac:dyDescent="0.25">
      <c r="A42" s="144" t="s">
        <v>319</v>
      </c>
      <c r="B42" s="76" t="s">
        <v>7</v>
      </c>
      <c r="C42" s="76" t="s">
        <v>320</v>
      </c>
      <c r="D42" s="118">
        <v>45839</v>
      </c>
      <c r="E42" s="121">
        <v>800000</v>
      </c>
      <c r="F42" s="126">
        <f>0.1*E42</f>
        <v>80000</v>
      </c>
      <c r="G42" s="122">
        <v>0</v>
      </c>
      <c r="H42" s="122">
        <f t="shared" si="0"/>
        <v>80000</v>
      </c>
      <c r="I42" s="98" t="s">
        <v>321</v>
      </c>
    </row>
    <row r="43" spans="1:9" x14ac:dyDescent="0.25">
      <c r="A43" s="144" t="s">
        <v>322</v>
      </c>
      <c r="B43" s="115" t="s">
        <v>151</v>
      </c>
      <c r="C43" s="78" t="s">
        <v>66</v>
      </c>
      <c r="D43" s="118">
        <v>45839</v>
      </c>
      <c r="E43" s="121">
        <v>200000</v>
      </c>
      <c r="F43" s="126">
        <f>0.1*E43</f>
        <v>20000</v>
      </c>
      <c r="G43" s="122">
        <v>0</v>
      </c>
      <c r="H43" s="122">
        <f t="shared" si="0"/>
        <v>20000</v>
      </c>
      <c r="I43" s="98"/>
    </row>
    <row r="44" spans="1:9" x14ac:dyDescent="0.25">
      <c r="A44" s="32" t="s">
        <v>295</v>
      </c>
      <c r="B44" s="115" t="s">
        <v>47</v>
      </c>
      <c r="C44" s="72" t="s">
        <v>296</v>
      </c>
      <c r="D44" s="16">
        <v>45870</v>
      </c>
      <c r="E44" s="17">
        <v>150000</v>
      </c>
      <c r="F44" s="6">
        <f>0.1*E44</f>
        <v>15000</v>
      </c>
      <c r="G44" s="6">
        <v>0</v>
      </c>
      <c r="H44" s="122">
        <f t="shared" si="0"/>
        <v>15000</v>
      </c>
      <c r="I44" s="67" t="s">
        <v>355</v>
      </c>
    </row>
    <row r="45" spans="1:9" x14ac:dyDescent="0.25">
      <c r="C45" s="128"/>
    </row>
    <row r="46" spans="1:9" x14ac:dyDescent="0.25">
      <c r="A46" s="132" t="s">
        <v>215</v>
      </c>
      <c r="B46" s="133" t="s">
        <v>5</v>
      </c>
      <c r="C46" s="134" t="s">
        <v>216</v>
      </c>
    </row>
    <row r="47" spans="1:9" x14ac:dyDescent="0.25">
      <c r="A47" s="135">
        <v>45778</v>
      </c>
      <c r="B47" s="34">
        <f>SUMIF(D:D,"5/1/2025",F:F)</f>
        <v>0</v>
      </c>
      <c r="C47" s="34">
        <f>SUMIF(D:D,"5/1/2025",H:H)</f>
        <v>0</v>
      </c>
    </row>
    <row r="48" spans="1:9" x14ac:dyDescent="0.25">
      <c r="A48" s="135">
        <v>45809</v>
      </c>
      <c r="B48" s="34">
        <f>SUMIF(D:D,"6/1/2025",F:F)</f>
        <v>0</v>
      </c>
      <c r="C48" s="34">
        <f>SUMIF(D:D,"6/1/2025",H:H)</f>
        <v>0</v>
      </c>
    </row>
    <row r="49" spans="1:3" x14ac:dyDescent="0.25">
      <c r="A49" s="135">
        <v>45839</v>
      </c>
      <c r="B49" s="34">
        <f>SUMIF(D:D,"7/1/2025",F:F)</f>
        <v>690732.5</v>
      </c>
      <c r="C49" s="34">
        <f>SUMIF(D:D,"7/1/2025",H:H)</f>
        <v>576837.5</v>
      </c>
    </row>
    <row r="50" spans="1:3" x14ac:dyDescent="0.25">
      <c r="A50" s="135">
        <v>45870</v>
      </c>
      <c r="B50" s="34">
        <f>SUMIF(D:D,"8/1/2025",F:F)</f>
        <v>951100</v>
      </c>
      <c r="C50" s="34">
        <f>SUMIF(D:D,"8/1/2025",H:H)</f>
        <v>466360</v>
      </c>
    </row>
    <row r="51" spans="1:3" x14ac:dyDescent="0.25">
      <c r="A51" s="146">
        <v>45901</v>
      </c>
      <c r="B51" s="34">
        <f>SUMIF(D:D,"9/1/2025",F:F)</f>
        <v>1011000</v>
      </c>
      <c r="C51" s="34">
        <f>SUMIF(D:D,"9/1/2025",H:H)</f>
        <v>864600</v>
      </c>
    </row>
    <row r="52" spans="1:3" x14ac:dyDescent="0.25">
      <c r="A52" s="146">
        <v>45931</v>
      </c>
      <c r="B52" s="34">
        <f>SUMIF(D:D,"10/1/2025",F:F)</f>
        <v>80000</v>
      </c>
      <c r="C52" s="34">
        <f>SUMIF(D:D,"10/1/2025",H:H)</f>
        <v>80000</v>
      </c>
    </row>
  </sheetData>
  <autoFilter ref="A1:I44" xr:uid="{87267334-FB0F-4B5C-9926-8B490E0A53C3}"/>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EC4D3-68E2-4D8B-A5A5-8F9074DD6CFB}">
  <sheetPr codeName="Sheet17">
    <tabColor theme="0" tint="-0.499984740745262"/>
  </sheetPr>
  <dimension ref="A1:R54"/>
  <sheetViews>
    <sheetView workbookViewId="0">
      <selection activeCell="I23" sqref="I23"/>
    </sheetView>
  </sheetViews>
  <sheetFormatPr defaultRowHeight="15" x14ac:dyDescent="0.25"/>
  <cols>
    <col min="1" max="1" width="18.140625" style="32" customWidth="1"/>
    <col min="2" max="3" width="20" customWidth="1"/>
    <col min="4" max="4" width="21" customWidth="1"/>
    <col min="5" max="5" width="16.28515625" customWidth="1"/>
    <col min="6" max="6" width="18.28515625" style="179" bestFit="1" customWidth="1"/>
    <col min="7" max="8" width="17.85546875" customWidth="1"/>
    <col min="9" max="9" width="44.140625" customWidth="1"/>
    <col min="10" max="10" width="24.140625" hidden="1" customWidth="1"/>
    <col min="12" max="12" width="9.5703125" bestFit="1" customWidth="1"/>
    <col min="13" max="13" width="14.85546875" bestFit="1" customWidth="1"/>
    <col min="14" max="14" width="15.140625" bestFit="1" customWidth="1"/>
    <col min="15" max="15" width="19" bestFit="1" customWidth="1"/>
    <col min="16" max="16" width="14.85546875" bestFit="1" customWidth="1"/>
  </cols>
  <sheetData>
    <row r="1" spans="1:18" ht="30" x14ac:dyDescent="0.25">
      <c r="A1" s="162" t="s">
        <v>0</v>
      </c>
      <c r="B1" s="163" t="s">
        <v>1</v>
      </c>
      <c r="C1" s="163" t="s">
        <v>2</v>
      </c>
      <c r="D1" s="164" t="s">
        <v>54</v>
      </c>
      <c r="E1" s="165" t="s">
        <v>4</v>
      </c>
      <c r="F1" s="163" t="s">
        <v>5</v>
      </c>
      <c r="G1" s="163" t="s">
        <v>186</v>
      </c>
      <c r="H1" s="163" t="s">
        <v>187</v>
      </c>
      <c r="I1" s="166" t="s">
        <v>230</v>
      </c>
      <c r="J1" s="2" t="s">
        <v>356</v>
      </c>
    </row>
    <row r="2" spans="1:18" ht="15" customHeight="1" x14ac:dyDescent="0.25">
      <c r="A2" s="169" t="s">
        <v>75</v>
      </c>
      <c r="B2" s="188" t="str" cm="1">
        <f t="array" ref="B2">_xlfn.LET(_xlpm.DI_name, _xlfn.XLOOKUP(A2, [2]!DOT_Projects[[#All],[Engineering Number]], [2]!DOT_Projects[[#All],[Designer Name]], ""), _xlpm.DI_tm_name, _xlfn.XLOOKUP(A2, [2]!Table7[[#All],[Eng Number]], [2]!Table7[[#All],[Designer Name]], ""), _xlpm.TR_name, _xlfn.XLOOKUP(A2, [1]!CRA_Projects31213[[#All],[Engineering Number]], [1]!CRA_Projects31213[[#All],[Designer Supervisor]]), _xlpm.TR_tm_name, _xlfn.XLOOKUP(A2, [1]!CRA_Projects312132[[#All],[Engineering Number]], [1]!CRA_Projects312132[[#All],[Designer Supervisor]]), _xlfn.SWITCH($J2, 1, _xlpm.DI_name, 2, _xlpm.DI_tm_name, 3, _xlpm.TR_name, 4, _xlpm.TR_tm_name, "Number not Found"))</f>
        <v>Camille Corbi
(Matt Hopkins)</v>
      </c>
      <c r="C2" s="189" t="str" cm="1">
        <f t="array" ref="C2">_xlfn.LET(_xlpm.DI_town, _xlfn.XLOOKUP(A2, [2]!DOT_Projects[[#All],[Engineering Number]], [2]!DOT_Projects[[#All],[Town]], ""), _xlpm.DI_tm_town, _xlfn.XLOOKUP(A2, [2]!Table7[[#All],[Eng Number]], [2]!Table7[[#All],[Town]], ""), _xlpm.TR_town, _xlfn.XLOOKUP(A2, [1]!CRA_Projects31213[[#All],[Engineering Number]], [1]!CRA_Projects31213[[#All],[Town]]), _xlpm.TR_tm_town, _xlfn.XLOOKUP(A2, [1]!CRA_Projects312132[[#All],[Engineering Number]], [1]!CRA_Projects312132[[#All],[Town]]),_xlfn.SWITCH($J2, 1, _xlpm.DI_town, 2, _xlpm.DI_tm_town, 3, _xlpm.TR_town, 4, _xlpm.TR_tm_town, "Number not Found"))</f>
        <v>NORMAL</v>
      </c>
      <c r="D2" s="118">
        <v>45901</v>
      </c>
      <c r="E2" s="76" t="s">
        <v>181</v>
      </c>
      <c r="F2" s="178">
        <v>45000</v>
      </c>
      <c r="G2" s="191">
        <v>0</v>
      </c>
      <c r="H2" s="191">
        <f t="shared" ref="H2:H22" si="0">F2-G2</f>
        <v>45000</v>
      </c>
      <c r="I2" s="145" t="s">
        <v>357</v>
      </c>
      <c r="J2">
        <f>_xlfn.LET(_xlpm.is_DI_dot, IF(IFERROR(MATCH(A2,'Engineering Numbers Ref'!A:A, 0),0)&gt;0, 1, 0), _xlpm.is_DI_tm, IF(IFERROR(MATCH(A2,'Engineering Numbers Ref'!B:B, 0),0)&gt;0, 2, 0), _xlpm.is_TR_dot, IF(IFERROR(MATCH(A2,'Engineering Numbers Ref'!C:C, 0),0)&gt;0,3,0), _xlpm.is_TR_tm, IF(IFERROR(MATCH(A2,'Engineering Numbers Ref'!D:D, 0),0)&gt;0,4,0), _xlpm.is_DI_dot+_xlpm.is_DI_tm+_xlpm.is_TR_dot+_xlpm.is_TR_tm)</f>
        <v>2</v>
      </c>
      <c r="K2" s="9"/>
      <c r="L2" s="74"/>
      <c r="M2" s="132" t="s">
        <v>215</v>
      </c>
      <c r="N2" s="133" t="s">
        <v>5</v>
      </c>
      <c r="O2" s="134" t="s">
        <v>216</v>
      </c>
      <c r="P2" s="6"/>
      <c r="Q2" s="6"/>
      <c r="R2" s="6"/>
    </row>
    <row r="3" spans="1:18" ht="15" customHeight="1" x14ac:dyDescent="0.25">
      <c r="A3" s="169" t="s">
        <v>295</v>
      </c>
      <c r="B3" s="208" t="str" cm="1">
        <f t="array" ref="B3">_xlfn.LET(_xlpm.DI_name, _xlfn.XLOOKUP(A3, [2]!DOT_Projects[[#All],[Engineering Number]], [2]!DOT_Projects[[#All],[Designer Name]], ""), _xlpm.DI_tm_name, _xlfn.XLOOKUP(A3, [2]!Table7[[#All],[Eng Number]], [2]!Table7[[#All],[Designer Name]], ""), _xlpm.TR_name, _xlfn.XLOOKUP(A3, [1]!CRA_Projects31213[[#All],[Engineering Number]], [1]!CRA_Projects31213[[#All],[Designer Supervisor]]), _xlpm.TR_tm_name, _xlfn.XLOOKUP(A3, [1]!CRA_Projects312132[[#All],[Engineering Number]], [1]!CRA_Projects312132[[#All],[Designer Supervisor]]), _xlfn.SWITCH($J3, 1, _xlpm.DI_name, 2, _xlpm.DI_tm_name, 3, _xlpm.TR_name, 4, _xlpm.TR_tm_name, "Number not Found"))</f>
        <v>Camille Corbi
(Caroline Kulach)</v>
      </c>
      <c r="C3" s="189" t="str" cm="1">
        <f t="array" ref="C3">_xlfn.LET(_xlpm.DI_town, _xlfn.XLOOKUP(A3, [2]!DOT_Projects[[#All],[Engineering Number]], [2]!DOT_Projects[[#All],[Town]], ""), _xlpm.DI_tm_town, _xlfn.XLOOKUP(A3, [2]!Table7[[#All],[Eng Number]], [2]!Table7[[#All],[Town]], ""), _xlpm.TR_town, _xlfn.XLOOKUP(A3, [1]!CRA_Projects31213[[#All],[Engineering Number]], [1]!CRA_Projects31213[[#All],[Town]]), _xlpm.TR_tm_town, _xlfn.XLOOKUP(A3, [1]!CRA_Projects312132[[#All],[Engineering Number]], [1]!CRA_Projects312132[[#All],[Town]]),_xlfn.SWITCH($J3, 1, _xlpm.DI_town, 2, _xlpm.DI_tm_town, 3, _xlpm.TR_town, 4, _xlpm.TR_tm_town, "Number not Found"))</f>
        <v>GILMAN</v>
      </c>
      <c r="D3" s="190" cm="1">
        <f t="array" ref="D3">_xlfn.LET(_xlpm.DI_date, _xlfn.XLOOKUP(A3, [2]!DOT_Projects[[#All],[Engineering Number]], [2]!DOT_Projects[[#All],[Engineering Approved Design Date]]), _xlpm.DI_tm_date, _xlfn.XLOOKUP(A3, [2]!Table7[[#All],[Eng Number]], [2]!Table7[[#All],[Target
Release Date]]), _xlpm.TR_date, _xlfn.XLOOKUP(A3, [1]!CRA_Projects31213[[#All],[Engineering Number]], [1]!CRA_Projects31213[[#All],[Engineering Approved Design Date]]), _xlpm.TR_tm_date, _xlfn.XLOOKUP(A3, [1]!CRA_Projects312132[[#All],[Engineering Number]], [1]!CRA_Projects312132[[#All],[Engineering Approved Design Date]]), _xlpm.date_lookup, _xlfn.SWITCH($J3, 1, _xlpm.DI_date, 2, _xlpm.DI_tm_date, 3, _xlpm.TR_date, 4, _xlpm.TR_tm_date, "Number not Found"), IFERROR(IF(DAY(_xlpm.date_lookup)&lt;=15, DATE(YEAR(_xlpm.date_lookup), MONTH(_xlpm.date_lookup), 1), DATE(YEAR(_xlpm.date_lookup), MONTH(_xlpm.date_lookup)+1, 1)), "Number not Found"))</f>
        <v>45992</v>
      </c>
      <c r="E3" s="175">
        <v>150000</v>
      </c>
      <c r="F3" s="177">
        <f t="shared" ref="F3:F9" si="1">0.1*E3</f>
        <v>15000</v>
      </c>
      <c r="G3" s="191">
        <v>0</v>
      </c>
      <c r="H3" s="191">
        <f t="shared" si="0"/>
        <v>15000</v>
      </c>
      <c r="I3" s="145" t="s">
        <v>358</v>
      </c>
      <c r="J3">
        <f>_xlfn.LET(_xlpm.is_DI_dot, IF(IFERROR(MATCH(A3,'Engineering Numbers Ref'!A:A, 0),0)&gt;0, 1, 0), _xlpm.is_DI_tm, IF(IFERROR(MATCH(A3,'Engineering Numbers Ref'!B:B, 0),0)&gt;0, 2, 0), _xlpm.is_TR_dot, IF(IFERROR(MATCH(A3,'Engineering Numbers Ref'!C:C, 0),0)&gt;0,3,0), _xlpm.is_TR_tm, IF(IFERROR(MATCH(A3,'Engineering Numbers Ref'!D:D, 0),0)&gt;0,4,0), _xlpm.is_DI_dot+_xlpm.is_DI_tm+_xlpm.is_TR_dot+_xlpm.is_TR_tm)</f>
        <v>1</v>
      </c>
      <c r="K3" s="9"/>
      <c r="L3" s="9"/>
      <c r="M3" s="135">
        <v>45870</v>
      </c>
      <c r="N3" s="34">
        <f>SUMIF(D:D,"8/1/2025",F:F)</f>
        <v>17666</v>
      </c>
      <c r="O3" s="34">
        <f>SUMIF(D:D,"8/1/2025",H:H)</f>
        <v>17666</v>
      </c>
      <c r="P3" s="6"/>
      <c r="Q3" s="6"/>
      <c r="R3" s="6"/>
    </row>
    <row r="4" spans="1:18" ht="15" customHeight="1" x14ac:dyDescent="0.25">
      <c r="A4" s="169" t="s">
        <v>231</v>
      </c>
      <c r="B4" s="188" t="str" cm="1">
        <f t="array" ref="B4">_xlfn.LET(_xlpm.DI_name, _xlfn.XLOOKUP(A4, [2]!DOT_Projects[[#All],[Engineering Number]], [2]!DOT_Projects[[#All],[Designer Name]], ""), _xlpm.DI_tm_name, _xlfn.XLOOKUP(A4, [2]!Table7[[#All],[Eng Number]], [2]!Table7[[#All],[Designer Name]], ""), _xlpm.TR_name, _xlfn.XLOOKUP(A4, [1]!CRA_Projects31213[[#All],[Engineering Number]], [1]!CRA_Projects31213[[#All],[Designer Supervisor]]), _xlpm.TR_tm_name, _xlfn.XLOOKUP(A4, [1]!CRA_Projects312132[[#All],[Engineering Number]], [1]!CRA_Projects312132[[#All],[Designer Supervisor]]), _xlfn.SWITCH($J4, 1, _xlpm.DI_name, 2, _xlpm.DI_tm_name, 3, _xlpm.TR_name, 4, _xlpm.TR_tm_name, "Number not Found"))</f>
        <v>Caroline Kulach</v>
      </c>
      <c r="C4" s="189" t="str" cm="1">
        <f t="array" ref="C4">_xlfn.LET(_xlpm.DI_town, _xlfn.XLOOKUP(A4, [2]!DOT_Projects[[#All],[Engineering Number]], [2]!DOT_Projects[[#All],[Town]], ""), _xlpm.DI_tm_town, _xlfn.XLOOKUP(A4, [2]!Table7[[#All],[Eng Number]], [2]!Table7[[#All],[Town]], ""), _xlpm.TR_town, _xlfn.XLOOKUP(A4, [1]!CRA_Projects31213[[#All],[Engineering Number]], [1]!CRA_Projects31213[[#All],[Town]]), _xlpm.TR_tm_town, _xlfn.XLOOKUP(A4, [1]!CRA_Projects312132[[#All],[Engineering Number]], [1]!CRA_Projects312132[[#All],[Town]]),_xlfn.SWITCH($J4, 1, _xlpm.DI_town, 2, _xlpm.DI_tm_town, 3, _xlpm.TR_town, 4, _xlpm.TR_tm_town, "Number not Found"))</f>
        <v>NILES</v>
      </c>
      <c r="D4" s="198" cm="1">
        <f t="array" ref="D4">_xlfn.LET(_xlpm.DI_date, _xlfn.XLOOKUP(A4, [2]!DOT_Projects[[#All],[Engineering Number]], [2]!DOT_Projects[[#All],[Engineering Approved Design Date]]), _xlpm.DI_tm_date, _xlfn.XLOOKUP(A4, [2]!Table7[[#All],[Eng Number]], [2]!Table7[[#All],[Target
Release Date]]), _xlpm.TR_date, _xlfn.XLOOKUP(A4, [1]!CRA_Projects31213[[#All],[Engineering Number]], [1]!CRA_Projects31213[[#All],[Engineering Approved Design Date]]), _xlpm.TR_tm_date, _xlfn.XLOOKUP(A4, [1]!CRA_Projects312132[[#All],[Engineering Number]], [1]!CRA_Projects312132[[#All],[Engineering Approved Design Date]]), _xlpm.date_lookup, _xlfn.SWITCH($J4, 1, _xlpm.DI_date, 2, _xlpm.DI_tm_date, 3, _xlpm.TR_date, 4, _xlpm.TR_tm_date, "Number not Found"), IFERROR(IF(DAY(_xlpm.date_lookup)&lt;=15, DATE(YEAR(_xlpm.date_lookup), MONTH(_xlpm.date_lookup), 1), DATE(YEAR(_xlpm.date_lookup), MONTH(_xlpm.date_lookup)+1, 1)), "Number not Found"))</f>
        <v>45962</v>
      </c>
      <c r="E4" s="187">
        <v>340000</v>
      </c>
      <c r="F4" s="177">
        <f t="shared" si="1"/>
        <v>34000</v>
      </c>
      <c r="G4" s="191">
        <v>0</v>
      </c>
      <c r="H4" s="191">
        <f t="shared" si="0"/>
        <v>34000</v>
      </c>
      <c r="I4" s="145" t="s">
        <v>359</v>
      </c>
      <c r="J4">
        <f>_xlfn.LET(_xlpm.is_DI_dot, IF(IFERROR(MATCH(A4,'Engineering Numbers Ref'!A:A, 0),0)&gt;0, 1, 0), _xlpm.is_DI_tm, IF(IFERROR(MATCH(A4,'Engineering Numbers Ref'!B:B, 0),0)&gt;0, 2, 0), _xlpm.is_TR_dot, IF(IFERROR(MATCH(A4,'Engineering Numbers Ref'!C:C, 0),0)&gt;0,3,0), _xlpm.is_TR_tm, IF(IFERROR(MATCH(A4,'Engineering Numbers Ref'!D:D, 0),0)&gt;0,4,0), _xlpm.is_DI_dot+_xlpm.is_DI_tm+_xlpm.is_TR_dot+_xlpm.is_TR_tm)</f>
        <v>1</v>
      </c>
      <c r="K4" s="9"/>
      <c r="L4" s="129"/>
      <c r="M4" s="146">
        <v>45901</v>
      </c>
      <c r="N4" s="34">
        <f>SUMIF(D:D,"9/1/2025",F:F)</f>
        <v>45000</v>
      </c>
      <c r="O4" s="34">
        <f>SUMIF(D:D,"9/1/2025",H:H)</f>
        <v>45000</v>
      </c>
      <c r="P4" s="6"/>
      <c r="Q4" s="6"/>
      <c r="R4" s="6"/>
    </row>
    <row r="5" spans="1:18" ht="15" customHeight="1" x14ac:dyDescent="0.25">
      <c r="A5" s="184" t="s">
        <v>267</v>
      </c>
      <c r="B5" s="188" t="e" cm="1">
        <f t="array" ref="B5">_xlfn.LET(_xlpm.DI_name, _xlfn.XLOOKUP(A5, [2]!DOT_Projects[[#All],[Engineering Number]], [2]!DOT_Projects[[#All],[Designer Name]], ""), _xlpm.DI_tm_name, _xlfn.XLOOKUP(A5, [2]!Table7[[#All],[Eng Number]], [2]!Table7[[#All],[Designer Name]], ""), _xlpm.TR_name, _xlfn.XLOOKUP(A5, [1]!CRA_Projects31213[[#All],[Engineering Number]], [1]!CRA_Projects31213[[#All],[Designer Supervisor]]), _xlpm.TR_tm_name, _xlfn.XLOOKUP(A5, [1]!CRA_Projects312132[[#All],[Engineering Number]], [1]!CRA_Projects312132[[#All],[Designer Supervisor]]), _xlfn.SWITCH($J5, 1, _xlpm.DI_name, 2, _xlpm.DI_tm_name, 3, _xlpm.TR_name, 4, _xlpm.TR_tm_name, "Number not Found"))</f>
        <v>#REF!</v>
      </c>
      <c r="C5" s="189" t="e" cm="1">
        <f t="array" ref="C5">_xlfn.LET(_xlpm.DI_town, _xlfn.XLOOKUP(A5, [2]!DOT_Projects[[#All],[Engineering Number]], [2]!DOT_Projects[[#All],[Town]], ""), _xlpm.DI_tm_town, _xlfn.XLOOKUP(A5, [2]!Table7[[#All],[Eng Number]], [2]!Table7[[#All],[Town]], ""), _xlpm.TR_town, _xlfn.XLOOKUP(A5, [1]!CRA_Projects31213[[#All],[Engineering Number]], [1]!CRA_Projects31213[[#All],[Town]]), _xlpm.TR_tm_town, _xlfn.XLOOKUP(A5, [1]!CRA_Projects312132[[#All],[Engineering Number]], [1]!CRA_Projects312132[[#All],[Town]]),_xlfn.SWITCH($J5, 1, _xlpm.DI_town, 2, _xlpm.DI_tm_town, 3, _xlpm.TR_town, 4, _xlpm.TR_tm_town, "Number not Found"))</f>
        <v>#REF!</v>
      </c>
      <c r="D5" s="198" t="str" cm="1">
        <f t="array" ref="D5">_xlfn.LET(_xlpm.DI_date, _xlfn.XLOOKUP(A5, [2]!DOT_Projects[[#All],[Engineering Number]], [2]!DOT_Projects[[#All],[Engineering Approved Design Date]]), _xlpm.DI_tm_date, _xlfn.XLOOKUP(A5, [2]!Table7[[#All],[Eng Number]], [2]!Table7[[#All],[Target
Release Date]]), _xlpm.TR_date, _xlfn.XLOOKUP(A5, [1]!CRA_Projects31213[[#All],[Engineering Number]], [1]!CRA_Projects31213[[#All],[Engineering Approved Design Date]]), _xlpm.TR_tm_date, _xlfn.XLOOKUP(A5, [1]!CRA_Projects312132[[#All],[Engineering Number]], [1]!CRA_Projects312132[[#All],[Engineering Approved Design Date]]), _xlpm.date_lookup, _xlfn.SWITCH($J5, 1, _xlpm.DI_date, 2, _xlpm.DI_tm_date, 3, _xlpm.TR_date, 4, _xlpm.TR_tm_date, "Number not Found"), IFERROR(IF(DAY(_xlpm.date_lookup)&lt;=15, DATE(YEAR(_xlpm.date_lookup), MONTH(_xlpm.date_lookup), 1), DATE(YEAR(_xlpm.date_lookup), MONTH(_xlpm.date_lookup)+1, 1)), "Number not Found"))</f>
        <v>Number not Found</v>
      </c>
      <c r="E5" s="175">
        <v>625000</v>
      </c>
      <c r="F5" s="177">
        <f t="shared" si="1"/>
        <v>62500</v>
      </c>
      <c r="G5" s="191">
        <v>0</v>
      </c>
      <c r="H5" s="191">
        <f t="shared" si="0"/>
        <v>62500</v>
      </c>
      <c r="I5" s="145" t="s">
        <v>360</v>
      </c>
      <c r="J5">
        <f>_xlfn.LET(_xlpm.is_DI_dot, IF(IFERROR(MATCH(A5,'Engineering Numbers Ref'!A:A, 0),0)&gt;0, 1, 0), _xlpm.is_DI_tm, IF(IFERROR(MATCH(A5,'Engineering Numbers Ref'!B:B, 0),0)&gt;0, 2, 0), _xlpm.is_TR_dot, IF(IFERROR(MATCH(A5,'Engineering Numbers Ref'!C:C, 0),0)&gt;0,3,0), _xlpm.is_TR_tm, IF(IFERROR(MATCH(A5,'Engineering Numbers Ref'!D:D, 0),0)&gt;0,4,0), _xlpm.is_DI_dot+_xlpm.is_DI_tm+_xlpm.is_TR_dot+_xlpm.is_TR_tm)</f>
        <v>3</v>
      </c>
      <c r="K5" s="9"/>
      <c r="L5" s="9"/>
      <c r="M5" s="146">
        <v>45931</v>
      </c>
      <c r="N5" s="34">
        <f>SUMIF(D:D,"10/1/2025",F:F)</f>
        <v>61000</v>
      </c>
      <c r="O5" s="34">
        <f>SUMIF(D:D,"10/1/2025",H:H)</f>
        <v>61000</v>
      </c>
      <c r="P5" s="6"/>
      <c r="Q5" s="6"/>
      <c r="R5" s="6"/>
    </row>
    <row r="6" spans="1:18" ht="15" customHeight="1" x14ac:dyDescent="0.25">
      <c r="A6" s="169" t="s">
        <v>333</v>
      </c>
      <c r="B6" s="188" t="str" cm="1">
        <f t="array" ref="B6">_xlfn.LET(_xlpm.DI_name, _xlfn.XLOOKUP(A6, [2]!DOT_Projects[[#All],[Engineering Number]], [2]!DOT_Projects[[#All],[Designer Name]], ""), _xlpm.DI_tm_name, _xlfn.XLOOKUP(A6, [2]!Table7[[#All],[Eng Number]], [2]!Table7[[#All],[Designer Name]], ""), _xlpm.TR_name, _xlfn.XLOOKUP(A6, [1]!CRA_Projects31213[[#All],[Engineering Number]], [1]!CRA_Projects31213[[#All],[Designer Supervisor]]), _xlpm.TR_tm_name, _xlfn.XLOOKUP(A6, [1]!CRA_Projects312132[[#All],[Engineering Number]], [1]!CRA_Projects312132[[#All],[Designer Supervisor]]), _xlfn.SWITCH($J6, 1, _xlpm.DI_name, 2, _xlpm.DI_tm_name, 3, _xlpm.TR_name, 4, _xlpm.TR_tm_name, "Number not Found"))</f>
        <v>Caroline Kulach</v>
      </c>
      <c r="C6" s="189" t="str" cm="1">
        <f t="array" ref="C6">_xlfn.LET(_xlpm.DI_town, _xlfn.XLOOKUP(A6, [2]!DOT_Projects[[#All],[Engineering Number]], [2]!DOT_Projects[[#All],[Town]], ""), _xlpm.DI_tm_town, _xlfn.XLOOKUP(A6, [2]!Table7[[#All],[Eng Number]], [2]!Table7[[#All],[Town]], ""), _xlpm.TR_town, _xlfn.XLOOKUP(A6, [1]!CRA_Projects31213[[#All],[Engineering Number]], [1]!CRA_Projects31213[[#All],[Town]]), _xlpm.TR_tm_town, _xlfn.XLOOKUP(A6, [1]!CRA_Projects312132[[#All],[Engineering Number]], [1]!CRA_Projects312132[[#All],[Town]]),_xlfn.SWITCH($J6, 1, _xlpm.DI_town, 2, _xlpm.DI_tm_town, 3, _xlpm.TR_town, 4, _xlpm.TR_tm_town, "Number not Found"))</f>
        <v>FORD HEIGHTS</v>
      </c>
      <c r="D6" s="198" cm="1">
        <f t="array" ref="D6">_xlfn.LET(_xlpm.DI_date, _xlfn.XLOOKUP(A6, [2]!DOT_Projects[[#All],[Engineering Number]], [2]!DOT_Projects[[#All],[Engineering Approved Design Date]]), _xlpm.DI_tm_date, _xlfn.XLOOKUP(A6, [2]!Table7[[#All],[Eng Number]], [2]!Table7[[#All],[Target
Release Date]]), _xlpm.TR_date, _xlfn.XLOOKUP(A6, [1]!CRA_Projects31213[[#All],[Engineering Number]], [1]!CRA_Projects31213[[#All],[Engineering Approved Design Date]]), _xlpm.TR_tm_date, _xlfn.XLOOKUP(A6, [1]!CRA_Projects312132[[#All],[Engineering Number]], [1]!CRA_Projects312132[[#All],[Engineering Approved Design Date]]), _xlpm.date_lookup, _xlfn.SWITCH($J6, 1, _xlpm.DI_date, 2, _xlpm.DI_tm_date, 3, _xlpm.TR_date, 4, _xlpm.TR_tm_date, "Number not Found"), IFERROR(IF(DAY(_xlpm.date_lookup)&lt;=15, DATE(YEAR(_xlpm.date_lookup), MONTH(_xlpm.date_lookup), 1), DATE(YEAR(_xlpm.date_lookup), MONTH(_xlpm.date_lookup)+1, 1)), "Number not Found"))</f>
        <v>45962</v>
      </c>
      <c r="E6" s="175">
        <v>350000</v>
      </c>
      <c r="F6" s="177">
        <f t="shared" si="1"/>
        <v>35000</v>
      </c>
      <c r="G6" s="191">
        <v>0</v>
      </c>
      <c r="H6" s="191">
        <f t="shared" si="0"/>
        <v>35000</v>
      </c>
      <c r="I6" s="145" t="s">
        <v>361</v>
      </c>
      <c r="J6">
        <f>_xlfn.LET(_xlpm.is_DI_dot, IF(IFERROR(MATCH(A6,'Engineering Numbers Ref'!A:A, 0),0)&gt;0, 1, 0), _xlpm.is_DI_tm, IF(IFERROR(MATCH(A6,'Engineering Numbers Ref'!B:B, 0),0)&gt;0, 2, 0), _xlpm.is_TR_dot, IF(IFERROR(MATCH(A6,'Engineering Numbers Ref'!C:C, 0),0)&gt;0,3,0), _xlpm.is_TR_tm, IF(IFERROR(MATCH(A6,'Engineering Numbers Ref'!D:D, 0),0)&gt;0,4,0), _xlpm.is_DI_dot+_xlpm.is_DI_tm+_xlpm.is_TR_dot+_xlpm.is_TR_tm)</f>
        <v>1</v>
      </c>
      <c r="K6" s="9"/>
      <c r="L6" s="9"/>
      <c r="M6" s="135">
        <v>45962</v>
      </c>
      <c r="N6" s="34">
        <f>SUMIF(D:D,"11/1/2025",F:F)</f>
        <v>372043</v>
      </c>
      <c r="O6" s="34">
        <f>SUMIF(D:D,"11/1/2025",H:H)</f>
        <v>372043</v>
      </c>
      <c r="P6" s="6"/>
      <c r="Q6" s="6"/>
      <c r="R6" s="6"/>
    </row>
    <row r="7" spans="1:18" ht="15" customHeight="1" x14ac:dyDescent="0.25">
      <c r="A7" s="29" t="s">
        <v>258</v>
      </c>
      <c r="B7" s="188" t="str" cm="1">
        <f t="array" ref="B7">_xlfn.LET(_xlpm.DI_name, _xlfn.XLOOKUP(A7, [2]!DOT_Projects[[#All],[Engineering Number]], [2]!DOT_Projects[[#All],[Designer Name]], ""), _xlpm.DI_tm_name, _xlfn.XLOOKUP(A7, [2]!Table7[[#All],[Eng Number]], [2]!Table7[[#All],[Designer Name]], ""), _xlpm.TR_name, _xlfn.XLOOKUP(A7, [1]!CRA_Projects31213[[#All],[Engineering Number]], [1]!CRA_Projects31213[[#All],[Designer Supervisor]]), _xlpm.TR_tm_name, _xlfn.XLOOKUP(A7, [1]!CRA_Projects312132[[#All],[Engineering Number]], [1]!CRA_Projects312132[[#All],[Designer Supervisor]]), _xlfn.SWITCH($J7, 1, _xlpm.DI_name, 2, _xlpm.DI_tm_name, 3, _xlpm.TR_name, 4, _xlpm.TR_tm_name, "Number not Found"))</f>
        <v>Conner Chamernik</v>
      </c>
      <c r="C7" s="189" t="str" cm="1">
        <f t="array" ref="C7">_xlfn.LET(_xlpm.DI_town, _xlfn.XLOOKUP(A7, [2]!DOT_Projects[[#All],[Engineering Number]], [2]!DOT_Projects[[#All],[Town]], ""), _xlpm.DI_tm_town, _xlfn.XLOOKUP(A7, [2]!Table7[[#All],[Eng Number]], [2]!Table7[[#All],[Town]], ""), _xlpm.TR_town, _xlfn.XLOOKUP(A7, [1]!CRA_Projects31213[[#All],[Engineering Number]], [1]!CRA_Projects31213[[#All],[Town]]), _xlpm.TR_tm_town, _xlfn.XLOOKUP(A7, [1]!CRA_Projects312132[[#All],[Engineering Number]], [1]!CRA_Projects312132[[#All],[Town]]),_xlfn.SWITCH($J7, 1, _xlpm.DI_town, 2, _xlpm.DI_tm_town, 3, _xlpm.TR_town, 4, _xlpm.TR_tm_town, "Number not Found"))</f>
        <v>HOFFMAN ESTATES</v>
      </c>
      <c r="D7" s="190" cm="1">
        <f t="array" ref="D7">_xlfn.LET(_xlpm.DI_date, _xlfn.XLOOKUP(A7, [2]!DOT_Projects[[#All],[Engineering Number]], [2]!DOT_Projects[[#All],[Engineering Approved Design Date]]), _xlpm.DI_tm_date, _xlfn.XLOOKUP(A7, [2]!Table7[[#All],[Eng Number]], [2]!Table7[[#All],[Target
Release Date]]), _xlpm.TR_date, _xlfn.XLOOKUP(A7, [1]!CRA_Projects31213[[#All],[Engineering Number]], [1]!CRA_Projects31213[[#All],[Engineering Approved Design Date]]), _xlpm.TR_tm_date, _xlfn.XLOOKUP(A7, [1]!CRA_Projects312132[[#All],[Engineering Number]], [1]!CRA_Projects312132[[#All],[Engineering Approved Design Date]]), _xlpm.date_lookup, _xlfn.SWITCH($J7, 1, _xlpm.DI_date, 2, _xlpm.DI_tm_date, 3, _xlpm.TR_date, 4, _xlpm.TR_tm_date, "Number not Found"), IFERROR(IF(DAY(_xlpm.date_lookup)&lt;=15, DATE(YEAR(_xlpm.date_lookup), MONTH(_xlpm.date_lookup), 1), DATE(YEAR(_xlpm.date_lookup), MONTH(_xlpm.date_lookup)+1, 1)), "Number not Found"))</f>
        <v>45931</v>
      </c>
      <c r="E7" s="175">
        <v>250000</v>
      </c>
      <c r="F7" s="177">
        <f t="shared" si="1"/>
        <v>25000</v>
      </c>
      <c r="G7" s="191">
        <v>0</v>
      </c>
      <c r="H7" s="191">
        <f t="shared" si="0"/>
        <v>25000</v>
      </c>
      <c r="I7" s="145" t="s">
        <v>362</v>
      </c>
      <c r="J7">
        <f>_xlfn.LET(_xlpm.is_DI_dot, IF(IFERROR(MATCH(A7,'Engineering Numbers Ref'!A:A, 0),0)&gt;0, 1, 0), _xlpm.is_DI_tm, IF(IFERROR(MATCH(A7,'Engineering Numbers Ref'!B:B, 0),0)&gt;0, 2, 0), _xlpm.is_TR_dot, IF(IFERROR(MATCH(A7,'Engineering Numbers Ref'!C:C, 0),0)&gt;0,3,0), _xlpm.is_TR_tm, IF(IFERROR(MATCH(A7,'Engineering Numbers Ref'!D:D, 0),0)&gt;0,4,0), _xlpm.is_DI_dot+_xlpm.is_DI_tm+_xlpm.is_TR_dot+_xlpm.is_TR_tm)</f>
        <v>1</v>
      </c>
      <c r="L7" s="33"/>
      <c r="M7" s="135">
        <v>45992</v>
      </c>
      <c r="N7" s="34">
        <f>SUMIF(D:D,"12/1/2025",F:F)</f>
        <v>840000</v>
      </c>
      <c r="O7" s="34">
        <f>SUMIF(D:D,"12/1/2025",H:H)</f>
        <v>693600</v>
      </c>
      <c r="P7" s="6"/>
      <c r="Q7" s="6"/>
      <c r="R7" s="6"/>
    </row>
    <row r="8" spans="1:18" ht="15" customHeight="1" x14ac:dyDescent="0.25">
      <c r="A8" s="43" t="s">
        <v>330</v>
      </c>
      <c r="B8" s="188" t="str" cm="1">
        <f t="array" ref="B8">_xlfn.LET(_xlpm.DI_name, _xlfn.XLOOKUP(A8, [2]!DOT_Projects[[#All],[Engineering Number]], [2]!DOT_Projects[[#All],[Designer Name]], ""), _xlpm.DI_tm_name, _xlfn.XLOOKUP(A8, [2]!Table7[[#All],[Eng Number]], [2]!Table7[[#All],[Designer Name]], ""), _xlpm.TR_name, _xlfn.XLOOKUP(A8, [1]!CRA_Projects31213[[#All],[Engineering Number]], [1]!CRA_Projects31213[[#All],[Designer Supervisor]]), _xlpm.TR_tm_name, _xlfn.XLOOKUP(A8, [1]!CRA_Projects312132[[#All],[Engineering Number]], [1]!CRA_Projects312132[[#All],[Designer Supervisor]]), _xlfn.SWITCH($J8, 1, _xlpm.DI_name, 2, _xlpm.DI_tm_name, 3, _xlpm.TR_name, 4, _xlpm.TR_tm_name, "Number not Found"))</f>
        <v>Ethan Ekstrom</v>
      </c>
      <c r="C8" s="189" t="str" cm="1">
        <f t="array" ref="C8">_xlfn.LET(_xlpm.DI_town, _xlfn.XLOOKUP(A8, [2]!DOT_Projects[[#All],[Engineering Number]], [2]!DOT_Projects[[#All],[Town]], ""), _xlpm.DI_tm_town, _xlfn.XLOOKUP(A8, [2]!Table7[[#All],[Eng Number]], [2]!Table7[[#All],[Town]], ""), _xlpm.TR_town, _xlfn.XLOOKUP(A8, [1]!CRA_Projects31213[[#All],[Engineering Number]], [1]!CRA_Projects31213[[#All],[Town]]), _xlpm.TR_tm_town, _xlfn.XLOOKUP(A8, [1]!CRA_Projects312132[[#All],[Engineering Number]], [1]!CRA_Projects312132[[#All],[Town]]),_xlfn.SWITCH($J8, 1, _xlpm.DI_town, 2, _xlpm.DI_tm_town, 3, _xlpm.TR_town, 4, _xlpm.TR_tm_town, "Number not Found"))</f>
        <v>BLOOMINGTON</v>
      </c>
      <c r="D8" s="190" cm="1">
        <f t="array" ref="D8">_xlfn.LET(_xlpm.DI_date, _xlfn.XLOOKUP(A8, [2]!DOT_Projects[[#All],[Engineering Number]], [2]!DOT_Projects[[#All],[Engineering Approved Design Date]]), _xlpm.DI_tm_date, _xlfn.XLOOKUP(A8, [2]!Table7[[#All],[Eng Number]], [2]!Table7[[#All],[Target
Release Date]]), _xlpm.TR_date, _xlfn.XLOOKUP(A8, [1]!CRA_Projects31213[[#All],[Engineering Number]], [1]!CRA_Projects31213[[#All],[Engineering Approved Design Date]]), _xlpm.TR_tm_date, _xlfn.XLOOKUP(A8, [1]!CRA_Projects312132[[#All],[Engineering Number]], [1]!CRA_Projects312132[[#All],[Engineering Approved Design Date]]), _xlpm.date_lookup, _xlfn.SWITCH($J8, 1, _xlpm.DI_date, 2, _xlpm.DI_tm_date, 3, _xlpm.TR_date, 4, _xlpm.TR_tm_date, "Number not Found"), IFERROR(IF(DAY(_xlpm.date_lookup)&lt;=15, DATE(YEAR(_xlpm.date_lookup), MONTH(_xlpm.date_lookup), 1), DATE(YEAR(_xlpm.date_lookup), MONTH(_xlpm.date_lookup)+1, 1)), "Number not Found"))</f>
        <v>45962</v>
      </c>
      <c r="E8" s="175">
        <v>750000</v>
      </c>
      <c r="F8" s="177">
        <f t="shared" si="1"/>
        <v>75000</v>
      </c>
      <c r="G8" s="191">
        <v>0</v>
      </c>
      <c r="H8" s="191">
        <f t="shared" si="0"/>
        <v>75000</v>
      </c>
      <c r="I8" s="145" t="s">
        <v>331</v>
      </c>
      <c r="J8">
        <f>_xlfn.LET(_xlpm.is_DI_dot, IF(IFERROR(MATCH(A8,'Engineering Numbers Ref'!A:A, 0),0)&gt;0, 1, 0), _xlpm.is_DI_tm, IF(IFERROR(MATCH(A8,'Engineering Numbers Ref'!B:B, 0),0)&gt;0, 2, 0), _xlpm.is_TR_dot, IF(IFERROR(MATCH(A8,'Engineering Numbers Ref'!C:C, 0),0)&gt;0,3,0), _xlpm.is_TR_tm, IF(IFERROR(MATCH(A8,'Engineering Numbers Ref'!D:D, 0),0)&gt;0,4,0), _xlpm.is_DI_dot+_xlpm.is_DI_tm+_xlpm.is_TR_dot+_xlpm.is_TR_tm)</f>
        <v>1</v>
      </c>
    </row>
    <row r="9" spans="1:18" ht="15" customHeight="1" x14ac:dyDescent="0.25">
      <c r="A9" s="169" t="s">
        <v>168</v>
      </c>
      <c r="B9" s="188" t="str" cm="1">
        <f t="array" ref="B9">_xlfn.LET(_xlpm.DI_name, _xlfn.XLOOKUP(A9, [2]!DOT_Projects[[#All],[Engineering Number]], [2]!DOT_Projects[[#All],[Designer Name]], ""), _xlpm.DI_tm_name, _xlfn.XLOOKUP(A9, [2]!Table7[[#All],[Eng Number]], [2]!Table7[[#All],[Designer Name]], ""), _xlpm.TR_name, _xlfn.XLOOKUP(A9, [1]!CRA_Projects31213[[#All],[Engineering Number]], [1]!CRA_Projects31213[[#All],[Designer Supervisor]]), _xlpm.TR_tm_name, _xlfn.XLOOKUP(A9, [1]!CRA_Projects312132[[#All],[Engineering Number]], [1]!CRA_Projects312132[[#All],[Designer Supervisor]]), _xlfn.SWITCH($J9, 1, _xlpm.DI_name, 2, _xlpm.DI_tm_name, 3, _xlpm.TR_name, 4, _xlpm.TR_tm_name, "Number not Found"))</f>
        <v>Marissa LaPorte</v>
      </c>
      <c r="C9" s="189" t="str" cm="1">
        <f t="array" ref="C9">_xlfn.LET(_xlpm.DI_town, _xlfn.XLOOKUP(A9, [2]!DOT_Projects[[#All],[Engineering Number]], [2]!DOT_Projects[[#All],[Town]], ""), _xlpm.DI_tm_town, _xlfn.XLOOKUP(A9, [2]!Table7[[#All],[Eng Number]], [2]!Table7[[#All],[Town]], ""), _xlpm.TR_town, _xlfn.XLOOKUP(A9, [1]!CRA_Projects31213[[#All],[Engineering Number]], [1]!CRA_Projects31213[[#All],[Town]]), _xlpm.TR_tm_town, _xlfn.XLOOKUP(A9, [1]!CRA_Projects312132[[#All],[Engineering Number]], [1]!CRA_Projects312132[[#All],[Town]]),_xlfn.SWITCH($J9, 1, _xlpm.DI_town, 2, _xlpm.DI_tm_town, 3, _xlpm.TR_town, 4, _xlpm.TR_tm_town, "Number not Found"))</f>
        <v>WHEATLAND TWP</v>
      </c>
      <c r="D9" s="190" cm="1">
        <f t="array" ref="D9">_xlfn.LET(_xlpm.DI_date, _xlfn.XLOOKUP(A9, [2]!DOT_Projects[[#All],[Engineering Number]], [2]!DOT_Projects[[#All],[Engineering Approved Design Date]]), _xlpm.DI_tm_date, _xlfn.XLOOKUP(A9, [2]!Table7[[#All],[Eng Number]], [2]!Table7[[#All],[Target
Release Date]]), _xlpm.TR_date, _xlfn.XLOOKUP(A9, [1]!CRA_Projects31213[[#All],[Engineering Number]], [1]!CRA_Projects31213[[#All],[Engineering Approved Design Date]]), _xlpm.TR_tm_date, _xlfn.XLOOKUP(A9, [1]!CRA_Projects312132[[#All],[Engineering Number]], [1]!CRA_Projects312132[[#All],[Engineering Approved Design Date]]), _xlpm.date_lookup, _xlfn.SWITCH($J9, 1, _xlpm.DI_date, 2, _xlpm.DI_tm_date, 3, _xlpm.TR_date, 4, _xlpm.TR_tm_date, "Number not Found"), IFERROR(IF(DAY(_xlpm.date_lookup)&lt;=15, DATE(YEAR(_xlpm.date_lookup), MONTH(_xlpm.date_lookup), 1), DATE(YEAR(_xlpm.date_lookup), MONTH(_xlpm.date_lookup)+1, 1)), "Number not Found"))</f>
        <v>45962</v>
      </c>
      <c r="E9" s="175">
        <v>0</v>
      </c>
      <c r="F9" s="178">
        <f t="shared" si="1"/>
        <v>0</v>
      </c>
      <c r="G9" s="191">
        <v>0</v>
      </c>
      <c r="H9" s="191">
        <f t="shared" si="0"/>
        <v>0</v>
      </c>
      <c r="I9" s="145" t="s">
        <v>363</v>
      </c>
      <c r="J9">
        <f>_xlfn.LET(_xlpm.is_DI_dot, IF(IFERROR(MATCH(A9,'Engineering Numbers Ref'!A:A, 0),0)&gt;0, 1, 0), _xlpm.is_DI_tm, IF(IFERROR(MATCH(A9,'Engineering Numbers Ref'!B:B, 0),0)&gt;0, 2, 0), _xlpm.is_TR_dot, IF(IFERROR(MATCH(A9,'Engineering Numbers Ref'!C:C, 0),0)&gt;0,3,0), _xlpm.is_TR_tm, IF(IFERROR(MATCH(A9,'Engineering Numbers Ref'!D:D, 0),0)&gt;0,4,0), _xlpm.is_DI_dot+_xlpm.is_DI_tm+_xlpm.is_TR_dot+_xlpm.is_TR_tm)</f>
        <v>1</v>
      </c>
    </row>
    <row r="10" spans="1:18" ht="15" customHeight="1" x14ac:dyDescent="0.25">
      <c r="A10" s="169" t="s">
        <v>259</v>
      </c>
      <c r="B10" s="188" t="e" cm="1">
        <f t="array" ref="B10">_xlfn.LET(_xlpm.DI_name, _xlfn.XLOOKUP(A10, [2]!DOT_Projects[[#All],[Engineering Number]], [2]!DOT_Projects[[#All],[Designer Name]], ""), _xlpm.DI_tm_name, _xlfn.XLOOKUP(A10, [2]!Table7[[#All],[Eng Number]], [2]!Table7[[#All],[Designer Name]], ""), _xlpm.TR_name, _xlfn.XLOOKUP(A10, [1]!CRA_Projects31213[[#All],[Engineering Number]], [1]!CRA_Projects31213[[#All],[KH Project Lead]]), _xlpm.TR_tm_name, _xlfn.XLOOKUP(A10, [1]!CRA_Projects312132[[#All],[Engineering Number]], [1]!CRA_Projects312132[[#All],[KH Project Lead]]), _xlfn.SWITCH($J10, 1, _xlpm.DI_name, 2, _xlpm.DI_tm_name, 3, _xlpm.TR_name, 4, _xlpm.TR_tm_name, "Number not Found"))</f>
        <v>#REF!</v>
      </c>
      <c r="C10" s="189" t="e" cm="1">
        <f t="array" ref="C10">_xlfn.LET(_xlpm.DI_town, _xlfn.XLOOKUP(A10, [2]!DOT_Projects[[#All],[Engineering Number]], [2]!DOT_Projects[[#All],[Town]], ""), _xlpm.DI_tm_town, _xlfn.XLOOKUP(A10, [2]!Table7[[#All],[Eng Number]], [2]!Table7[[#All],[Town]], ""), _xlpm.TR_town, _xlfn.XLOOKUP(A10, [1]!CRA_Projects31213[[#All],[Engineering Number]], [1]!CRA_Projects31213[[#All],[Town]]), _xlpm.TR_tm_town, _xlfn.XLOOKUP(A10, [1]!CRA_Projects312132[[#All],[Engineering Number]], [1]!CRA_Projects312132[[#All],[Town]]),_xlfn.SWITCH($J10, 1, _xlpm.DI_town, 2, _xlpm.DI_tm_town, 3, _xlpm.TR_town, 4, _xlpm.TR_tm_town, "Number not Found"))</f>
        <v>#REF!</v>
      </c>
      <c r="D10" s="118" t="str" cm="1">
        <f t="array" ref="D10">_xlfn.LET(_xlpm.DI_date, _xlfn.XLOOKUP(A10, [2]!DOT_Projects[[#All],[Engineering Number]], [2]!DOT_Projects[[#All],[Engineering Approved Design Date]]), _xlpm.DI_tm_date, _xlfn.XLOOKUP(A10, [2]!Table7[[#All],[Eng Number]], [2]!Table7[[#All],[Target
Release Date]]), _xlpm.TR_date, _xlfn.XLOOKUP(A10, [1]!CRA_Projects31213[[#All],[Engineering Number]], [1]!CRA_Projects31213[[#All],[Engineering Approved Design Date]]), _xlpm.TR_tm_date, _xlfn.XLOOKUP(A10, [1]!CRA_Projects312132[[#All],[Engineering Number]], [1]!CRA_Projects312132[[#All],[Engineering Approved Design Date]]), _xlpm.date_lookup, _xlfn.SWITCH($J10, 1, _xlpm.DI_date, 2, _xlpm.DI_tm_date, 3, _xlpm.TR_date, 4, _xlpm.TR_tm_date, "Number not Found"), IFERROR(IF(DAY(_xlpm.date_lookup)&lt;=15, DATE(YEAR(_xlpm.date_lookup), MONTH(_xlpm.date_lookup), 1), DATE(YEAR(_xlpm.date_lookup), MONTH(_xlpm.date_lookup)+1, 1)), "Number not Found"))</f>
        <v>Number not Found</v>
      </c>
      <c r="E10" s="76" t="s">
        <v>181</v>
      </c>
      <c r="F10" s="178">
        <v>24217</v>
      </c>
      <c r="G10" s="191">
        <v>0</v>
      </c>
      <c r="H10" s="191">
        <f t="shared" si="0"/>
        <v>24217</v>
      </c>
      <c r="I10" s="145" t="s">
        <v>364</v>
      </c>
      <c r="J10">
        <f>_xlfn.LET(_xlpm.is_DI_dot, IF(IFERROR(MATCH(A10,'Engineering Numbers Ref'!A:A, 0),0)&gt;0, 1, 0), _xlpm.is_DI_tm, IF(IFERROR(MATCH(A10,'Engineering Numbers Ref'!B:B, 0),0)&gt;0, 2, 0), _xlpm.is_TR_dot, IF(IFERROR(MATCH(A10,'Engineering Numbers Ref'!C:C, 0),0)&gt;0,3,0), _xlpm.is_TR_tm, IF(IFERROR(MATCH(A10,'Engineering Numbers Ref'!D:D, 0),0)&gt;0,4,0), _xlpm.is_DI_dot+_xlpm.is_DI_tm+_xlpm.is_TR_dot+_xlpm.is_TR_tm)</f>
        <v>3</v>
      </c>
    </row>
    <row r="11" spans="1:18" ht="15" customHeight="1" x14ac:dyDescent="0.25">
      <c r="A11" s="182" t="s">
        <v>265</v>
      </c>
      <c r="B11" s="188" t="e" cm="1">
        <f t="array" ref="B11">_xlfn.LET(_xlpm.DI_name, _xlfn.XLOOKUP(A11, [2]!DOT_Projects[[#All],[Engineering Number]], [2]!DOT_Projects[[#All],[Designer Name]], ""), _xlpm.DI_tm_name, _xlfn.XLOOKUP(A11, [2]!Table7[[#All],[Eng Number]], [2]!Table7[[#All],[Designer Name]], ""), _xlpm.TR_name, _xlfn.XLOOKUP(A11, [1]!CRA_Projects31213[[#All],[Engineering Number]], [1]!CRA_Projects31213[[#All],[KH Project Lead]]), _xlpm.TR_tm_name, _xlfn.XLOOKUP(A11, [1]!CRA_Projects312132[[#All],[Engineering Number]], [1]!CRA_Projects312132[[#All],[KH Project Lead]]), _xlfn.SWITCH($J11, 1, _xlpm.DI_name, 2, _xlpm.DI_tm_name, 3, _xlpm.TR_name, 4, _xlpm.TR_tm_name, "Number not Found"))</f>
        <v>#REF!</v>
      </c>
      <c r="C11" s="189" t="e" cm="1">
        <f t="array" ref="C11">_xlfn.LET(_xlpm.DI_town, _xlfn.XLOOKUP(A11, [2]!DOT_Projects[[#All],[Engineering Number]], [2]!DOT_Projects[[#All],[Town]], ""), _xlpm.DI_tm_town, _xlfn.XLOOKUP(A11, [2]!Table7[[#All],[Eng Number]], [2]!Table7[[#All],[Town]], ""), _xlpm.TR_town, _xlfn.XLOOKUP(A11, [1]!CRA_Projects31213[[#All],[Engineering Number]], [1]!CRA_Projects31213[[#All],[Town]]), _xlpm.TR_tm_town, _xlfn.XLOOKUP(A11, [1]!CRA_Projects312132[[#All],[Engineering Number]], [1]!CRA_Projects312132[[#All],[Town]]),_xlfn.SWITCH($J11, 1, _xlpm.DI_town, 2, _xlpm.DI_tm_town, 3, _xlpm.TR_town, 4, _xlpm.TR_tm_town, "Number not Found"))</f>
        <v>#REF!</v>
      </c>
      <c r="D11" s="118" t="str" cm="1">
        <f t="array" ref="D11">_xlfn.LET(_xlpm.DI_date, _xlfn.XLOOKUP(A11, [2]!DOT_Projects[[#All],[Engineering Number]], [2]!DOT_Projects[[#All],[Engineering Approved Design Date]]), _xlpm.DI_tm_date, _xlfn.XLOOKUP(A11, [2]!Table7[[#All],[Eng Number]], [2]!Table7[[#All],[Target
Release Date]]), _xlpm.TR_date, _xlfn.XLOOKUP(A11, [1]!CRA_Projects31213[[#All],[Engineering Number]], [1]!CRA_Projects31213[[#All],[Engineering Approved Design Date]]), _xlpm.TR_tm_date, _xlfn.XLOOKUP(A11, [1]!CRA_Projects312132[[#All],[Engineering Number]], [1]!CRA_Projects312132[[#All],[Engineering Approved Design Date]]), _xlpm.date_lookup, _xlfn.SWITCH($J11, 1, _xlpm.DI_date, 2, _xlpm.DI_tm_date, 3, _xlpm.TR_date, 4, _xlpm.TR_tm_date, "Number not Found"), IFERROR(IF(DAY(_xlpm.date_lookup)&lt;=15, DATE(YEAR(_xlpm.date_lookup), MONTH(_xlpm.date_lookup), 1), DATE(YEAR(_xlpm.date_lookup), MONTH(_xlpm.date_lookup)+1, 1)), "Number not Found"))</f>
        <v>Number not Found</v>
      </c>
      <c r="E11" s="76" t="s">
        <v>181</v>
      </c>
      <c r="F11" s="178">
        <v>24798</v>
      </c>
      <c r="G11" s="191">
        <v>0</v>
      </c>
      <c r="H11" s="191">
        <f t="shared" si="0"/>
        <v>24798</v>
      </c>
      <c r="I11" s="145" t="s">
        <v>364</v>
      </c>
      <c r="J11">
        <f>_xlfn.LET(_xlpm.is_DI_dot, IF(IFERROR(MATCH(A11,'Engineering Numbers Ref'!A:A, 0),0)&gt;0, 1, 0), _xlpm.is_DI_tm, IF(IFERROR(MATCH(A11,'Engineering Numbers Ref'!B:B, 0),0)&gt;0, 2, 0), _xlpm.is_TR_dot, IF(IFERROR(MATCH(A11,'Engineering Numbers Ref'!C:C, 0),0)&gt;0,3,0), _xlpm.is_TR_tm, IF(IFERROR(MATCH(A11,'Engineering Numbers Ref'!D:D, 0),0)&gt;0,4,0), _xlpm.is_DI_dot+_xlpm.is_DI_tm+_xlpm.is_TR_dot+_xlpm.is_TR_tm)</f>
        <v>3</v>
      </c>
    </row>
    <row r="12" spans="1:18" ht="15" customHeight="1" x14ac:dyDescent="0.25">
      <c r="A12" s="182" t="s">
        <v>280</v>
      </c>
      <c r="B12" s="188" t="e" cm="1">
        <f t="array" ref="B12">_xlfn.LET(_xlpm.DI_name, _xlfn.XLOOKUP(A12, [2]!DOT_Projects[[#All],[Engineering Number]], [2]!DOT_Projects[[#All],[Designer Name]], ""), _xlpm.DI_tm_name, _xlfn.XLOOKUP(A12, [2]!Table7[[#All],[Eng Number]], [2]!Table7[[#All],[Designer Name]], ""), _xlpm.TR_name, _xlfn.XLOOKUP(A12, [1]!CRA_Projects31213[[#All],[Engineering Number]], [1]!CRA_Projects31213[[#All],[KH Project Lead]]), _xlpm.TR_tm_name, _xlfn.XLOOKUP(A12, [1]!CRA_Projects312132[[#All],[Engineering Number]], [1]!CRA_Projects312132[[#All],[KH Project Lead]]), _xlfn.SWITCH($J12, 1, _xlpm.DI_name, 2, _xlpm.DI_tm_name, 3, _xlpm.TR_name, 4, _xlpm.TR_tm_name, "Number not Found"))</f>
        <v>#REF!</v>
      </c>
      <c r="C12" s="189" t="e" cm="1">
        <f t="array" ref="C12">_xlfn.LET(_xlpm.DI_town, _xlfn.XLOOKUP(A12, [2]!DOT_Projects[[#All],[Engineering Number]], [2]!DOT_Projects[[#All],[Town]], ""), _xlpm.DI_tm_town, _xlfn.XLOOKUP(A12, [2]!Table7[[#All],[Eng Number]], [2]!Table7[[#All],[Town]], ""), _xlpm.TR_town, _xlfn.XLOOKUP(A12, [1]!CRA_Projects31213[[#All],[Engineering Number]], [1]!CRA_Projects31213[[#All],[Town]]), _xlpm.TR_tm_town, _xlfn.XLOOKUP(A12, [1]!CRA_Projects312132[[#All],[Engineering Number]], [1]!CRA_Projects312132[[#All],[Town]]),_xlfn.SWITCH($J12, 1, _xlpm.DI_town, 2, _xlpm.DI_tm_town, 3, _xlpm.TR_town, 4, _xlpm.TR_tm_town, "Number not Found"))</f>
        <v>#REF!</v>
      </c>
      <c r="D12" s="118">
        <v>45962</v>
      </c>
      <c r="E12" s="76" t="s">
        <v>181</v>
      </c>
      <c r="F12" s="178">
        <v>21643</v>
      </c>
      <c r="G12" s="191">
        <v>0</v>
      </c>
      <c r="H12" s="191">
        <f t="shared" si="0"/>
        <v>21643</v>
      </c>
      <c r="I12" s="145" t="s">
        <v>364</v>
      </c>
      <c r="J12">
        <f>_xlfn.LET(_xlpm.is_DI_dot, IF(IFERROR(MATCH(A12,'Engineering Numbers Ref'!A:A, 0),0)&gt;0, 1, 0), _xlpm.is_DI_tm, IF(IFERROR(MATCH(A12,'Engineering Numbers Ref'!B:B, 0),0)&gt;0, 2, 0), _xlpm.is_TR_dot, IF(IFERROR(MATCH(A12,'Engineering Numbers Ref'!C:C, 0),0)&gt;0,3,0), _xlpm.is_TR_tm, IF(IFERROR(MATCH(A12,'Engineering Numbers Ref'!D:D, 0),0)&gt;0,4,0), _xlpm.is_DI_dot+_xlpm.is_DI_tm+_xlpm.is_TR_dot+_xlpm.is_TR_tm)</f>
        <v>3</v>
      </c>
    </row>
    <row r="13" spans="1:18" ht="15" customHeight="1" x14ac:dyDescent="0.25">
      <c r="A13" s="183" t="s">
        <v>282</v>
      </c>
      <c r="B13" s="188" t="e" cm="1">
        <f t="array" ref="B13">_xlfn.LET(_xlpm.DI_name, _xlfn.XLOOKUP(A13, [2]!DOT_Projects[[#All],[Engineering Number]], [2]!DOT_Projects[[#All],[Designer Name]], ""), _xlpm.DI_tm_name, _xlfn.XLOOKUP(A13, [2]!Table7[[#All],[Eng Number]], [2]!Table7[[#All],[Designer Name]], ""), _xlpm.TR_name, _xlfn.XLOOKUP(A13, [1]!CRA_Projects31213[[#All],[Engineering Number]], [1]!CRA_Projects31213[[#All],[KH Project Lead]]), _xlpm.TR_tm_name, _xlfn.XLOOKUP(A13, [1]!CRA_Projects312132[[#All],[Engineering Number]], [1]!CRA_Projects312132[[#All],[KH Project Lead]]), _xlfn.SWITCH($J13, 1, _xlpm.DI_name, 2, _xlpm.DI_tm_name, 3, _xlpm.TR_name, 4, _xlpm.TR_tm_name, "Number not Found"))</f>
        <v>#REF!</v>
      </c>
      <c r="C13" s="189" t="e" cm="1">
        <f t="array" ref="C13">_xlfn.LET(_xlpm.DI_town, _xlfn.XLOOKUP(A13, [2]!DOT_Projects[[#All],[Engineering Number]], [2]!DOT_Projects[[#All],[Town]], ""), _xlpm.DI_tm_town, _xlfn.XLOOKUP(A13, [2]!Table7[[#All],[Eng Number]], [2]!Table7[[#All],[Town]], ""), _xlpm.TR_town, _xlfn.XLOOKUP(A13, [1]!CRA_Projects31213[[#All],[Engineering Number]], [1]!CRA_Projects31213[[#All],[Town]]), _xlpm.TR_tm_town, _xlfn.XLOOKUP(A13, [1]!CRA_Projects312132[[#All],[Engineering Number]], [1]!CRA_Projects312132[[#All],[Town]]),_xlfn.SWITCH($J13, 1, _xlpm.DI_town, 2, _xlpm.DI_tm_town, 3, _xlpm.TR_town, 4, _xlpm.TR_tm_town, "Number not Found"))</f>
        <v>#REF!</v>
      </c>
      <c r="D13" s="118" t="str" cm="1">
        <f t="array" ref="D13">_xlfn.LET(_xlpm.DI_date, _xlfn.XLOOKUP(A13, [2]!DOT_Projects[[#All],[Engineering Number]], [2]!DOT_Projects[[#All],[Engineering Approved Design Date]]), _xlpm.DI_tm_date, _xlfn.XLOOKUP(A13, [2]!Table7[[#All],[Eng Number]], [2]!Table7[[#All],[Target
Release Date]]), _xlpm.TR_date, _xlfn.XLOOKUP(A13, [1]!CRA_Projects31213[[#All],[Engineering Number]], [1]!CRA_Projects31213[[#All],[Engineering Approved Design Date]]), _xlpm.TR_tm_date, _xlfn.XLOOKUP(A13, [1]!CRA_Projects312132[[#All],[Engineering Number]], [1]!CRA_Projects312132[[#All],[Engineering Approved Design Date]]), _xlpm.date_lookup, _xlfn.SWITCH($J13, 1, _xlpm.DI_date, 2, _xlpm.DI_tm_date, 3, _xlpm.TR_date, 4, _xlpm.TR_tm_date, "Number not Found"), IFERROR(IF(DAY(_xlpm.date_lookup)&lt;=15, DATE(YEAR(_xlpm.date_lookup), MONTH(_xlpm.date_lookup), 1), DATE(YEAR(_xlpm.date_lookup), MONTH(_xlpm.date_lookup)+1, 1)), "Number not Found"))</f>
        <v>Number not Found</v>
      </c>
      <c r="E13" s="76" t="s">
        <v>181</v>
      </c>
      <c r="F13" s="178">
        <v>43346</v>
      </c>
      <c r="G13" s="191">
        <v>0</v>
      </c>
      <c r="H13" s="191">
        <f t="shared" si="0"/>
        <v>43346</v>
      </c>
      <c r="I13" s="145" t="s">
        <v>364</v>
      </c>
      <c r="J13">
        <f>_xlfn.LET(_xlpm.is_DI_dot, IF(IFERROR(MATCH(A13,'Engineering Numbers Ref'!A:A, 0),0)&gt;0, 1, 0), _xlpm.is_DI_tm, IF(IFERROR(MATCH(A13,'Engineering Numbers Ref'!B:B, 0),0)&gt;0, 2, 0), _xlpm.is_TR_dot, IF(IFERROR(MATCH(A13,'Engineering Numbers Ref'!C:C, 0),0)&gt;0,3,0), _xlpm.is_TR_tm, IF(IFERROR(MATCH(A13,'Engineering Numbers Ref'!D:D, 0),0)&gt;0,4,0), _xlpm.is_DI_dot+_xlpm.is_DI_tm+_xlpm.is_TR_dot+_xlpm.is_TR_tm)</f>
        <v>3</v>
      </c>
    </row>
    <row r="14" spans="1:18" ht="15" customHeight="1" x14ac:dyDescent="0.25">
      <c r="A14" s="169" t="s">
        <v>365</v>
      </c>
      <c r="B14" s="188" t="e" cm="1">
        <f t="array" ref="B14">_xlfn.LET(_xlpm.DI_name, _xlfn.XLOOKUP(A14, [2]!DOT_Projects[[#All],[Engineering Number]], [2]!DOT_Projects[[#All],[Designer Name]], ""), _xlpm.DI_tm_name, _xlfn.XLOOKUP(A14, [2]!Table7[[#All],[Eng Number]], [2]!Table7[[#All],[Designer Name]], ""), _xlpm.TR_name, _xlfn.XLOOKUP(A14, [1]!CRA_Projects31213[[#All],[Engineering Number]], [1]!CRA_Projects31213[[#All],[KH Project Lead]]), _xlpm.TR_tm_name, _xlfn.XLOOKUP(A14, [1]!CRA_Projects312132[[#All],[Engineering Number]], [1]!CRA_Projects312132[[#All],[KH Project Lead]]), _xlfn.SWITCH($J14, 1, _xlpm.DI_name, 2, _xlpm.DI_tm_name, 3, _xlpm.TR_name, 4, _xlpm.TR_tm_name, "Number not Found"))</f>
        <v>#REF!</v>
      </c>
      <c r="C14" s="189" t="e" cm="1">
        <f t="array" ref="C14">_xlfn.LET(_xlpm.DI_town, _xlfn.XLOOKUP(A14, [2]!DOT_Projects[[#All],[Engineering Number]], [2]!DOT_Projects[[#All],[Town]], ""), _xlpm.DI_tm_town, _xlfn.XLOOKUP(A14, [2]!Table7[[#All],[Eng Number]], [2]!Table7[[#All],[Town]], ""), _xlpm.TR_town, _xlfn.XLOOKUP(A14, [1]!CRA_Projects31213[[#All],[Engineering Number]], [1]!CRA_Projects31213[[#All],[Town]]), _xlpm.TR_tm_town, _xlfn.XLOOKUP(A14, [1]!CRA_Projects312132[[#All],[Engineering Number]], [1]!CRA_Projects312132[[#All],[Town]]),_xlfn.SWITCH($J14, 1, _xlpm.DI_town, 2, _xlpm.DI_tm_town, 3, _xlpm.TR_town, 4, _xlpm.TR_tm_town, "Number not Found"))</f>
        <v>#REF!</v>
      </c>
      <c r="D14" s="118">
        <v>45870</v>
      </c>
      <c r="E14" s="76" t="s">
        <v>181</v>
      </c>
      <c r="F14" s="178">
        <v>17666</v>
      </c>
      <c r="G14" s="191">
        <v>0</v>
      </c>
      <c r="H14" s="191">
        <f t="shared" si="0"/>
        <v>17666</v>
      </c>
      <c r="I14" s="145" t="s">
        <v>364</v>
      </c>
      <c r="J14">
        <f>_xlfn.LET(_xlpm.is_DI_dot, IF(IFERROR(MATCH(A14,'Engineering Numbers Ref'!A:A, 0),0)&gt;0, 1, 0), _xlpm.is_DI_tm, IF(IFERROR(MATCH(A14,'Engineering Numbers Ref'!B:B, 0),0)&gt;0, 2, 0), _xlpm.is_TR_dot, IF(IFERROR(MATCH(A14,'Engineering Numbers Ref'!C:C, 0),0)&gt;0,3,0), _xlpm.is_TR_tm, IF(IFERROR(MATCH(A14,'Engineering Numbers Ref'!D:D, 0),0)&gt;0,4,0), _xlpm.is_DI_dot+_xlpm.is_DI_tm+_xlpm.is_TR_dot+_xlpm.is_TR_tm)</f>
        <v>3</v>
      </c>
    </row>
    <row r="15" spans="1:18" ht="15" customHeight="1" x14ac:dyDescent="0.25">
      <c r="A15" s="29" t="s">
        <v>366</v>
      </c>
      <c r="B15" s="188" t="str" cm="1">
        <f t="array" ref="B15">_xlfn.LET(_xlpm.DI_name, _xlfn.XLOOKUP(A15, [2]!DOT_Projects[[#All],[Engineering Number]], [2]!DOT_Projects[[#All],[Designer Name]], ""), _xlpm.DI_tm_name, _xlfn.XLOOKUP(A15, [2]!Table7[[#All],[Eng Number]], [2]!Table7[[#All],[Designer Name]], ""), _xlpm.TR_name, _xlfn.XLOOKUP(A15, [1]!CRA_Projects31213[[#All],[Engineering Number]], [1]!CRA_Projects31213[[#All],[Designer Supervisor]]), _xlpm.TR_tm_name, _xlfn.XLOOKUP(A15, [1]!CRA_Projects312132[[#All],[Engineering Number]], [1]!CRA_Projects312132[[#All],[Designer Supervisor]]), _xlfn.SWITCH($J15, 1, _xlpm.DI_name, 2, _xlpm.DI_tm_name, 3, _xlpm.TR_name, 4, _xlpm.TR_tm_name, "Number not Found"))</f>
        <v>Mark Stanley</v>
      </c>
      <c r="C15" s="189" t="str" cm="1">
        <f t="array" ref="C15">_xlfn.LET(_xlpm.DI_town, _xlfn.XLOOKUP(A15, [2]!DOT_Projects[[#All],[Engineering Number]], [2]!DOT_Projects[[#All],[Town]], ""), _xlpm.DI_tm_town, _xlfn.XLOOKUP(A15, [2]!Table7[[#All],[Eng Number]], [2]!Table7[[#All],[Town]], ""), _xlpm.TR_town, _xlfn.XLOOKUP(A15, [1]!CRA_Projects31213[[#All],[Engineering Number]], [1]!CRA_Projects31213[[#All],[Town]]), _xlpm.TR_tm_town, _xlfn.XLOOKUP(A15, [1]!CRA_Projects312132[[#All],[Engineering Number]], [1]!CRA_Projects312132[[#All],[Town]]),_xlfn.SWITCH($J15, 1, _xlpm.DI_town, 2, _xlpm.DI_tm_town, 3, _xlpm.TR_town, 4, _xlpm.TR_tm_town, "Number not Found"))</f>
        <v>PONTIAC</v>
      </c>
      <c r="D15" s="118" cm="1">
        <f t="array" ref="D15">_xlfn.LET(_xlpm.DI_date, _xlfn.XLOOKUP(A15, [2]!DOT_Projects[[#All],[Engineering Number]], [2]!DOT_Projects[[#All],[Engineering Approved Design Date]]), _xlpm.DI_tm_date, _xlfn.XLOOKUP(A15, [2]!Table7[[#All],[Eng Number]], [2]!Table7[[#All],[Target
Release Date]]), _xlpm.TR_date, _xlfn.XLOOKUP(A15, [1]!CRA_Projects31213[[#All],[Engineering Number]], [1]!CRA_Projects31213[[#All],[Engineering Approved Design Date]]), _xlpm.TR_tm_date, _xlfn.XLOOKUP(A15, [1]!CRA_Projects312132[[#All],[Engineering Number]], [1]!CRA_Projects312132[[#All],[Engineering Approved Design Date]]), _xlpm.date_lookup, _xlfn.SWITCH($J15, 1, _xlpm.DI_date, 2, _xlpm.DI_tm_date, 3, _xlpm.TR_date, 4, _xlpm.TR_tm_date, "Number not Found"), IFERROR(IF(DAY(_xlpm.date_lookup)&lt;=15, DATE(YEAR(_xlpm.date_lookup), MONTH(_xlpm.date_lookup), 1), DATE(YEAR(_xlpm.date_lookup), MONTH(_xlpm.date_lookup)+1, 1)), "Number not Found"))</f>
        <v>45962</v>
      </c>
      <c r="E15" s="192">
        <v>34000</v>
      </c>
      <c r="F15" s="177">
        <f>0.1*E15</f>
        <v>3400</v>
      </c>
      <c r="G15" s="191">
        <v>0</v>
      </c>
      <c r="H15" s="191">
        <f t="shared" si="0"/>
        <v>3400</v>
      </c>
      <c r="I15" s="145" t="s">
        <v>367</v>
      </c>
      <c r="J15">
        <f>_xlfn.LET(_xlpm.is_DI_dot, IF(IFERROR(MATCH(A15,'Engineering Numbers Ref'!A:A, 0),0)&gt;0, 1, 0), _xlpm.is_DI_tm, IF(IFERROR(MATCH(A15,'Engineering Numbers Ref'!B:B, 0),0)&gt;0, 2, 0), _xlpm.is_TR_dot, IF(IFERROR(MATCH(A15,'Engineering Numbers Ref'!C:C, 0),0)&gt;0,3,0), _xlpm.is_TR_tm, IF(IFERROR(MATCH(A15,'Engineering Numbers Ref'!D:D, 0),0)&gt;0,4,0), _xlpm.is_DI_dot+_xlpm.is_DI_tm+_xlpm.is_TR_dot+_xlpm.is_TR_tm)</f>
        <v>1</v>
      </c>
    </row>
    <row r="16" spans="1:18" ht="15" customHeight="1" x14ac:dyDescent="0.25">
      <c r="A16" s="169" t="s">
        <v>308</v>
      </c>
      <c r="B16" s="188" t="str" cm="1">
        <f t="array" ref="B16">_xlfn.LET(_xlpm.DI_name, _xlfn.XLOOKUP(A16, [2]!DOT_Projects[[#All],[Engineering Number]], [2]!DOT_Projects[[#All],[Designer Name]], ""), _xlpm.DI_tm_name, _xlfn.XLOOKUP(A16, [2]!Table7[[#All],[Eng Number]], [2]!Table7[[#All],[Designer Name]], ""), _xlpm.TR_name, _xlfn.XLOOKUP(A16, [1]!CRA_Projects31213[[#All],[Engineering Number]], [1]!CRA_Projects31213[[#All],[Designer Supervisor]]), _xlpm.TR_tm_name, _xlfn.XLOOKUP(A16, [1]!CRA_Projects312132[[#All],[Engineering Number]], [1]!CRA_Projects312132[[#All],[Designer Supervisor]]), _xlfn.SWITCH($J16, 1, _xlpm.DI_name, 2, _xlpm.DI_tm_name, 3, _xlpm.TR_name, 4, _xlpm.TR_tm_name, "Number not Found"))</f>
        <v>Matt Hopkins</v>
      </c>
      <c r="C16" s="189" t="str" cm="1">
        <f t="array" ref="C16">_xlfn.LET(_xlpm.DI_town, _xlfn.XLOOKUP(A16, [2]!DOT_Projects[[#All],[Engineering Number]], [2]!DOT_Projects[[#All],[Town]], ""), _xlpm.DI_tm_town, _xlfn.XLOOKUP(A16, [2]!Table7[[#All],[Eng Number]], [2]!Table7[[#All],[Town]], ""), _xlpm.TR_town, _xlfn.XLOOKUP(A16, [1]!CRA_Projects31213[[#All],[Engineering Number]], [1]!CRA_Projects31213[[#All],[Town]]), _xlpm.TR_tm_town, _xlfn.XLOOKUP(A16, [1]!CRA_Projects312132[[#All],[Engineering Number]], [1]!CRA_Projects312132[[#All],[Town]]),_xlfn.SWITCH($J16, 1, _xlpm.DI_town, 2, _xlpm.DI_tm_town, 3, _xlpm.TR_town, 4, _xlpm.TR_tm_town, "Number not Found"))</f>
        <v>BERWYN</v>
      </c>
      <c r="D16" s="190" cm="1">
        <f t="array" ref="D16">_xlfn.LET(_xlpm.DI_date, _xlfn.XLOOKUP(A16, [2]!DOT_Projects[[#All],[Engineering Number]], [2]!DOT_Projects[[#All],[Engineering Approved Design Date]]), _xlpm.DI_tm_date, _xlfn.XLOOKUP(A16, [2]!Table7[[#All],[Eng Number]], [2]!Table7[[#All],[Target
Release Date]]), _xlpm.TR_date, _xlfn.XLOOKUP(A16, [1]!CRA_Projects31213[[#All],[Engineering Number]], [1]!CRA_Projects31213[[#All],[Engineering Approved Design Date]]), _xlpm.TR_tm_date, _xlfn.XLOOKUP(A16, [1]!CRA_Projects312132[[#All],[Engineering Number]], [1]!CRA_Projects312132[[#All],[Engineering Approved Design Date]]), _xlpm.date_lookup, _xlfn.SWITCH($J16, 1, _xlpm.DI_date, 2, _xlpm.DI_tm_date, 3, _xlpm.TR_date, 4, _xlpm.TR_tm_date, "Number not Found"), IFERROR(IF(DAY(_xlpm.date_lookup)&lt;=15, DATE(YEAR(_xlpm.date_lookup), MONTH(_xlpm.date_lookup), 1), DATE(YEAR(_xlpm.date_lookup), MONTH(_xlpm.date_lookup)+1, 1)), "Number not Found"))</f>
        <v>45962</v>
      </c>
      <c r="E16" s="187">
        <v>450000</v>
      </c>
      <c r="F16" s="177">
        <f>0.1*E16</f>
        <v>45000</v>
      </c>
      <c r="G16" s="191">
        <v>0</v>
      </c>
      <c r="H16" s="191">
        <f t="shared" si="0"/>
        <v>45000</v>
      </c>
      <c r="I16" s="145" t="s">
        <v>368</v>
      </c>
      <c r="J16">
        <f>_xlfn.LET(_xlpm.is_DI_dot, IF(IFERROR(MATCH(A16,'Engineering Numbers Ref'!A:A, 0),0)&gt;0, 1, 0), _xlpm.is_DI_tm, IF(IFERROR(MATCH(A16,'Engineering Numbers Ref'!B:B, 0),0)&gt;0, 2, 0), _xlpm.is_TR_dot, IF(IFERROR(MATCH(A16,'Engineering Numbers Ref'!C:C, 0),0)&gt;0,3,0), _xlpm.is_TR_tm, IF(IFERROR(MATCH(A16,'Engineering Numbers Ref'!D:D, 0),0)&gt;0,4,0), _xlpm.is_DI_dot+_xlpm.is_DI_tm+_xlpm.is_TR_dot+_xlpm.is_TR_tm)</f>
        <v>1</v>
      </c>
    </row>
    <row r="17" spans="1:10" ht="15" customHeight="1" x14ac:dyDescent="0.25">
      <c r="A17" s="183" t="s">
        <v>244</v>
      </c>
      <c r="B17" s="188" t="e" cm="1">
        <f t="array" ref="B17">_xlfn.LET(_xlpm.DI_name, _xlfn.XLOOKUP(A17, [2]!DOT_Projects[[#All],[Engineering Number]], [2]!DOT_Projects[[#All],[Designer Name]], ""), _xlpm.DI_tm_name, _xlfn.XLOOKUP(A17, [2]!Table7[[#All],[Eng Number]], [2]!Table7[[#All],[Designer Name]], ""), _xlpm.TR_name, _xlfn.XLOOKUP(A17, [1]!CRA_Projects31213[[#All],[Engineering Number]], [1]!CRA_Projects31213[[#All],[KH Project Lead]]), _xlpm.TR_tm_name, _xlfn.XLOOKUP(A17, [1]!CRA_Projects312132[[#All],[Engineering Number]], [1]!CRA_Projects312132[[#All],[KH Project Lead]]), _xlfn.SWITCH($J17, 1, _xlpm.DI_name, 2, _xlpm.DI_tm_name, 3, _xlpm.TR_name, 4, _xlpm.TR_tm_name, "Number not Found"))</f>
        <v>#REF!</v>
      </c>
      <c r="C17" s="189" t="e" cm="1">
        <f t="array" ref="C17">_xlfn.LET(_xlpm.DI_town, _xlfn.XLOOKUP(A17, [2]!DOT_Projects[[#All],[Engineering Number]], [2]!DOT_Projects[[#All],[Town]], ""), _xlpm.DI_tm_town, _xlfn.XLOOKUP(A17, [2]!Table7[[#All],[Eng Number]], [2]!Table7[[#All],[Town]], ""), _xlpm.TR_town, _xlfn.XLOOKUP(A17, [1]!CRA_Projects31213[[#All],[Engineering Number]], [1]!CRA_Projects31213[[#All],[Town]]), _xlpm.TR_tm_town, _xlfn.XLOOKUP(A17, [1]!CRA_Projects312132[[#All],[Engineering Number]], [1]!CRA_Projects312132[[#All],[Town]]),_xlfn.SWITCH($J17, 1, _xlpm.DI_town, 2, _xlpm.DI_tm_town, 3, _xlpm.TR_town, 4, _xlpm.TR_tm_town, "Number not Found"))</f>
        <v>#REF!</v>
      </c>
      <c r="D17" s="118" t="str" cm="1">
        <f t="array" ref="D17">_xlfn.LET(_xlpm.DI_date, _xlfn.XLOOKUP(A17, [2]!DOT_Projects[[#All],[Engineering Number]], [2]!DOT_Projects[[#All],[Engineering Approved Design Date]]), _xlpm.DI_tm_date, _xlfn.XLOOKUP(A17, [2]!Table7[[#All],[Eng Number]], [2]!Table7[[#All],[Target
Release Date]]), _xlpm.TR_date, _xlfn.XLOOKUP(A17, [1]!CRA_Projects31213[[#All],[Engineering Number]], [1]!CRA_Projects31213[[#All],[Engineering Approved Design Date]]), _xlpm.TR_tm_date, _xlfn.XLOOKUP(A17, [1]!CRA_Projects312132[[#All],[Engineering Number]], [1]!CRA_Projects312132[[#All],[Engineering Approved Design Date]]), _xlpm.date_lookup, _xlfn.SWITCH($J17, 1, _xlpm.DI_date, 2, _xlpm.DI_tm_date, 3, _xlpm.TR_date, 4, _xlpm.TR_tm_date, "Number not Found"), IFERROR(IF(DAY(_xlpm.date_lookup)&lt;=15, DATE(YEAR(_xlpm.date_lookup), MONTH(_xlpm.date_lookup), 1), DATE(YEAR(_xlpm.date_lookup), MONTH(_xlpm.date_lookup)+1, 1)), "Number not Found"))</f>
        <v>Number not Found</v>
      </c>
      <c r="E17" s="76" t="s">
        <v>181</v>
      </c>
      <c r="F17" s="178">
        <v>8900</v>
      </c>
      <c r="G17" s="191">
        <v>0</v>
      </c>
      <c r="H17" s="191">
        <f t="shared" si="0"/>
        <v>8900</v>
      </c>
      <c r="I17" s="145" t="s">
        <v>364</v>
      </c>
      <c r="J17">
        <f>_xlfn.LET(_xlpm.is_DI_dot, IF(IFERROR(MATCH(A17,'Engineering Numbers Ref'!A:A, 0),0)&gt;0, 1, 0), _xlpm.is_DI_tm, IF(IFERROR(MATCH(A17,'Engineering Numbers Ref'!B:B, 0),0)&gt;0, 2, 0), _xlpm.is_TR_dot, IF(IFERROR(MATCH(A17,'Engineering Numbers Ref'!C:C, 0),0)&gt;0,3,0), _xlpm.is_TR_tm, IF(IFERROR(MATCH(A17,'Engineering Numbers Ref'!D:D, 0),0)&gt;0,4,0), _xlpm.is_DI_dot+_xlpm.is_DI_tm+_xlpm.is_TR_dot+_xlpm.is_TR_tm)</f>
        <v>3</v>
      </c>
    </row>
    <row r="18" spans="1:10" ht="15" customHeight="1" x14ac:dyDescent="0.25">
      <c r="A18" s="183" t="s">
        <v>277</v>
      </c>
      <c r="B18" s="188" t="e" cm="1">
        <f t="array" ref="B18">_xlfn.LET(_xlpm.DI_name, _xlfn.XLOOKUP(A18, [2]!DOT_Projects[[#All],[Engineering Number]], [2]!DOT_Projects[[#All],[Designer Name]], ""), _xlpm.DI_tm_name, _xlfn.XLOOKUP(A18, [2]!Table7[[#All],[Eng Number]], [2]!Table7[[#All],[Designer Name]], ""), _xlpm.TR_name, _xlfn.XLOOKUP(A18, [1]!CRA_Projects31213[[#All],[Engineering Number]], [1]!CRA_Projects31213[[#All],[KH Project Lead]]), _xlpm.TR_tm_name, _xlfn.XLOOKUP(A18, [1]!CRA_Projects312132[[#All],[Engineering Number]], [1]!CRA_Projects312132[[#All],[KH Project Lead]]), _xlfn.SWITCH($J18, 1, _xlpm.DI_name, 2, _xlpm.DI_tm_name, 3, _xlpm.TR_name, 4, _xlpm.TR_tm_name, "Number not Found"))</f>
        <v>#REF!</v>
      </c>
      <c r="C18" s="189" t="e" cm="1">
        <f t="array" ref="C18">_xlfn.LET(_xlpm.DI_town, _xlfn.XLOOKUP(A18, [2]!DOT_Projects[[#All],[Engineering Number]], [2]!DOT_Projects[[#All],[Town]], ""), _xlpm.DI_tm_town, _xlfn.XLOOKUP(A18, [2]!Table7[[#All],[Eng Number]], [2]!Table7[[#All],[Town]], ""), _xlpm.TR_town, _xlfn.XLOOKUP(A18, [1]!CRA_Projects31213[[#All],[Engineering Number]], [1]!CRA_Projects31213[[#All],[Town]]), _xlpm.TR_tm_town, _xlfn.XLOOKUP(A18, [1]!CRA_Projects312132[[#All],[Engineering Number]], [1]!CRA_Projects312132[[#All],[Town]]),_xlfn.SWITCH($J18, 1, _xlpm.DI_town, 2, _xlpm.DI_tm_town, 3, _xlpm.TR_town, 4, _xlpm.TR_tm_town, "Number not Found"))</f>
        <v>#REF!</v>
      </c>
      <c r="D18" s="118" t="str" cm="1">
        <f t="array" ref="D18">_xlfn.LET(_xlpm.DI_date, _xlfn.XLOOKUP(A18, [2]!DOT_Projects[[#All],[Engineering Number]], [2]!DOT_Projects[[#All],[Engineering Approved Design Date]]), _xlpm.DI_tm_date, _xlfn.XLOOKUP(A18, [2]!Table7[[#All],[Eng Number]], [2]!Table7[[#All],[Target
Release Date]]), _xlpm.TR_date, _xlfn.XLOOKUP(A18, [1]!CRA_Projects31213[[#All],[Engineering Number]], [1]!CRA_Projects31213[[#All],[Engineering Approved Design Date]]), _xlpm.TR_tm_date, _xlfn.XLOOKUP(A18, [1]!CRA_Projects312132[[#All],[Engineering Number]], [1]!CRA_Projects312132[[#All],[Engineering Approved Design Date]]), _xlpm.date_lookup, _xlfn.SWITCH($J18, 1, _xlpm.DI_date, 2, _xlpm.DI_tm_date, 3, _xlpm.TR_date, 4, _xlpm.TR_tm_date, "Number not Found"), IFERROR(IF(DAY(_xlpm.date_lookup)&lt;=15, DATE(YEAR(_xlpm.date_lookup), MONTH(_xlpm.date_lookup), 1), DATE(YEAR(_xlpm.date_lookup), MONTH(_xlpm.date_lookup)+1, 1)), "Number not Found"))</f>
        <v>Number not Found</v>
      </c>
      <c r="E18" s="76" t="s">
        <v>181</v>
      </c>
      <c r="F18" s="178">
        <v>14000</v>
      </c>
      <c r="G18" s="191">
        <v>0</v>
      </c>
      <c r="H18" s="191">
        <f t="shared" si="0"/>
        <v>14000</v>
      </c>
      <c r="I18" s="145" t="s">
        <v>364</v>
      </c>
      <c r="J18">
        <f>_xlfn.LET(_xlpm.is_DI_dot, IF(IFERROR(MATCH(A18,'Engineering Numbers Ref'!A:A, 0),0)&gt;0, 1, 0), _xlpm.is_DI_tm, IF(IFERROR(MATCH(A18,'Engineering Numbers Ref'!B:B, 0),0)&gt;0, 2, 0), _xlpm.is_TR_dot, IF(IFERROR(MATCH(A18,'Engineering Numbers Ref'!C:C, 0),0)&gt;0,3,0), _xlpm.is_TR_tm, IF(IFERROR(MATCH(A18,'Engineering Numbers Ref'!D:D, 0),0)&gt;0,4,0), _xlpm.is_DI_dot+_xlpm.is_DI_tm+_xlpm.is_TR_dot+_xlpm.is_TR_tm)</f>
        <v>3</v>
      </c>
    </row>
    <row r="19" spans="1:10" ht="15" customHeight="1" x14ac:dyDescent="0.25">
      <c r="A19" s="183" t="s">
        <v>292</v>
      </c>
      <c r="B19" s="188" t="e" cm="1">
        <f t="array" ref="B19">_xlfn.LET(_xlpm.DI_name, _xlfn.XLOOKUP(A19, [2]!DOT_Projects[[#All],[Engineering Number]], [2]!DOT_Projects[[#All],[Designer Name]], ""), _xlpm.DI_tm_name, _xlfn.XLOOKUP(A19, [2]!Table7[[#All],[Eng Number]], [2]!Table7[[#All],[Designer Name]], ""), _xlpm.TR_name, _xlfn.XLOOKUP(A19, [1]!CRA_Projects31213[[#All],[Engineering Number]], [1]!CRA_Projects31213[[#All],[KH Project Lead]]), _xlpm.TR_tm_name, _xlfn.XLOOKUP(A19, [1]!CRA_Projects312132[[#All],[Engineering Number]], [1]!CRA_Projects312132[[#All],[KH Project Lead]]), _xlfn.SWITCH($J19, 1, _xlpm.DI_name, 2, _xlpm.DI_tm_name, 3, _xlpm.TR_name, 4, _xlpm.TR_tm_name, "Number not Found"))</f>
        <v>#REF!</v>
      </c>
      <c r="C19" s="189" t="e" cm="1">
        <f t="array" ref="C19">_xlfn.LET(_xlpm.DI_town, _xlfn.XLOOKUP(A19, [2]!DOT_Projects[[#All],[Engineering Number]], [2]!DOT_Projects[[#All],[Town]], ""), _xlpm.DI_tm_town, _xlfn.XLOOKUP(A19, [2]!Table7[[#All],[Eng Number]], [2]!Table7[[#All],[Town]], ""), _xlpm.TR_town, _xlfn.XLOOKUP(A19, [1]!CRA_Projects31213[[#All],[Engineering Number]], [1]!CRA_Projects31213[[#All],[Town]]), _xlpm.TR_tm_town, _xlfn.XLOOKUP(A19, [1]!CRA_Projects312132[[#All],[Engineering Number]], [1]!CRA_Projects312132[[#All],[Town]]),_xlfn.SWITCH($J19, 1, _xlpm.DI_town, 2, _xlpm.DI_tm_town, 3, _xlpm.TR_town, 4, _xlpm.TR_tm_town, "Number not Found"))</f>
        <v>#REF!</v>
      </c>
      <c r="D19" s="118" t="str" cm="1">
        <f t="array" ref="D19">_xlfn.LET(_xlpm.DI_date, _xlfn.XLOOKUP(A19, [2]!DOT_Projects[[#All],[Engineering Number]], [2]!DOT_Projects[[#All],[Engineering Approved Design Date]]), _xlpm.DI_tm_date, _xlfn.XLOOKUP(A19, [2]!Table7[[#All],[Eng Number]], [2]!Table7[[#All],[Target
Release Date]]), _xlpm.TR_date, _xlfn.XLOOKUP(A19, [1]!CRA_Projects31213[[#All],[Engineering Number]], [1]!CRA_Projects31213[[#All],[Engineering Approved Design Date]]), _xlpm.TR_tm_date, _xlfn.XLOOKUP(A19, [1]!CRA_Projects312132[[#All],[Engineering Number]], [1]!CRA_Projects312132[[#All],[Engineering Approved Design Date]]), _xlpm.date_lookup, _xlfn.SWITCH($J19, 1, _xlpm.DI_date, 2, _xlpm.DI_tm_date, 3, _xlpm.TR_date, 4, _xlpm.TR_tm_date, "Number not Found"), IFERROR(IF(DAY(_xlpm.date_lookup)&lt;=15, DATE(YEAR(_xlpm.date_lookup), MONTH(_xlpm.date_lookup), 1), DATE(YEAR(_xlpm.date_lookup), MONTH(_xlpm.date_lookup)+1, 1)), "Number not Found"))</f>
        <v>Number not Found</v>
      </c>
      <c r="E19" s="76" t="s">
        <v>181</v>
      </c>
      <c r="F19" s="178">
        <v>8000</v>
      </c>
      <c r="G19" s="191">
        <v>0</v>
      </c>
      <c r="H19" s="191">
        <f t="shared" si="0"/>
        <v>8000</v>
      </c>
      <c r="I19" s="145" t="s">
        <v>364</v>
      </c>
      <c r="J19">
        <f>_xlfn.LET(_xlpm.is_DI_dot, IF(IFERROR(MATCH(A19,'Engineering Numbers Ref'!A:A, 0),0)&gt;0, 1, 0), _xlpm.is_DI_tm, IF(IFERROR(MATCH(A19,'Engineering Numbers Ref'!B:B, 0),0)&gt;0, 2, 0), _xlpm.is_TR_dot, IF(IFERROR(MATCH(A19,'Engineering Numbers Ref'!C:C, 0),0)&gt;0,3,0), _xlpm.is_TR_tm, IF(IFERROR(MATCH(A19,'Engineering Numbers Ref'!D:D, 0),0)&gt;0,4,0), _xlpm.is_DI_dot+_xlpm.is_DI_tm+_xlpm.is_TR_dot+_xlpm.is_TR_tm)</f>
        <v>3</v>
      </c>
    </row>
    <row r="20" spans="1:10" ht="15" customHeight="1" x14ac:dyDescent="0.25">
      <c r="A20" s="169" t="s">
        <v>369</v>
      </c>
      <c r="B20" s="188" t="str" cm="1">
        <f t="array" ref="B20">_xlfn.LET(_xlpm.DI_name, _xlfn.XLOOKUP(A20, [2]!DOT_Projects[[#All],[Engineering Number]], [2]!DOT_Projects[[#All],[Designer Name]], ""), _xlpm.DI_tm_name, _xlfn.XLOOKUP(A20, [2]!Table7[[#All],[Eng Number]], [2]!Table7[[#All],[Designer Name]], ""), _xlpm.TR_name, _xlfn.XLOOKUP(A20, [1]!CRA_Projects31213[[#All],[Engineering Number]], [1]!CRA_Projects31213[[#All],[Designer Supervisor]]), _xlpm.TR_tm_name, _xlfn.XLOOKUP(A20, [1]!CRA_Projects312132[[#All],[Engineering Number]], [1]!CRA_Projects312132[[#All],[Designer Supervisor]]), _xlfn.SWITCH($J20, 1, _xlpm.DI_name, 2, _xlpm.DI_tm_name, 3, _xlpm.TR_name, 4, _xlpm.TR_tm_name, "Number not Found"))</f>
        <v>Matt Hopkins / Nick Watt</v>
      </c>
      <c r="C20" s="189" t="str" cm="1">
        <f t="array" ref="C20">_xlfn.LET(_xlpm.DI_town, _xlfn.XLOOKUP(A20, [2]!DOT_Projects[[#All],[Engineering Number]], [2]!DOT_Projects[[#All],[Town]], ""), _xlpm.DI_tm_town, _xlfn.XLOOKUP(A20, [2]!Table7[[#All],[Eng Number]], [2]!Table7[[#All],[Town]], ""), _xlpm.TR_town, _xlfn.XLOOKUP(A20, [1]!CRA_Projects31213[[#All],[Engineering Number]], [1]!CRA_Projects31213[[#All],[Town]]), _xlpm.TR_tm_town, _xlfn.XLOOKUP(A20, [1]!CRA_Projects312132[[#All],[Engineering Number]], [1]!CRA_Projects312132[[#All],[Town]]),_xlfn.SWITCH($J20, 1, _xlpm.DI_town, 2, _xlpm.DI_tm_town, 3, _xlpm.TR_town, 4, _xlpm.TR_tm_town, "Number not Found"))</f>
        <v>ELK GROVE VILLAGE</v>
      </c>
      <c r="D20" s="118">
        <v>45931</v>
      </c>
      <c r="E20" s="175">
        <v>250000</v>
      </c>
      <c r="F20" s="177">
        <f>0.1*E20</f>
        <v>25000</v>
      </c>
      <c r="G20" s="191">
        <v>0</v>
      </c>
      <c r="H20" s="191">
        <f t="shared" si="0"/>
        <v>25000</v>
      </c>
      <c r="I20" s="145" t="s">
        <v>370</v>
      </c>
      <c r="J20">
        <f>_xlfn.LET(_xlpm.is_DI_dot, IF(IFERROR(MATCH(A20,'Engineering Numbers Ref'!A:A, 0),0)&gt;0, 1, 0), _xlpm.is_DI_tm, IF(IFERROR(MATCH(A20,'Engineering Numbers Ref'!B:B, 0),0)&gt;0, 2, 0), _xlpm.is_TR_dot, IF(IFERROR(MATCH(A20,'Engineering Numbers Ref'!C:C, 0),0)&gt;0,3,0), _xlpm.is_TR_tm, IF(IFERROR(MATCH(A20,'Engineering Numbers Ref'!D:D, 0),0)&gt;0,4,0), _xlpm.is_DI_dot+_xlpm.is_DI_tm+_xlpm.is_TR_dot+_xlpm.is_TR_tm)</f>
        <v>1</v>
      </c>
    </row>
    <row r="21" spans="1:10" ht="15" customHeight="1" x14ac:dyDescent="0.25">
      <c r="A21" s="182" t="s">
        <v>371</v>
      </c>
      <c r="B21" s="188" t="e" cm="1">
        <f t="array" ref="B21">_xlfn.LET(_xlpm.DI_name, _xlfn.XLOOKUP(A21, [2]!DOT_Projects[[#All],[Engineering Number]], [2]!DOT_Projects[[#All],[Designer Name]], ""), _xlpm.DI_tm_name, _xlfn.XLOOKUP(A21, [2]!Table7[[#All],[Eng Number]], [2]!Table7[[#All],[Designer Name]], ""), _xlpm.TR_name, _xlfn.XLOOKUP(A21, [1]!CRA_Projects31213[[#All],[Engineering Number]], [1]!CRA_Projects31213[[#All],[KH Project Lead]]), _xlpm.TR_tm_name, _xlfn.XLOOKUP(A21, [1]!CRA_Projects312132[[#All],[Engineering Number]], [1]!CRA_Projects312132[[#All],[KH Project Lead]]), _xlfn.SWITCH($J21, 1, _xlpm.DI_name, 2, _xlpm.DI_tm_name, 3, _xlpm.TR_name, 4, _xlpm.TR_tm_name, "Number not Found"))</f>
        <v>#REF!</v>
      </c>
      <c r="C21" s="189" t="e" cm="1">
        <f t="array" ref="C21">_xlfn.LET(_xlpm.DI_town, _xlfn.XLOOKUP(A21, [2]!DOT_Projects[[#All],[Engineering Number]], [2]!DOT_Projects[[#All],[Town]], ""), _xlpm.DI_tm_town, _xlfn.XLOOKUP(A21, [2]!Table7[[#All],[Eng Number]], [2]!Table7[[#All],[Town]], ""), _xlpm.TR_town, _xlfn.XLOOKUP(A21, [1]!CRA_Projects31213[[#All],[Engineering Number]], [1]!CRA_Projects31213[[#All],[Town]]), _xlpm.TR_tm_town, _xlfn.XLOOKUP(A21, [1]!CRA_Projects312132[[#All],[Engineering Number]], [1]!CRA_Projects312132[[#All],[Town]]),_xlfn.SWITCH($J21, 1, _xlpm.DI_town, 2, _xlpm.DI_tm_town, 3, _xlpm.TR_town, 4, _xlpm.TR_tm_town, "Number not Found"))</f>
        <v>#REF!</v>
      </c>
      <c r="D21" s="118">
        <v>45931</v>
      </c>
      <c r="E21" s="76" t="s">
        <v>181</v>
      </c>
      <c r="F21" s="178">
        <v>11000</v>
      </c>
      <c r="G21" s="191">
        <v>0</v>
      </c>
      <c r="H21" s="191">
        <f t="shared" si="0"/>
        <v>11000</v>
      </c>
      <c r="I21" s="174" t="s">
        <v>372</v>
      </c>
      <c r="J21">
        <f>_xlfn.LET(_xlpm.is_DI_dot, IF(IFERROR(MATCH(A21,'Engineering Numbers Ref'!A:A, 0),0)&gt;0, 1, 0), _xlpm.is_DI_tm, IF(IFERROR(MATCH(A21,'Engineering Numbers Ref'!B:B, 0),0)&gt;0, 2, 0), _xlpm.is_TR_dot, IF(IFERROR(MATCH(A21,'Engineering Numbers Ref'!C:C, 0),0)&gt;0,3,0), _xlpm.is_TR_tm, IF(IFERROR(MATCH(A21,'Engineering Numbers Ref'!D:D, 0),0)&gt;0,4,0), _xlpm.is_DI_dot+_xlpm.is_DI_tm+_xlpm.is_TR_dot+_xlpm.is_TR_tm)</f>
        <v>3</v>
      </c>
    </row>
    <row r="22" spans="1:10" ht="18.75" customHeight="1" x14ac:dyDescent="0.25">
      <c r="A22" s="183" t="s">
        <v>240</v>
      </c>
      <c r="B22" s="188" t="str" cm="1">
        <f t="array" ref="B22">_xlfn.LET(_xlpm.DI_name, _xlfn.XLOOKUP(A22, [2]!DOT_Projects[[#All],[Engineering Number]], [2]!DOT_Projects[[#All],[Designer Name]], ""), _xlpm.DI_tm_name, _xlfn.XLOOKUP(A22, [2]!Table7[[#All],[Eng Number]], [2]!Table7[[#All],[Designer Name]], ""), _xlpm.TR_name, _xlfn.XLOOKUP(A22, [1]!CRA_Projects31213[[#All],[Engineering Number]], [1]!CRA_Projects31213[[#All],[KH Project Lead]]), _xlpm.TR_tm_name, _xlfn.XLOOKUP(A22, [1]!CRA_Projects312132[[#All],[Engineering Number]], [1]!CRA_Projects312132[[#All],[KH Project Lead]]), _xlfn.SWITCH($J22, 1, _xlpm.DI_name, 2, _xlpm.DI_tm_name, 3, _xlpm.TR_name, 4, _xlpm.TR_tm_name, "Number not Found"))</f>
        <v>Number not Found</v>
      </c>
      <c r="C22" s="189" t="str" cm="1">
        <f t="array" ref="C22">_xlfn.LET(_xlpm.DI_town, _xlfn.XLOOKUP(A22, [2]!DOT_Projects[[#All],[Engineering Number]], [2]!DOT_Projects[[#All],[Town]], ""), _xlpm.DI_tm_town, _xlfn.XLOOKUP(A22, [2]!Table7[[#All],[Eng Number]], [2]!Table7[[#All],[Town]], ""), _xlpm.TR_town, _xlfn.XLOOKUP(A22, [1]!CRA_Projects31213[[#All],[Engineering Number]], [1]!CRA_Projects31213[[#All],[Town]]), _xlpm.TR_tm_town, _xlfn.XLOOKUP(A22, [1]!CRA_Projects312132[[#All],[Engineering Number]], [1]!CRA_Projects312132[[#All],[Town]]),_xlfn.SWITCH($J22, 1, _xlpm.DI_town, 2, _xlpm.DI_tm_town, 3, _xlpm.TR_town, 4, _xlpm.TR_tm_town, "Number not Found"))</f>
        <v>Number not Found</v>
      </c>
      <c r="D22" s="118" t="str" cm="1">
        <f t="array" ref="D22">_xlfn.LET(_xlpm.DI_date, _xlfn.XLOOKUP(A22, [2]!DOT_Projects[[#All],[Engineering Number]], [2]!DOT_Projects[[#All],[Engineering Approved Design Date]]), _xlpm.DI_tm_date, _xlfn.XLOOKUP(A22, [2]!Table7[[#All],[Eng Number]], [2]!Table7[[#All],[Target
Release Date]]), _xlpm.TR_date, _xlfn.XLOOKUP(A22, [1]!CRA_Projects31213[[#All],[Engineering Number]], [1]!CRA_Projects31213[[#All],[Engineering Approved Design Date]]), _xlpm.TR_tm_date, _xlfn.XLOOKUP(A22, [1]!CRA_Projects312132[[#All],[Engineering Number]], [1]!CRA_Projects312132[[#All],[Engineering Approved Design Date]]), _xlpm.date_lookup, _xlfn.SWITCH($J22, 1, _xlpm.DI_date, 2, _xlpm.DI_tm_date, 3, _xlpm.TR_date, 4, _xlpm.TR_tm_date, "Number not Found"), IFERROR(IF(DAY(_xlpm.date_lookup)&lt;=15, DATE(YEAR(_xlpm.date_lookup), MONTH(_xlpm.date_lookup), 1), DATE(YEAR(_xlpm.date_lookup), MONTH(_xlpm.date_lookup)+1, 1)), "Number not Found"))</f>
        <v>Number not Found</v>
      </c>
      <c r="E22" s="76" t="s">
        <v>181</v>
      </c>
      <c r="F22" s="178">
        <v>21100</v>
      </c>
      <c r="G22" s="191">
        <v>0</v>
      </c>
      <c r="H22" s="191">
        <f t="shared" si="0"/>
        <v>21100</v>
      </c>
      <c r="I22" s="145" t="s">
        <v>364</v>
      </c>
      <c r="J22">
        <f>_xlfn.LET(_xlpm.is_DI_dot, IF(IFERROR(MATCH(A22,'Engineering Numbers Ref'!A:A, 0),0)&gt;0, 1, 0), _xlpm.is_DI_tm, IF(IFERROR(MATCH(A22,'Engineering Numbers Ref'!B:B, 0),0)&gt;0, 2, 0), _xlpm.is_TR_dot, IF(IFERROR(MATCH(A22,'Engineering Numbers Ref'!C:C, 0),0)&gt;0,3,0), _xlpm.is_TR_tm, IF(IFERROR(MATCH(A22,'Engineering Numbers Ref'!D:D, 0),0)&gt;0,4,0), _xlpm.is_DI_dot+_xlpm.is_DI_tm+_xlpm.is_TR_dot+_xlpm.is_TR_tm)</f>
        <v>0</v>
      </c>
    </row>
    <row r="23" spans="1:10" ht="30" x14ac:dyDescent="0.25">
      <c r="A23" s="29" t="s">
        <v>100</v>
      </c>
      <c r="B23" s="188" t="str" cm="1">
        <f t="array" ref="B23">_xlfn.LET(_xlpm.DI_name, _xlfn.XLOOKUP(A23, [2]!DOT_Projects[[#All],[Engineering Number]], [2]!DOT_Projects[[#All],[Designer Name]], ""), _xlpm.DI_tm_name, _xlfn.XLOOKUP(A23, [2]!Table7[[#All],[Eng Number]], [2]!Table7[[#All],[Designer Name]], ""), _xlpm.TR_name, _xlfn.XLOOKUP(A23, [1]!CRA_Projects31213[[#All],[Engineering Number]], [1]!CRA_Projects31213[[#All],[Designer Supervisor]]), _xlpm.TR_tm_name, _xlfn.XLOOKUP(A23, [1]!CRA_Projects312132[[#All],[Engineering Number]], [1]!CRA_Projects312132[[#All],[Designer Supervisor]]), _xlfn.SWITCH($J23, 1, _xlpm.DI_name, 2, _xlpm.DI_tm_name, 3, _xlpm.TR_name, 4, _xlpm.TR_tm_name, "Number not Found"))</f>
        <v>Number not Found</v>
      </c>
      <c r="C23" s="189" t="str" cm="1">
        <f t="array" ref="C23">_xlfn.LET(_xlpm.DI_town, _xlfn.XLOOKUP(A23, [2]!DOT_Projects[[#All],[Engineering Number]], [2]!DOT_Projects[[#All],[Town]], ""), _xlpm.DI_tm_town, _xlfn.XLOOKUP(A23, [2]!Table7[[#All],[Eng Number]], [2]!Table7[[#All],[Town]], ""), _xlpm.TR_town, _xlfn.XLOOKUP(A23, [1]!CRA_Projects31213[[#All],[Engineering Number]], [1]!CRA_Projects31213[[#All],[Town]]), _xlpm.TR_tm_town, _xlfn.XLOOKUP(A23, [1]!CRA_Projects312132[[#All],[Engineering Number]], [1]!CRA_Projects312132[[#All],[Town]]),_xlfn.SWITCH($J23, 1, _xlpm.DI_town, 2, _xlpm.DI_tm_town, 3, _xlpm.TR_town, 4, _xlpm.TR_tm_town, "Number not Found"))</f>
        <v>Number not Found</v>
      </c>
      <c r="D23" s="190" t="str" cm="1">
        <f t="array" ref="D23">_xlfn.LET(_xlpm.DI_date, _xlfn.XLOOKUP(A23, [2]!DOT_Projects[[#All],[Engineering Number]], [2]!DOT_Projects[[#All],[Engineering Approved Design Date]]), _xlpm.DI_tm_date, _xlfn.XLOOKUP(A23, [2]!Table7[[#All],[Eng Number]], [2]!Table7[[#All],[Target
Release Date]]), _xlpm.TR_date, _xlfn.XLOOKUP(A23, [1]!CRA_Projects31213[[#All],[Engineering Number]], [1]!CRA_Projects31213[[#All],[Engineering Approved Design Date]]), _xlpm.TR_tm_date, _xlfn.XLOOKUP(A23, [1]!CRA_Projects312132[[#All],[Engineering Number]], [1]!CRA_Projects312132[[#All],[Engineering Approved Design Date]]), _xlpm.date_lookup, _xlfn.SWITCH($J23, 1, _xlpm.DI_date, 2, _xlpm.DI_tm_date, 3, _xlpm.TR_date, 4, _xlpm.TR_tm_date, "Number not Found"), IFERROR(IF(DAY(_xlpm.date_lookup)&lt;=15, DATE(YEAR(_xlpm.date_lookup), MONTH(_xlpm.date_lookup), 1), DATE(YEAR(_xlpm.date_lookup), MONTH(_xlpm.date_lookup)+1, 1)), "Number not Found"))</f>
        <v>Number not Found</v>
      </c>
      <c r="E23" s="97" t="s">
        <v>181</v>
      </c>
      <c r="F23" s="178">
        <v>650000</v>
      </c>
      <c r="G23" s="191">
        <v>484740</v>
      </c>
      <c r="H23" s="191">
        <v>240000</v>
      </c>
      <c r="I23" s="145" t="s">
        <v>373</v>
      </c>
      <c r="J23">
        <f>_xlfn.LET(_xlpm.is_DI_dot, IF(IFERROR(MATCH(A23,'Engineering Numbers Ref'!A:A, 0),0)&gt;0, 1, 0), _xlpm.is_DI_tm, IF(IFERROR(MATCH(A23,'Engineering Numbers Ref'!B:B, 0),0)&gt;0, 2, 0), _xlpm.is_TR_dot, IF(IFERROR(MATCH(A23,'Engineering Numbers Ref'!C:C, 0),0)&gt;0,3,0), _xlpm.is_TR_tm, IF(IFERROR(MATCH(A23,'Engineering Numbers Ref'!D:D, 0),0)&gt;0,4,0), _xlpm.is_DI_dot+_xlpm.is_DI_tm+_xlpm.is_TR_dot+_xlpm.is_TR_tm)</f>
        <v>0</v>
      </c>
    </row>
    <row r="24" spans="1:10" ht="15" customHeight="1" x14ac:dyDescent="0.25">
      <c r="A24" s="29" t="s">
        <v>46</v>
      </c>
      <c r="B24" s="188" t="str" cm="1">
        <f t="array" ref="B24">_xlfn.LET(_xlpm.DI_name, _xlfn.XLOOKUP(A24, [2]!DOT_Projects[[#All],[Engineering Number]], [2]!DOT_Projects[[#All],[Designer Name]], ""), _xlpm.DI_tm_name, _xlfn.XLOOKUP(A24, [2]!Table7[[#All],[Eng Number]], [2]!Table7[[#All],[Designer Name]], ""), _xlpm.TR_name, _xlfn.XLOOKUP(A24, [1]!CRA_Projects31213[[#All],[Engineering Number]], [1]!CRA_Projects31213[[#All],[Designer Supervisor]]), _xlpm.TR_tm_name, _xlfn.XLOOKUP(A24, [1]!CRA_Projects312132[[#All],[Engineering Number]], [1]!CRA_Projects312132[[#All],[Designer Supervisor]]), _xlfn.SWITCH($J24, 1, _xlpm.DI_name, 2, _xlpm.DI_tm_name, 3, _xlpm.TR_name, 4, _xlpm.TR_tm_name, "Number not Found"))</f>
        <v>Number not Found</v>
      </c>
      <c r="C24" s="189" t="str" cm="1">
        <f t="array" ref="C24">_xlfn.LET(_xlpm.DI_town, _xlfn.XLOOKUP(A24, [2]!DOT_Projects[[#All],[Engineering Number]], [2]!DOT_Projects[[#All],[Town]], ""), _xlpm.DI_tm_town, _xlfn.XLOOKUP(A24, [2]!Table7[[#All],[Eng Number]], [2]!Table7[[#All],[Town]], ""), _xlpm.TR_town, _xlfn.XLOOKUP(A24, [1]!CRA_Projects31213[[#All],[Engineering Number]], [1]!CRA_Projects31213[[#All],[Town]]), _xlpm.TR_tm_town, _xlfn.XLOOKUP(A24, [1]!CRA_Projects312132[[#All],[Engineering Number]], [1]!CRA_Projects312132[[#All],[Town]]),_xlfn.SWITCH($J24, 1, _xlpm.DI_town, 2, _xlpm.DI_tm_town, 3, _xlpm.TR_town, 4, _xlpm.TR_tm_town, "Number not Found"))</f>
        <v>Number not Found</v>
      </c>
      <c r="D24" s="190" t="str" cm="1">
        <f t="array" ref="D24">_xlfn.LET(_xlpm.DI_date, _xlfn.XLOOKUP(A24, [2]!DOT_Projects[[#All],[Engineering Number]], [2]!DOT_Projects[[#All],[Engineering Approved Design Date]]), _xlpm.DI_tm_date, _xlfn.XLOOKUP(A24, [2]!Table7[[#All],[Eng Number]], [2]!Table7[[#All],[Target
Release Date]]), _xlpm.TR_date, _xlfn.XLOOKUP(A24, [1]!CRA_Projects31213[[#All],[Engineering Number]], [1]!CRA_Projects31213[[#All],[Engineering Approved Design Date]]), _xlpm.TR_tm_date, _xlfn.XLOOKUP(A24, [1]!CRA_Projects312132[[#All],[Engineering Number]], [1]!CRA_Projects312132[[#All],[Engineering Approved Design Date]]), _xlpm.date_lookup, _xlfn.SWITCH($J24, 1, _xlpm.DI_date, 2, _xlpm.DI_tm_date, 3, _xlpm.TR_date, 4, _xlpm.TR_tm_date, "Number not Found"), IFERROR(IF(DAY(_xlpm.date_lookup)&lt;=15, DATE(YEAR(_xlpm.date_lookup), MONTH(_xlpm.date_lookup), 1), DATE(YEAR(_xlpm.date_lookup), MONTH(_xlpm.date_lookup)+1, 1)), "Number not Found"))</f>
        <v>Number not Found</v>
      </c>
      <c r="E24" s="76" t="s">
        <v>181</v>
      </c>
      <c r="F24" s="178">
        <v>122765</v>
      </c>
      <c r="G24" s="191">
        <v>0</v>
      </c>
      <c r="H24" s="191">
        <f t="shared" ref="H24:H38" si="2">F24-G24</f>
        <v>122765</v>
      </c>
      <c r="I24" s="145" t="s">
        <v>374</v>
      </c>
      <c r="J24">
        <f>_xlfn.LET(_xlpm.is_DI_dot, IF(IFERROR(MATCH(A24,'Engineering Numbers Ref'!A:A, 0),0)&gt;0, 1, 0), _xlpm.is_DI_tm, IF(IFERROR(MATCH(A24,'Engineering Numbers Ref'!B:B, 0),0)&gt;0, 2, 0), _xlpm.is_TR_dot, IF(IFERROR(MATCH(A24,'Engineering Numbers Ref'!C:C, 0),0)&gt;0,3,0), _xlpm.is_TR_tm, IF(IFERROR(MATCH(A24,'Engineering Numbers Ref'!D:D, 0),0)&gt;0,4,0), _xlpm.is_DI_dot+_xlpm.is_DI_tm+_xlpm.is_TR_dot+_xlpm.is_TR_tm)</f>
        <v>0</v>
      </c>
    </row>
    <row r="25" spans="1:10" ht="15" customHeight="1" x14ac:dyDescent="0.25">
      <c r="A25" s="169" t="s">
        <v>312</v>
      </c>
      <c r="B25" s="188" t="str" cm="1">
        <f t="array" ref="B25">_xlfn.LET(_xlpm.DI_name, _xlfn.XLOOKUP(A25, [2]!DOT_Projects[[#All],[Engineering Number]], [2]!DOT_Projects[[#All],[Designer Name]], ""), _xlpm.DI_tm_name, _xlfn.XLOOKUP(A25, [2]!Table7[[#All],[Eng Number]], [2]!Table7[[#All],[Designer Name]], ""), _xlpm.TR_name, _xlfn.XLOOKUP(A25, [1]!CRA_Projects31213[[#All],[Engineering Number]], [1]!CRA_Projects31213[[#All],[Designer Supervisor]]), _xlpm.TR_tm_name, _xlfn.XLOOKUP(A25, [1]!CRA_Projects312132[[#All],[Engineering Number]], [1]!CRA_Projects312132[[#All],[Designer Supervisor]]), _xlfn.SWITCH($J25, 1, _xlpm.DI_name, 2, _xlpm.DI_tm_name, 3, _xlpm.TR_name, 4, _xlpm.TR_tm_name, "Number not Found"))</f>
        <v>Number not Found</v>
      </c>
      <c r="C25" s="189" t="str" cm="1">
        <f t="array" ref="C25">_xlfn.LET(_xlpm.DI_town, _xlfn.XLOOKUP(A25, [2]!DOT_Projects[[#All],[Engineering Number]], [2]!DOT_Projects[[#All],[Town]], ""), _xlpm.DI_tm_town, _xlfn.XLOOKUP(A25, [2]!Table7[[#All],[Eng Number]], [2]!Table7[[#All],[Town]], ""), _xlpm.TR_town, _xlfn.XLOOKUP(A25, [1]!CRA_Projects31213[[#All],[Engineering Number]], [1]!CRA_Projects31213[[#All],[Town]]), _xlpm.TR_tm_town, _xlfn.XLOOKUP(A25, [1]!CRA_Projects312132[[#All],[Engineering Number]], [1]!CRA_Projects312132[[#All],[Town]]),_xlfn.SWITCH($J25, 1, _xlpm.DI_town, 2, _xlpm.DI_tm_town, 3, _xlpm.TR_town, 4, _xlpm.TR_tm_town, "Number not Found"))</f>
        <v>Number not Found</v>
      </c>
      <c r="D25" s="190" t="str" cm="1">
        <f t="array" ref="D25">_xlfn.LET(_xlpm.DI_date, _xlfn.XLOOKUP(A25, [2]!DOT_Projects[[#All],[Engineering Number]], [2]!DOT_Projects[[#All],[Engineering Approved Design Date]]), _xlpm.DI_tm_date, _xlfn.XLOOKUP(A25, [2]!Table7[[#All],[Eng Number]], [2]!Table7[[#All],[Target
Release Date]]), _xlpm.TR_date, _xlfn.XLOOKUP(A25, [1]!CRA_Projects31213[[#All],[Engineering Number]], [1]!CRA_Projects31213[[#All],[Engineering Approved Design Date]]), _xlpm.TR_tm_date, _xlfn.XLOOKUP(A25, [1]!CRA_Projects312132[[#All],[Engineering Number]], [1]!CRA_Projects312132[[#All],[Engineering Approved Design Date]]), _xlpm.date_lookup, _xlfn.SWITCH($J25, 1, _xlpm.DI_date, 2, _xlpm.DI_tm_date, 3, _xlpm.TR_date, 4, _xlpm.TR_tm_date, "Number not Found"), IFERROR(IF(DAY(_xlpm.date_lookup)&lt;=15, DATE(YEAR(_xlpm.date_lookup), MONTH(_xlpm.date_lookup), 1), DATE(YEAR(_xlpm.date_lookup), MONTH(_xlpm.date_lookup)+1, 1)), "Number not Found"))</f>
        <v>Number not Found</v>
      </c>
      <c r="E25" s="187">
        <v>480000</v>
      </c>
      <c r="F25" s="177">
        <f>0.1*E25</f>
        <v>48000</v>
      </c>
      <c r="G25" s="191">
        <v>0</v>
      </c>
      <c r="H25" s="191">
        <f t="shared" si="2"/>
        <v>48000</v>
      </c>
      <c r="I25" s="145" t="s">
        <v>375</v>
      </c>
      <c r="J25">
        <f>_xlfn.LET(_xlpm.is_DI_dot, IF(IFERROR(MATCH(A25,'Engineering Numbers Ref'!A:A, 0),0)&gt;0, 1, 0), _xlpm.is_DI_tm, IF(IFERROR(MATCH(A25,'Engineering Numbers Ref'!B:B, 0),0)&gt;0, 2, 0), _xlpm.is_TR_dot, IF(IFERROR(MATCH(A25,'Engineering Numbers Ref'!C:C, 0),0)&gt;0,3,0), _xlpm.is_TR_tm, IF(IFERROR(MATCH(A25,'Engineering Numbers Ref'!D:D, 0),0)&gt;0,4,0), _xlpm.is_DI_dot+_xlpm.is_DI_tm+_xlpm.is_TR_dot+_xlpm.is_TR_tm)</f>
        <v>0</v>
      </c>
    </row>
    <row r="26" spans="1:10" x14ac:dyDescent="0.25">
      <c r="A26" s="76" t="s">
        <v>376</v>
      </c>
      <c r="B26" s="188" t="str" cm="1">
        <f t="array" ref="B26">_xlfn.LET(_xlpm.DI_name, _xlfn.XLOOKUP(A26, [2]!DOT_Projects[[#All],[Engineering Number]], [2]!DOT_Projects[[#All],[Designer Name]], ""), _xlpm.DI_tm_name, _xlfn.XLOOKUP(A26, [2]!Table7[[#All],[Eng Number]], [2]!Table7[[#All],[Designer Name]], ""), _xlpm.TR_name, _xlfn.XLOOKUP(A26, [1]!CRA_Projects31213[[#All],[Engineering Number]], [1]!CRA_Projects31213[[#All],[KH Project Lead]]), _xlpm.TR_tm_name, _xlfn.XLOOKUP(A26, [1]!CRA_Projects312132[[#All],[Engineering Number]], [1]!CRA_Projects312132[[#All],[KH Project Lead]]), _xlfn.SWITCH($J26, 1, _xlpm.DI_name, 2, _xlpm.DI_tm_name, 3, _xlpm.TR_name, 4, _xlpm.TR_tm_name, "Number not Found"))</f>
        <v>Number not Found</v>
      </c>
      <c r="C26" s="189" t="str" cm="1">
        <f t="array" ref="C26">_xlfn.LET(_xlpm.DI_town, _xlfn.XLOOKUP(A26, [2]!DOT_Projects[[#All],[Engineering Number]], [2]!DOT_Projects[[#All],[Town]], ""), _xlpm.DI_tm_town, _xlfn.XLOOKUP(A26, [2]!Table7[[#All],[Eng Number]], [2]!Table7[[#All],[Town]], ""), _xlpm.TR_town, _xlfn.XLOOKUP(A26, [1]!CRA_Projects31213[[#All],[Engineering Number]], [1]!CRA_Projects31213[[#All],[Town]]), _xlpm.TR_tm_town, _xlfn.XLOOKUP(A26, [1]!CRA_Projects312132[[#All],[Engineering Number]], [1]!CRA_Projects312132[[#All],[Town]]),_xlfn.SWITCH($J26, 1, _xlpm.DI_town, 2, _xlpm.DI_tm_town, 3, _xlpm.TR_town, 4, _xlpm.TR_tm_town, "Number not Found"))</f>
        <v>Number not Found</v>
      </c>
      <c r="D26" s="118">
        <v>45839</v>
      </c>
      <c r="E26" s="76" t="s">
        <v>181</v>
      </c>
      <c r="F26" s="178">
        <v>3750</v>
      </c>
      <c r="G26" s="191">
        <v>0</v>
      </c>
      <c r="H26" s="191">
        <f t="shared" si="2"/>
        <v>3750</v>
      </c>
      <c r="I26" s="174" t="s">
        <v>377</v>
      </c>
      <c r="J26">
        <f>_xlfn.LET(_xlpm.is_DI_dot, IF(IFERROR(MATCH(A26,'Engineering Numbers Ref'!A:A, 0),0)&gt;0, 1, 0), _xlpm.is_DI_tm, IF(IFERROR(MATCH(A26,'Engineering Numbers Ref'!B:B, 0),0)&gt;0, 2, 0), _xlpm.is_TR_dot, IF(IFERROR(MATCH(A26,'Engineering Numbers Ref'!C:C, 0),0)&gt;0,3,0), _xlpm.is_TR_tm, IF(IFERROR(MATCH(A26,'Engineering Numbers Ref'!D:D, 0),0)&gt;0,4,0), _xlpm.is_DI_dot+_xlpm.is_DI_tm+_xlpm.is_TR_dot+_xlpm.is_TR_tm)</f>
        <v>0</v>
      </c>
    </row>
    <row r="27" spans="1:10" ht="15" customHeight="1" x14ac:dyDescent="0.25">
      <c r="A27" s="181" t="s">
        <v>270</v>
      </c>
      <c r="B27" s="188" t="str" cm="1">
        <f t="array" ref="B27">_xlfn.LET(_xlpm.DI_name, _xlfn.XLOOKUP(A27, [2]!DOT_Projects[[#All],[Engineering Number]], [2]!DOT_Projects[[#All],[Designer Name]], ""), _xlpm.DI_tm_name, _xlfn.XLOOKUP(A27, [2]!Table7[[#All],[Eng Number]], [2]!Table7[[#All],[Designer Name]], ""), _xlpm.TR_name, _xlfn.XLOOKUP(A27, [1]!CRA_Projects31213[[#All],[Engineering Number]], [1]!CRA_Projects31213[[#All],[KH Project Lead]]), _xlpm.TR_tm_name, _xlfn.XLOOKUP(A27, [1]!CRA_Projects312132[[#All],[Engineering Number]], [1]!CRA_Projects312132[[#All],[KH Project Lead]]), _xlfn.SWITCH($J27, 1, _xlpm.DI_name, 2, _xlpm.DI_tm_name, 3, _xlpm.TR_name, 4, _xlpm.TR_tm_name, "Number not Found"))</f>
        <v>Number not Found</v>
      </c>
      <c r="C27" s="189" t="str" cm="1">
        <f t="array" ref="C27">_xlfn.LET(_xlpm.DI_town, _xlfn.XLOOKUP(A27, [2]!DOT_Projects[[#All],[Engineering Number]], [2]!DOT_Projects[[#All],[Town]], ""), _xlpm.DI_tm_town, _xlfn.XLOOKUP(A27, [2]!Table7[[#All],[Eng Number]], [2]!Table7[[#All],[Town]], ""), _xlpm.TR_town, _xlfn.XLOOKUP(A27, [1]!CRA_Projects31213[[#All],[Engineering Number]], [1]!CRA_Projects31213[[#All],[Town]]), _xlpm.TR_tm_town, _xlfn.XLOOKUP(A27, [1]!CRA_Projects312132[[#All],[Engineering Number]], [1]!CRA_Projects312132[[#All],[Town]]),_xlfn.SWITCH($J27, 1, _xlpm.DI_town, 2, _xlpm.DI_tm_town, 3, _xlpm.TR_town, 4, _xlpm.TR_tm_town, "Number not Found"))</f>
        <v>Number not Found</v>
      </c>
      <c r="D27" s="118" t="str" cm="1">
        <f t="array" ref="D27">_xlfn.LET(_xlpm.DI_date, _xlfn.XLOOKUP(A27, [2]!DOT_Projects[[#All],[Engineering Number]], [2]!DOT_Projects[[#All],[Engineering Approved Design Date]]), _xlpm.DI_tm_date, _xlfn.XLOOKUP(A27, [2]!Table7[[#All],[Eng Number]], [2]!Table7[[#All],[Target
Release Date]]), _xlpm.TR_date, _xlfn.XLOOKUP(A27, [1]!CRA_Projects31213[[#All],[Engineering Number]], [1]!CRA_Projects31213[[#All],[Engineering Approved Design Date]]), _xlpm.TR_tm_date, _xlfn.XLOOKUP(A27, [1]!CRA_Projects312132[[#All],[Engineering Number]], [1]!CRA_Projects312132[[#All],[Engineering Approved Design Date]]), _xlpm.date_lookup, _xlfn.SWITCH($J27, 1, _xlpm.DI_date, 2, _xlpm.DI_tm_date, 3, _xlpm.TR_date, 4, _xlpm.TR_tm_date, "Number not Found"), IFERROR(IF(DAY(_xlpm.date_lookup)&lt;=15, DATE(YEAR(_xlpm.date_lookup), MONTH(_xlpm.date_lookup), 1), DATE(YEAR(_xlpm.date_lookup), MONTH(_xlpm.date_lookup)+1, 1)), "Number not Found"))</f>
        <v>Number not Found</v>
      </c>
      <c r="E27" s="76" t="s">
        <v>181</v>
      </c>
      <c r="F27" s="178">
        <v>13000</v>
      </c>
      <c r="G27" s="191">
        <v>0</v>
      </c>
      <c r="H27" s="191">
        <f t="shared" si="2"/>
        <v>13000</v>
      </c>
      <c r="I27" s="145" t="s">
        <v>378</v>
      </c>
      <c r="J27">
        <f>_xlfn.LET(_xlpm.is_DI_dot, IF(IFERROR(MATCH(A27,'Engineering Numbers Ref'!A:A, 0),0)&gt;0, 1, 0), _xlpm.is_DI_tm, IF(IFERROR(MATCH(A27,'Engineering Numbers Ref'!B:B, 0),0)&gt;0, 2, 0), _xlpm.is_TR_dot, IF(IFERROR(MATCH(A27,'Engineering Numbers Ref'!C:C, 0),0)&gt;0,3,0), _xlpm.is_TR_tm, IF(IFERROR(MATCH(A27,'Engineering Numbers Ref'!D:D, 0),0)&gt;0,4,0), _xlpm.is_DI_dot+_xlpm.is_DI_tm+_xlpm.is_TR_dot+_xlpm.is_TR_tm)</f>
        <v>0</v>
      </c>
    </row>
    <row r="28" spans="1:10" ht="15" customHeight="1" x14ac:dyDescent="0.25">
      <c r="A28" s="170" t="s">
        <v>86</v>
      </c>
      <c r="B28" s="188" t="str" cm="1">
        <f t="array" ref="B28">_xlfn.LET(_xlpm.DI_name, _xlfn.XLOOKUP(A28, [2]!DOT_Projects[[#All],[Engineering Number]], [2]!DOT_Projects[[#All],[Designer Name]], ""), _xlpm.DI_tm_name, _xlfn.XLOOKUP(A28, [2]!Table7[[#All],[Eng Number]], [2]!Table7[[#All],[Designer Name]], ""), _xlpm.TR_name, _xlfn.XLOOKUP(A28, [1]!CRA_Projects31213[[#All],[Engineering Number]], [1]!CRA_Projects31213[[#All],[Designer Supervisor]]), _xlpm.TR_tm_name, _xlfn.XLOOKUP(A28, [1]!CRA_Projects312132[[#All],[Engineering Number]], [1]!CRA_Projects312132[[#All],[Designer Supervisor]]), _xlfn.SWITCH($J28, 1, _xlpm.DI_name, 2, _xlpm.DI_tm_name, 3, _xlpm.TR_name, 4, _xlpm.TR_tm_name, "Number not Found"))</f>
        <v>Number not Found</v>
      </c>
      <c r="C28" s="189" t="str" cm="1">
        <f t="array" ref="C28">_xlfn.LET(_xlpm.DI_town, _xlfn.XLOOKUP(A28, [2]!DOT_Projects[[#All],[Engineering Number]], [2]!DOT_Projects[[#All],[Town]], ""), _xlpm.DI_tm_town, _xlfn.XLOOKUP(A28, [2]!Table7[[#All],[Eng Number]], [2]!Table7[[#All],[Town]], ""), _xlpm.TR_town, _xlfn.XLOOKUP(A28, [1]!CRA_Projects31213[[#All],[Engineering Number]], [1]!CRA_Projects31213[[#All],[Town]]), _xlpm.TR_tm_town, _xlfn.XLOOKUP(A28, [1]!CRA_Projects312132[[#All],[Engineering Number]], [1]!CRA_Projects312132[[#All],[Town]]),_xlfn.SWITCH($J28, 1, _xlpm.DI_town, 2, _xlpm.DI_tm_town, 3, _xlpm.TR_town, 4, _xlpm.TR_tm_town, "Number not Found"))</f>
        <v>Number not Found</v>
      </c>
      <c r="D28" s="190" t="str" cm="1">
        <f t="array" ref="D28">_xlfn.LET(_xlpm.DI_date, _xlfn.XLOOKUP(A28, [2]!DOT_Projects[[#All],[Engineering Number]], [2]!DOT_Projects[[#All],[Engineering Approved Design Date]]), _xlpm.DI_tm_date, _xlfn.XLOOKUP(A28, [2]!Table7[[#All],[Eng Number]], [2]!Table7[[#All],[Target
Release Date]]), _xlpm.TR_date, _xlfn.XLOOKUP(A28, [1]!CRA_Projects31213[[#All],[Engineering Number]], [1]!CRA_Projects31213[[#All],[Engineering Approved Design Date]]), _xlpm.TR_tm_date, _xlfn.XLOOKUP(A28, [1]!CRA_Projects312132[[#All],[Engineering Number]], [1]!CRA_Projects312132[[#All],[Engineering Approved Design Date]]), _xlpm.date_lookup, _xlfn.SWITCH($J28, 1, _xlpm.DI_date, 2, _xlpm.DI_tm_date, 3, _xlpm.TR_date, 4, _xlpm.TR_tm_date, "Number not Found"), IFERROR(IF(DAY(_xlpm.date_lookup)&lt;=15, DATE(YEAR(_xlpm.date_lookup), MONTH(_xlpm.date_lookup), 1), DATE(YEAR(_xlpm.date_lookup), MONTH(_xlpm.date_lookup)+1, 1)), "Number not Found"))</f>
        <v>Number not Found</v>
      </c>
      <c r="E28" s="76" t="s">
        <v>181</v>
      </c>
      <c r="F28" s="178">
        <v>5500</v>
      </c>
      <c r="G28" s="191">
        <v>0</v>
      </c>
      <c r="H28" s="191">
        <f t="shared" si="2"/>
        <v>5500</v>
      </c>
      <c r="I28" s="145" t="s">
        <v>379</v>
      </c>
      <c r="J28">
        <f>_xlfn.LET(_xlpm.is_DI_dot, IF(IFERROR(MATCH(A28,'Engineering Numbers Ref'!A:A, 0),0)&gt;0, 1, 0), _xlpm.is_DI_tm, IF(IFERROR(MATCH(A28,'Engineering Numbers Ref'!B:B, 0),0)&gt;0, 2, 0), _xlpm.is_TR_dot, IF(IFERROR(MATCH(A28,'Engineering Numbers Ref'!C:C, 0),0)&gt;0,3,0), _xlpm.is_TR_tm, IF(IFERROR(MATCH(A28,'Engineering Numbers Ref'!D:D, 0),0)&gt;0,4,0), _xlpm.is_DI_dot+_xlpm.is_DI_tm+_xlpm.is_TR_dot+_xlpm.is_TR_tm)</f>
        <v>0</v>
      </c>
    </row>
    <row r="29" spans="1:10" ht="15" customHeight="1" x14ac:dyDescent="0.25">
      <c r="A29" s="170" t="s">
        <v>318</v>
      </c>
      <c r="B29" s="188" t="str" cm="1">
        <f t="array" ref="B29">_xlfn.LET(_xlpm.DI_name, _xlfn.XLOOKUP(A29, [2]!DOT_Projects[[#All],[Engineering Number]], [2]!DOT_Projects[[#All],[Designer Name]], ""), _xlpm.DI_tm_name, _xlfn.XLOOKUP(A29, [2]!Table7[[#All],[Eng Number]], [2]!Table7[[#All],[Designer Name]], ""), _xlpm.TR_name, _xlfn.XLOOKUP(A29, [1]!CRA_Projects31213[[#All],[Engineering Number]], [1]!CRA_Projects31213[[#All],[Designer Supervisor]]), _xlpm.TR_tm_name, _xlfn.XLOOKUP(A29, [1]!CRA_Projects312132[[#All],[Engineering Number]], [1]!CRA_Projects312132[[#All],[Designer Supervisor]]), _xlfn.SWITCH($J29, 1, _xlpm.DI_name, 2, _xlpm.DI_tm_name, 3, _xlpm.TR_name, 4, _xlpm.TR_tm_name, "Number not Found"))</f>
        <v>Number not Found</v>
      </c>
      <c r="C29" s="189" t="str" cm="1">
        <f t="array" ref="C29">_xlfn.LET(_xlpm.DI_town, _xlfn.XLOOKUP(A29, [2]!DOT_Projects[[#All],[Engineering Number]], [2]!DOT_Projects[[#All],[Town]], ""), _xlpm.DI_tm_town, _xlfn.XLOOKUP(A29, [2]!Table7[[#All],[Eng Number]], [2]!Table7[[#All],[Town]], ""), _xlpm.TR_town, _xlfn.XLOOKUP(A29, [1]!CRA_Projects31213[[#All],[Engineering Number]], [1]!CRA_Projects31213[[#All],[Town]]), _xlpm.TR_tm_town, _xlfn.XLOOKUP(A29, [1]!CRA_Projects312132[[#All],[Engineering Number]], [1]!CRA_Projects312132[[#All],[Town]]),_xlfn.SWITCH($J29, 1, _xlpm.DI_town, 2, _xlpm.DI_tm_town, 3, _xlpm.TR_town, 4, _xlpm.TR_tm_town, "Number not Found"))</f>
        <v>Number not Found</v>
      </c>
      <c r="D29" s="190" t="str" cm="1">
        <f t="array" ref="D29">_xlfn.LET(_xlpm.DI_date, _xlfn.XLOOKUP(A29, [2]!DOT_Projects[[#All],[Engineering Number]], [2]!DOT_Projects[[#All],[Engineering Approved Design Date]]), _xlpm.DI_tm_date, _xlfn.XLOOKUP(A29, [2]!Table7[[#All],[Eng Number]], [2]!Table7[[#All],[Target
Release Date]]), _xlpm.TR_date, _xlfn.XLOOKUP(A29, [1]!CRA_Projects31213[[#All],[Engineering Number]], [1]!CRA_Projects31213[[#All],[Engineering Approved Design Date]]), _xlpm.TR_tm_date, _xlfn.XLOOKUP(A29, [1]!CRA_Projects312132[[#All],[Engineering Number]], [1]!CRA_Projects312132[[#All],[Engineering Approved Design Date]]), _xlpm.date_lookup, _xlfn.SWITCH($J29, 1, _xlpm.DI_date, 2, _xlpm.DI_tm_date, 3, _xlpm.TR_date, 4, _xlpm.TR_tm_date, "Number not Found"), IFERROR(IF(DAY(_xlpm.date_lookup)&lt;=15, DATE(YEAR(_xlpm.date_lookup), MONTH(_xlpm.date_lookup), 1), DATE(YEAR(_xlpm.date_lookup), MONTH(_xlpm.date_lookup)+1, 1)), "Number not Found"))</f>
        <v>Number not Found</v>
      </c>
      <c r="E29" s="175">
        <v>0</v>
      </c>
      <c r="F29" s="178">
        <f>0.1*E29</f>
        <v>0</v>
      </c>
      <c r="G29" s="191">
        <v>0</v>
      </c>
      <c r="H29" s="191">
        <f t="shared" si="2"/>
        <v>0</v>
      </c>
      <c r="I29" s="145" t="s">
        <v>380</v>
      </c>
      <c r="J29">
        <f>_xlfn.LET(_xlpm.is_DI_dot, IF(IFERROR(MATCH(A29,'Engineering Numbers Ref'!A:A, 0),0)&gt;0, 1, 0), _xlpm.is_DI_tm, IF(IFERROR(MATCH(A29,'Engineering Numbers Ref'!B:B, 0),0)&gt;0, 2, 0), _xlpm.is_TR_dot, IF(IFERROR(MATCH(A29,'Engineering Numbers Ref'!C:C, 0),0)&gt;0,3,0), _xlpm.is_TR_tm, IF(IFERROR(MATCH(A29,'Engineering Numbers Ref'!D:D, 0),0)&gt;0,4,0), _xlpm.is_DI_dot+_xlpm.is_DI_tm+_xlpm.is_TR_dot+_xlpm.is_TR_tm)</f>
        <v>0</v>
      </c>
    </row>
    <row r="30" spans="1:10" ht="15" customHeight="1" x14ac:dyDescent="0.25">
      <c r="A30" s="170" t="s">
        <v>322</v>
      </c>
      <c r="B30" s="188" t="str" cm="1">
        <f t="array" ref="B30">_xlfn.LET(_xlpm.DI_name, _xlfn.XLOOKUP(A30, [2]!DOT_Projects[[#All],[Engineering Number]], [2]!DOT_Projects[[#All],[Designer Name]], ""), _xlpm.DI_tm_name, _xlfn.XLOOKUP(A30, [2]!Table7[[#All],[Eng Number]], [2]!Table7[[#All],[Designer Name]], ""), _xlpm.TR_name, _xlfn.XLOOKUP(A30, [1]!CRA_Projects31213[[#All],[Engineering Number]], [1]!CRA_Projects31213[[#All],[Designer Supervisor]]), _xlpm.TR_tm_name, _xlfn.XLOOKUP(A30, [1]!CRA_Projects312132[[#All],[Engineering Number]], [1]!CRA_Projects312132[[#All],[Designer Supervisor]]), _xlfn.SWITCH($J30, 1, _xlpm.DI_name, 2, _xlpm.DI_tm_name, 3, _xlpm.TR_name, 4, _xlpm.TR_tm_name, "Number not Found"))</f>
        <v>Number not Found</v>
      </c>
      <c r="C30" s="189" t="str" cm="1">
        <f t="array" ref="C30">_xlfn.LET(_xlpm.DI_town, _xlfn.XLOOKUP(A30, [2]!DOT_Projects[[#All],[Engineering Number]], [2]!DOT_Projects[[#All],[Town]], ""), _xlpm.DI_tm_town, _xlfn.XLOOKUP(A30, [2]!Table7[[#All],[Eng Number]], [2]!Table7[[#All],[Town]], ""), _xlpm.TR_town, _xlfn.XLOOKUP(A30, [1]!CRA_Projects31213[[#All],[Engineering Number]], [1]!CRA_Projects31213[[#All],[Town]]), _xlpm.TR_tm_town, _xlfn.XLOOKUP(A30, [1]!CRA_Projects312132[[#All],[Engineering Number]], [1]!CRA_Projects312132[[#All],[Town]]),_xlfn.SWITCH($J30, 1, _xlpm.DI_town, 2, _xlpm.DI_tm_town, 3, _xlpm.TR_town, 4, _xlpm.TR_tm_town, "Number not Found"))</f>
        <v>Number not Found</v>
      </c>
      <c r="D30" s="190" t="str" cm="1">
        <f t="array" ref="D30">_xlfn.LET(_xlpm.DI_date, _xlfn.XLOOKUP(A30, [2]!DOT_Projects[[#All],[Engineering Number]], [2]!DOT_Projects[[#All],[Engineering Approved Design Date]]), _xlpm.DI_tm_date, _xlfn.XLOOKUP(A30, [2]!Table7[[#All],[Eng Number]], [2]!Table7[[#All],[Target
Release Date]]), _xlpm.TR_date, _xlfn.XLOOKUP(A30, [1]!CRA_Projects31213[[#All],[Engineering Number]], [1]!CRA_Projects31213[[#All],[Engineering Approved Design Date]]), _xlpm.TR_tm_date, _xlfn.XLOOKUP(A30, [1]!CRA_Projects312132[[#All],[Engineering Number]], [1]!CRA_Projects312132[[#All],[Engineering Approved Design Date]]), _xlpm.date_lookup, _xlfn.SWITCH($J30, 1, _xlpm.DI_date, 2, _xlpm.DI_tm_date, 3, _xlpm.TR_date, 4, _xlpm.TR_tm_date, "Number not Found"), IFERROR(IF(DAY(_xlpm.date_lookup)&lt;=15, DATE(YEAR(_xlpm.date_lookup), MONTH(_xlpm.date_lookup), 1), DATE(YEAR(_xlpm.date_lookup), MONTH(_xlpm.date_lookup)+1, 1)), "Number not Found"))</f>
        <v>Number not Found</v>
      </c>
      <c r="E30" s="175">
        <v>800000</v>
      </c>
      <c r="F30" s="177">
        <f>0.1*E30</f>
        <v>80000</v>
      </c>
      <c r="G30" s="191">
        <v>0</v>
      </c>
      <c r="H30" s="191">
        <f t="shared" si="2"/>
        <v>80000</v>
      </c>
      <c r="I30" s="171"/>
      <c r="J30">
        <f>_xlfn.LET(_xlpm.is_DI_dot, IF(IFERROR(MATCH(A30,'Engineering Numbers Ref'!A:A, 0),0)&gt;0, 1, 0), _xlpm.is_DI_tm, IF(IFERROR(MATCH(A30,'Engineering Numbers Ref'!B:B, 0),0)&gt;0, 2, 0), _xlpm.is_TR_dot, IF(IFERROR(MATCH(A30,'Engineering Numbers Ref'!C:C, 0),0)&gt;0,3,0), _xlpm.is_TR_tm, IF(IFERROR(MATCH(A30,'Engineering Numbers Ref'!D:D, 0),0)&gt;0,4,0), _xlpm.is_DI_dot+_xlpm.is_DI_tm+_xlpm.is_TR_dot+_xlpm.is_TR_tm)</f>
        <v>0</v>
      </c>
    </row>
    <row r="31" spans="1:10" ht="15" customHeight="1" x14ac:dyDescent="0.25">
      <c r="A31" s="170" t="s">
        <v>381</v>
      </c>
      <c r="B31" s="188" t="str" cm="1">
        <f t="array" ref="B31">_xlfn.LET(_xlpm.DI_name, _xlfn.XLOOKUP(A31, [2]!DOT_Projects[[#All],[Engineering Number]], [2]!DOT_Projects[[#All],[Designer Name]], ""), _xlpm.DI_tm_name, _xlfn.XLOOKUP(A31, [2]!Table7[[#All],[Eng Number]], [2]!Table7[[#All],[Designer Name]], ""), _xlpm.TR_name, _xlfn.XLOOKUP(A31, [1]!CRA_Projects31213[[#All],[Engineering Number]], [1]!CRA_Projects31213[[#All],[Designer Supervisor]]), _xlpm.TR_tm_name, _xlfn.XLOOKUP(A31, [1]!CRA_Projects312132[[#All],[Engineering Number]], [1]!CRA_Projects312132[[#All],[Designer Supervisor]]), _xlfn.SWITCH($J31, 1, _xlpm.DI_name, 2, _xlpm.DI_tm_name, 3, _xlpm.TR_name, 4, _xlpm.TR_tm_name, "Number not Found"))</f>
        <v>Randy Castellon</v>
      </c>
      <c r="C31" s="189" t="str" cm="1">
        <f t="array" ref="C31">_xlfn.LET(_xlpm.DI_town, _xlfn.XLOOKUP(A31, [2]!DOT_Projects[[#All],[Engineering Number]], [2]!DOT_Projects[[#All],[Town]], ""), _xlpm.DI_tm_town, _xlfn.XLOOKUP(A31, [2]!Table7[[#All],[Eng Number]], [2]!Table7[[#All],[Town]], ""), _xlpm.TR_town, _xlfn.XLOOKUP(A31, [1]!CRA_Projects31213[[#All],[Engineering Number]], [1]!CRA_Projects31213[[#All],[Town]]), _xlpm.TR_tm_town, _xlfn.XLOOKUP(A31, [1]!CRA_Projects312132[[#All],[Engineering Number]], [1]!CRA_Projects312132[[#All],[Town]]),_xlfn.SWITCH($J31, 1, _xlpm.DI_town, 2, _xlpm.DI_tm_town, 3, _xlpm.TR_town, 4, _xlpm.TR_tm_town, "Number not Found"))</f>
        <v>HUNTLEY</v>
      </c>
      <c r="D31" s="190" cm="1">
        <f t="array" ref="D31">_xlfn.LET(_xlpm.DI_date, _xlfn.XLOOKUP(A31, [2]!DOT_Projects[[#All],[Engineering Number]], [2]!DOT_Projects[[#All],[Engineering Approved Design Date]]), _xlpm.DI_tm_date, _xlfn.XLOOKUP(A31, [2]!Table7[[#All],[Eng Number]], [2]!Table7[[#All],[Target
Release Date]]), _xlpm.TR_date, _xlfn.XLOOKUP(A31, [1]!CRA_Projects31213[[#All],[Engineering Number]], [1]!CRA_Projects31213[[#All],[Engineering Approved Design Date]]), _xlpm.TR_tm_date, _xlfn.XLOOKUP(A31, [1]!CRA_Projects312132[[#All],[Engineering Number]], [1]!CRA_Projects312132[[#All],[Engineering Approved Design Date]]), _xlpm.date_lookup, _xlfn.SWITCH($J31, 1, _xlpm.DI_date, 2, _xlpm.DI_tm_date, 3, _xlpm.TR_date, 4, _xlpm.TR_tm_date, "Number not Found"), IFERROR(IF(DAY(_xlpm.date_lookup)&lt;=15, DATE(YEAR(_xlpm.date_lookup), MONTH(_xlpm.date_lookup), 1), DATE(YEAR(_xlpm.date_lookup), MONTH(_xlpm.date_lookup)+1, 1)), "Number not Found"))</f>
        <v>45962</v>
      </c>
      <c r="E31" s="175">
        <v>250000</v>
      </c>
      <c r="F31" s="177">
        <f>0.1*E31</f>
        <v>25000</v>
      </c>
      <c r="G31" s="191">
        <v>0</v>
      </c>
      <c r="H31" s="191">
        <f t="shared" si="2"/>
        <v>25000</v>
      </c>
      <c r="I31" s="145"/>
      <c r="J31">
        <f>_xlfn.LET(_xlpm.is_DI_dot, IF(IFERROR(MATCH(A31,'Engineering Numbers Ref'!A:A, 0),0)&gt;0, 1, 0), _xlpm.is_DI_tm, IF(IFERROR(MATCH(A31,'Engineering Numbers Ref'!B:B, 0),0)&gt;0, 2, 0), _xlpm.is_TR_dot, IF(IFERROR(MATCH(A31,'Engineering Numbers Ref'!C:C, 0),0)&gt;0,3,0), _xlpm.is_TR_tm, IF(IFERROR(MATCH(A31,'Engineering Numbers Ref'!D:D, 0),0)&gt;0,4,0), _xlpm.is_DI_dot+_xlpm.is_DI_tm+_xlpm.is_TR_dot+_xlpm.is_TR_tm)</f>
        <v>1</v>
      </c>
    </row>
    <row r="32" spans="1:10" x14ac:dyDescent="0.25">
      <c r="A32" s="170" t="s">
        <v>126</v>
      </c>
      <c r="B32" s="188" t="str" cm="1">
        <f t="array" ref="B32">_xlfn.LET(_xlpm.DI_name, _xlfn.XLOOKUP(A32, [2]!DOT_Projects[[#All],[Engineering Number]], [2]!DOT_Projects[[#All],[Designer Name]], ""), _xlpm.DI_tm_name, _xlfn.XLOOKUP(A32, [2]!Table7[[#All],[Eng Number]], [2]!Table7[[#All],[Designer Name]], ""), _xlpm.TR_name, _xlfn.XLOOKUP(A32, [1]!CRA_Projects31213[[#All],[Engineering Number]], [1]!CRA_Projects31213[[#All],[Designer Supervisor]]), _xlpm.TR_tm_name, _xlfn.XLOOKUP(A32, [1]!CRA_Projects312132[[#All],[Engineering Number]], [1]!CRA_Projects312132[[#All],[Designer Supervisor]]), _xlfn.SWITCH($J32, 1, _xlpm.DI_name, 2, _xlpm.DI_tm_name, 3, _xlpm.TR_name, 4, _xlpm.TR_tm_name, "Number not Found"))</f>
        <v>Randy Castellon</v>
      </c>
      <c r="C32" s="189" t="str" cm="1">
        <f t="array" ref="C32">_xlfn.LET(_xlpm.DI_town, _xlfn.XLOOKUP(A32, [2]!DOT_Projects[[#All],[Engineering Number]], [2]!DOT_Projects[[#All],[Town]], ""), _xlpm.DI_tm_town, _xlfn.XLOOKUP(A32, [2]!Table7[[#All],[Eng Number]], [2]!Table7[[#All],[Town]], ""), _xlpm.TR_town, _xlfn.XLOOKUP(A32, [1]!CRA_Projects31213[[#All],[Engineering Number]], [1]!CRA_Projects31213[[#All],[Town]]), _xlpm.TR_tm_town, _xlfn.XLOOKUP(A32, [1]!CRA_Projects312132[[#All],[Engineering Number]], [1]!CRA_Projects312132[[#All],[Town]]),_xlfn.SWITCH($J32, 1, _xlpm.DI_town, 2, _xlpm.DI_tm_town, 3, _xlpm.TR_town, 4, _xlpm.TR_tm_town, "Number not Found"))</f>
        <v>CRYSTAL LAKE</v>
      </c>
      <c r="D32" s="190" cm="1">
        <f t="array" ref="D32">_xlfn.LET(_xlpm.DI_date, _xlfn.XLOOKUP(A32, [2]!DOT_Projects[[#All],[Engineering Number]], [2]!DOT_Projects[[#All],[Engineering Approved Design Date]]), _xlpm.DI_tm_date, _xlfn.XLOOKUP(A32, [2]!Table7[[#All],[Eng Number]], [2]!Table7[[#All],[Target
Release Date]]), _xlpm.TR_date, _xlfn.XLOOKUP(A32, [1]!CRA_Projects31213[[#All],[Engineering Number]], [1]!CRA_Projects31213[[#All],[Engineering Approved Design Date]]), _xlpm.TR_tm_date, _xlfn.XLOOKUP(A32, [1]!CRA_Projects312132[[#All],[Engineering Number]], [1]!CRA_Projects312132[[#All],[Engineering Approved Design Date]]), _xlpm.date_lookup, _xlfn.SWITCH($J32, 1, _xlpm.DI_date, 2, _xlpm.DI_tm_date, 3, _xlpm.TR_date, 4, _xlpm.TR_tm_date, "Number not Found"), IFERROR(IF(DAY(_xlpm.date_lookup)&lt;=15, DATE(YEAR(_xlpm.date_lookup), MONTH(_xlpm.date_lookup), 1), DATE(YEAR(_xlpm.date_lookup), MONTH(_xlpm.date_lookup)+1, 1)), "Number not Found"))</f>
        <v>45992</v>
      </c>
      <c r="E32" s="76" t="s">
        <v>181</v>
      </c>
      <c r="F32" s="178">
        <v>300000</v>
      </c>
      <c r="G32" s="191">
        <v>146400</v>
      </c>
      <c r="H32" s="191">
        <f t="shared" si="2"/>
        <v>153600</v>
      </c>
      <c r="I32" s="176" t="s">
        <v>382</v>
      </c>
      <c r="J32">
        <f>_xlfn.LET(_xlpm.is_DI_dot, IF(IFERROR(MATCH(A32,'Engineering Numbers Ref'!A:A, 0),0)&gt;0, 1, 0), _xlpm.is_DI_tm, IF(IFERROR(MATCH(A32,'Engineering Numbers Ref'!B:B, 0),0)&gt;0, 2, 0), _xlpm.is_TR_dot, IF(IFERROR(MATCH(A32,'Engineering Numbers Ref'!C:C, 0),0)&gt;0,3,0), _xlpm.is_TR_tm, IF(IFERROR(MATCH(A32,'Engineering Numbers Ref'!D:D, 0),0)&gt;0,4,0), _xlpm.is_DI_dot+_xlpm.is_DI_tm+_xlpm.is_TR_dot+_xlpm.is_TR_tm)</f>
        <v>1</v>
      </c>
    </row>
    <row r="33" spans="1:10" x14ac:dyDescent="0.25">
      <c r="A33" s="43" t="s">
        <v>126</v>
      </c>
      <c r="B33" s="188" t="str" cm="1">
        <f t="array" ref="B33">_xlfn.LET(_xlpm.DI_name, _xlfn.XLOOKUP(A32, [2]!DOT_Projects[[#All],[Engineering Number]], [2]!DOT_Projects[[#All],[Designer Name]], ""), _xlpm.DI_tm_name, _xlfn.XLOOKUP(A32, [2]!Table7[[#All],[Eng Number]], [2]!Table7[[#All],[Designer Name]], ""), _xlpm.TR_name, _xlfn.XLOOKUP(A32, [1]!CRA_Projects31213[[#All],[Engineering Number]], [1]!CRA_Projects31213[[#All],[Designer Supervisor]]), _xlpm.TR_tm_name, _xlfn.XLOOKUP(A32, [1]!CRA_Projects312132[[#All],[Engineering Number]], [1]!CRA_Projects312132[[#All],[Designer Supervisor]]), _xlfn.SWITCH($J32, 1, _xlpm.DI_name, 2, _xlpm.DI_tm_name, 3, _xlpm.TR_name, 4, _xlpm.TR_tm_name, "Number not Found"))</f>
        <v>Randy Castellon</v>
      </c>
      <c r="C33" s="189" t="str" cm="1">
        <f t="array" ref="C33">_xlfn.LET(_xlpm.DI_town, _xlfn.XLOOKUP(A32, [2]!DOT_Projects[[#All],[Engineering Number]], [2]!DOT_Projects[[#All],[Town]], ""), _xlpm.DI_tm_town, _xlfn.XLOOKUP(A32, [2]!Table7[[#All],[Eng Number]], [2]!Table7[[#All],[Town]], ""), _xlpm.TR_town, _xlfn.XLOOKUP(A32, [1]!CRA_Projects31213[[#All],[Engineering Number]], [1]!CRA_Projects31213[[#All],[Town]]), _xlpm.TR_tm_town, _xlfn.XLOOKUP(A32, [1]!CRA_Projects312132[[#All],[Engineering Number]], [1]!CRA_Projects312132[[#All],[Town]]),_xlfn.SWITCH($J32, 1, _xlpm.DI_town, 2, _xlpm.DI_tm_town, 3, _xlpm.TR_town, 4, _xlpm.TR_tm_town, "Number not Found"))</f>
        <v>CRYSTAL LAKE</v>
      </c>
      <c r="D33" s="190" cm="1">
        <f t="array" ref="D33">_xlfn.LET(_xlpm.DI_date, _xlfn.XLOOKUP(A32, [2]!DOT_Projects[[#All],[Engineering Number]], [2]!DOT_Projects[[#All],[Engineering Approved Design Date]]), _xlpm.DI_tm_date, _xlfn.XLOOKUP(A32, [2]!Table7[[#All],[Eng Number]], [2]!Table7[[#All],[Target
Release Date]]), _xlpm.TR_date, _xlfn.XLOOKUP(A32, [1]!CRA_Projects31213[[#All],[Engineering Number]], [1]!CRA_Projects31213[[#All],[Engineering Approved Design Date]]), _xlpm.TR_tm_date, _xlfn.XLOOKUP(A32, [1]!CRA_Projects312132[[#All],[Engineering Number]], [1]!CRA_Projects312132[[#All],[Engineering Approved Design Date]]), _xlpm.date_lookup, _xlfn.SWITCH($J32, 1, _xlpm.DI_date, 2, _xlpm.DI_tm_date, 3, _xlpm.TR_date, 4, _xlpm.TR_tm_date, "Number not Found"), IFERROR(IF(DAY(_xlpm.date_lookup)&lt;=15, DATE(YEAR(_xlpm.date_lookup), MONTH(_xlpm.date_lookup), 1), DATE(YEAR(_xlpm.date_lookup), MONTH(_xlpm.date_lookup)+1, 1)), "Number not Found"))</f>
        <v>45992</v>
      </c>
      <c r="E33" s="76" t="s">
        <v>181</v>
      </c>
      <c r="F33" s="178">
        <v>300000</v>
      </c>
      <c r="G33" s="191"/>
      <c r="H33" s="191">
        <f t="shared" si="2"/>
        <v>300000</v>
      </c>
      <c r="I33" s="176" t="s">
        <v>383</v>
      </c>
    </row>
    <row r="34" spans="1:10" x14ac:dyDescent="0.25">
      <c r="A34" s="43" t="s">
        <v>227</v>
      </c>
      <c r="B34" s="188" t="str" cm="1">
        <f t="array" ref="B34">_xlfn.LET(_xlpm.DI_name, _xlfn.XLOOKUP(A34, [2]!DOT_Projects[[#All],[Engineering Number]], [2]!DOT_Projects[[#All],[Designer Name]], ""), _xlpm.DI_tm_name, _xlfn.XLOOKUP(A34, [2]!Table7[[#All],[Eng Number]], [2]!Table7[[#All],[Designer Name]], ""), _xlpm.TR_name, _xlfn.XLOOKUP(A34, [1]!CRA_Projects31213[[#All],[Engineering Number]], [1]!CRA_Projects31213[[#All],[Designer Supervisor]]), _xlpm.TR_tm_name, _xlfn.XLOOKUP(A34, [1]!CRA_Projects312132[[#All],[Engineering Number]], [1]!CRA_Projects312132[[#All],[Designer Supervisor]]), _xlfn.SWITCH($J34, 1, _xlpm.DI_name, 2, _xlpm.DI_tm_name, 3, _xlpm.TR_name, 4, _xlpm.TR_tm_name, "Number not Found"))</f>
        <v>Randy Castellon</v>
      </c>
      <c r="C34" s="189" t="str" cm="1">
        <f t="array" ref="C34">_xlfn.LET(_xlpm.DI_town, _xlfn.XLOOKUP(A34, [2]!DOT_Projects[[#All],[Engineering Number]], [2]!DOT_Projects[[#All],[Town]], ""), _xlpm.DI_tm_town, _xlfn.XLOOKUP(A34, [2]!Table7[[#All],[Eng Number]], [2]!Table7[[#All],[Town]], ""), _xlpm.TR_town, _xlfn.XLOOKUP(A34, [1]!CRA_Projects31213[[#All],[Engineering Number]], [1]!CRA_Projects31213[[#All],[Town]]), _xlpm.TR_tm_town, _xlfn.XLOOKUP(A34, [1]!CRA_Projects312132[[#All],[Engineering Number]], [1]!CRA_Projects312132[[#All],[Town]]),_xlfn.SWITCH($J34, 1, _xlpm.DI_town, 2, _xlpm.DI_tm_town, 3, _xlpm.TR_town, 4, _xlpm.TR_tm_town, "Number not Found"))</f>
        <v>HUNTLEY</v>
      </c>
      <c r="D34" s="190" cm="1">
        <f t="array" ref="D34">_xlfn.LET(_xlpm.DI_date, _xlfn.XLOOKUP(A34, [2]!DOT_Projects[[#All],[Engineering Number]], [2]!DOT_Projects[[#All],[Engineering Approved Design Date]]), _xlpm.DI_tm_date, _xlfn.XLOOKUP(A34, [2]!Table7[[#All],[Eng Number]], [2]!Table7[[#All],[Target
Release Date]]), _xlpm.TR_date, _xlfn.XLOOKUP(A34, [1]!CRA_Projects31213[[#All],[Engineering Number]], [1]!CRA_Projects31213[[#All],[Engineering Approved Design Date]]), _xlpm.TR_tm_date, _xlfn.XLOOKUP(A34, [1]!CRA_Projects312132[[#All],[Engineering Number]], [1]!CRA_Projects312132[[#All],[Engineering Approved Design Date]]), _xlpm.date_lookup, _xlfn.SWITCH($J34, 1, _xlpm.DI_date, 2, _xlpm.DI_tm_date, 3, _xlpm.TR_date, 4, _xlpm.TR_tm_date, "Number not Found"), IFERROR(IF(DAY(_xlpm.date_lookup)&lt;=15, DATE(YEAR(_xlpm.date_lookup), MONTH(_xlpm.date_lookup), 1), DATE(YEAR(_xlpm.date_lookup), MONTH(_xlpm.date_lookup)+1, 1)), "Number not Found"))</f>
        <v>45962</v>
      </c>
      <c r="E34" s="175">
        <v>530000</v>
      </c>
      <c r="F34" s="177">
        <f>0.1*E34</f>
        <v>53000</v>
      </c>
      <c r="G34" s="191">
        <v>0</v>
      </c>
      <c r="H34" s="191">
        <f t="shared" si="2"/>
        <v>53000</v>
      </c>
      <c r="I34" s="145" t="s">
        <v>384</v>
      </c>
      <c r="J34">
        <f>_xlfn.LET(_xlpm.is_DI_dot, IF(IFERROR(MATCH(A34,'Engineering Numbers Ref'!A:A, 0),0)&gt;0, 1, 0), _xlpm.is_DI_tm, IF(IFERROR(MATCH(A34,'Engineering Numbers Ref'!B:B, 0),0)&gt;0, 2, 0), _xlpm.is_TR_dot, IF(IFERROR(MATCH(A34,'Engineering Numbers Ref'!C:C, 0),0)&gt;0,3,0), _xlpm.is_TR_tm, IF(IFERROR(MATCH(A34,'Engineering Numbers Ref'!D:D, 0),0)&gt;0,4,0), _xlpm.is_DI_dot+_xlpm.is_DI_tm+_xlpm.is_TR_dot+_xlpm.is_TR_tm)</f>
        <v>1</v>
      </c>
    </row>
    <row r="35" spans="1:10" ht="15" customHeight="1" x14ac:dyDescent="0.25">
      <c r="A35" s="181" t="s">
        <v>238</v>
      </c>
      <c r="B35" s="188" t="e" cm="1">
        <f t="array" ref="B35">_xlfn.LET(_xlpm.DI_name, _xlfn.XLOOKUP(A35, [2]!DOT_Projects[[#All],[Engineering Number]], [2]!DOT_Projects[[#All],[Designer Name]], ""), _xlpm.DI_tm_name, _xlfn.XLOOKUP(A35, [2]!Table7[[#All],[Eng Number]], [2]!Table7[[#All],[Designer Name]], ""), _xlpm.TR_name, _xlfn.XLOOKUP(A35, [1]!CRA_Projects31213[[#All],[Engineering Number]], [1]!CRA_Projects31213[[#All],[KH Project Lead]]), _xlpm.TR_tm_name, _xlfn.XLOOKUP(A35, [1]!CRA_Projects312132[[#All],[Engineering Number]], [1]!CRA_Projects312132[[#All],[KH Project Lead]]), _xlfn.SWITCH($J35, 1, _xlpm.DI_name, 2, _xlpm.DI_tm_name, 3, _xlpm.TR_name, 4, _xlpm.TR_tm_name, "Number not Found"))</f>
        <v>#REF!</v>
      </c>
      <c r="C35" s="189" t="e" cm="1">
        <f t="array" ref="C35">_xlfn.LET(_xlpm.DI_town, _xlfn.XLOOKUP(A35, [2]!DOT_Projects[[#All],[Engineering Number]], [2]!DOT_Projects[[#All],[Town]], ""), _xlpm.DI_tm_town, _xlfn.XLOOKUP(A35, [2]!Table7[[#All],[Eng Number]], [2]!Table7[[#All],[Town]], ""), _xlpm.TR_town, _xlfn.XLOOKUP(A35, [1]!CRA_Projects31213[[#All],[Engineering Number]], [1]!CRA_Projects31213[[#All],[Town]]), _xlpm.TR_tm_town, _xlfn.XLOOKUP(A35, [1]!CRA_Projects312132[[#All],[Engineering Number]], [1]!CRA_Projects312132[[#All],[Town]]),_xlfn.SWITCH($J35, 1, _xlpm.DI_town, 2, _xlpm.DI_tm_town, 3, _xlpm.TR_town, 4, _xlpm.TR_tm_town, "Number not Found"))</f>
        <v>#REF!</v>
      </c>
      <c r="D35" s="118" t="str" cm="1">
        <f t="array" ref="D35">_xlfn.LET(_xlpm.DI_date, _xlfn.XLOOKUP(A35, [2]!DOT_Projects[[#All],[Engineering Number]], [2]!DOT_Projects[[#All],[Engineering Approved Design Date]]), _xlpm.DI_tm_date, _xlfn.XLOOKUP(A35, [2]!Table7[[#All],[Eng Number]], [2]!Table7[[#All],[Target
Release Date]]), _xlpm.TR_date, _xlfn.XLOOKUP(A35, [1]!CRA_Projects31213[[#All],[Engineering Number]], [1]!CRA_Projects31213[[#All],[Engineering Approved Design Date]]), _xlpm.TR_tm_date, _xlfn.XLOOKUP(A35, [1]!CRA_Projects312132[[#All],[Engineering Number]], [1]!CRA_Projects312132[[#All],[Engineering Approved Design Date]]), _xlpm.date_lookup, _xlfn.SWITCH($J35, 1, _xlpm.DI_date, 2, _xlpm.DI_tm_date, 3, _xlpm.TR_date, 4, _xlpm.TR_tm_date, "Number not Found"), IFERROR(IF(DAY(_xlpm.date_lookup)&lt;=15, DATE(YEAR(_xlpm.date_lookup), MONTH(_xlpm.date_lookup), 1), DATE(YEAR(_xlpm.date_lookup), MONTH(_xlpm.date_lookup)+1, 1)), "Number not Found"))</f>
        <v>Number not Found</v>
      </c>
      <c r="E35" s="76" t="s">
        <v>181</v>
      </c>
      <c r="F35" s="178">
        <v>9706</v>
      </c>
      <c r="G35" s="191">
        <v>0</v>
      </c>
      <c r="H35" s="191">
        <f t="shared" si="2"/>
        <v>9706</v>
      </c>
      <c r="I35" s="174" t="s">
        <v>364</v>
      </c>
      <c r="J35">
        <f>_xlfn.LET(_xlpm.is_DI_dot, IF(IFERROR(MATCH(A35,'Engineering Numbers Ref'!A:A, 0),0)&gt;0, 1, 0), _xlpm.is_DI_tm, IF(IFERROR(MATCH(A35,'Engineering Numbers Ref'!B:B, 0),0)&gt;0, 2, 0), _xlpm.is_TR_dot, IF(IFERROR(MATCH(A35,'Engineering Numbers Ref'!C:C, 0),0)&gt;0,3,0), _xlpm.is_TR_tm, IF(IFERROR(MATCH(A35,'Engineering Numbers Ref'!D:D, 0),0)&gt;0,4,0), _xlpm.is_DI_dot+_xlpm.is_DI_tm+_xlpm.is_TR_dot+_xlpm.is_TR_tm)</f>
        <v>3</v>
      </c>
    </row>
    <row r="36" spans="1:10" ht="30" customHeight="1" x14ac:dyDescent="0.25">
      <c r="A36" s="207" t="s">
        <v>335</v>
      </c>
      <c r="B36" s="188" t="str" cm="1">
        <f t="array" ref="B36">_xlfn.LET(_xlpm.DI_name, _xlfn.XLOOKUP(A36, [2]!DOT_Projects[[#All],[Engineering Number]], [2]!DOT_Projects[[#All],[Designer Name]], ""), _xlpm.DI_tm_name, _xlfn.XLOOKUP(A36, [2]!Table7[[#All],[Eng Number]], [2]!Table7[[#All],[Designer Name]], ""), _xlpm.TR_name, _xlfn.XLOOKUP(A36, [1]!CRA_Projects31213[[#All],[Engineering Number]], [1]!CRA_Projects31213[[#All],[Designer Supervisor]]), _xlpm.TR_tm_name, _xlfn.XLOOKUP(A36, [1]!CRA_Projects312132[[#All],[Engineering Number]], [1]!CRA_Projects312132[[#All],[Designer Supervisor]]), _xlfn.SWITCH($J36, 1, _xlpm.DI_name, 2, _xlpm.DI_tm_name, 3, _xlpm.TR_name, 4, _xlpm.TR_tm_name, "Number not Found"))</f>
        <v>Taylor Lierow</v>
      </c>
      <c r="C36" s="189" t="str" cm="1">
        <f t="array" ref="C36">_xlfn.LET(_xlpm.DI_town, _xlfn.XLOOKUP(A36, [2]!DOT_Projects[[#All],[Engineering Number]], [2]!DOT_Projects[[#All],[Town]], ""), _xlpm.DI_tm_town, _xlfn.XLOOKUP(A36, [2]!Table7[[#All],[Eng Number]], [2]!Table7[[#All],[Town]], ""), _xlpm.TR_town, _xlfn.XLOOKUP(A36, [1]!CRA_Projects31213[[#All],[Engineering Number]], [1]!CRA_Projects31213[[#All],[Town]]), _xlpm.TR_tm_town, _xlfn.XLOOKUP(A36, [1]!CRA_Projects312132[[#All],[Engineering Number]], [1]!CRA_Projects312132[[#All],[Town]]),_xlfn.SWITCH($J36, 1, _xlpm.DI_town, 2, _xlpm.DI_tm_town, 3, _xlpm.TR_town, 4, _xlpm.TR_tm_town, "Number not Found"))</f>
        <v>WESTMONT</v>
      </c>
      <c r="D36" s="190">
        <v>45962</v>
      </c>
      <c r="E36" s="175">
        <v>800000</v>
      </c>
      <c r="F36" s="177">
        <f>0.1*E36</f>
        <v>80000</v>
      </c>
      <c r="G36" s="191">
        <v>0</v>
      </c>
      <c r="H36" s="191">
        <f t="shared" si="2"/>
        <v>80000</v>
      </c>
      <c r="I36" s="145" t="s">
        <v>385</v>
      </c>
      <c r="J36">
        <f>_xlfn.LET(_xlpm.is_DI_dot, IF(IFERROR(MATCH(A36,'Engineering Numbers Ref'!A:A, 0),0)&gt;0, 1, 0), _xlpm.is_DI_tm, IF(IFERROR(MATCH(A36,'Engineering Numbers Ref'!B:B, 0),0)&gt;0, 2, 0), _xlpm.is_TR_dot, IF(IFERROR(MATCH(A36,'Engineering Numbers Ref'!C:C, 0),0)&gt;0,3,0), _xlpm.is_TR_tm, IF(IFERROR(MATCH(A36,'Engineering Numbers Ref'!D:D, 0),0)&gt;0,4,0), _xlpm.is_DI_dot+_xlpm.is_DI_tm+_xlpm.is_TR_dot+_xlpm.is_TR_tm)</f>
        <v>1</v>
      </c>
    </row>
    <row r="37" spans="1:10" ht="15" customHeight="1" x14ac:dyDescent="0.25">
      <c r="A37" s="173" t="s">
        <v>252</v>
      </c>
      <c r="B37" s="188" t="str" cm="1">
        <f t="array" ref="B37">_xlfn.LET(_xlpm.DI_name, _xlfn.XLOOKUP(A37, [2]!DOT_Projects[[#All],[Engineering Number]], [2]!DOT_Projects[[#All],[Designer Name]], ""), _xlpm.DI_tm_name, _xlfn.XLOOKUP(A37, [2]!Table7[[#All],[Eng Number]], [2]!Table7[[#All],[Designer Name]], ""), _xlpm.TR_name, _xlfn.XLOOKUP(A37, [1]!CRA_Projects31213[[#All],[Engineering Number]], [1]!CRA_Projects31213[[#All],[Designer Supervisor]]), _xlpm.TR_tm_name, _xlfn.XLOOKUP(A37, [1]!CRA_Projects312132[[#All],[Engineering Number]], [1]!CRA_Projects312132[[#All],[Designer Supervisor]]), _xlfn.SWITCH($J37, 1, _xlpm.DI_name, 2, _xlpm.DI_tm_name, 3, _xlpm.TR_name, 4, _xlpm.TR_tm_name, "Number not Found"))</f>
        <v>Taylor Lierow/Ethan Ekstrom</v>
      </c>
      <c r="C37" s="189" t="str" cm="1">
        <f t="array" ref="C37">_xlfn.LET(_xlpm.DI_town, _xlfn.XLOOKUP(A37, [2]!DOT_Projects[[#All],[Engineering Number]], [2]!DOT_Projects[[#All],[Town]], ""), _xlpm.DI_tm_town, _xlfn.XLOOKUP(A37, [2]!Table7[[#All],[Eng Number]], [2]!Table7[[#All],[Town]], ""), _xlpm.TR_town, _xlfn.XLOOKUP(A37, [1]!CRA_Projects31213[[#All],[Engineering Number]], [1]!CRA_Projects31213[[#All],[Town]]), _xlpm.TR_tm_town, _xlfn.XLOOKUP(A37, [1]!CRA_Projects312132[[#All],[Engineering Number]], [1]!CRA_Projects312132[[#All],[Town]]),_xlfn.SWITCH($J37, 1, _xlpm.DI_town, 2, _xlpm.DI_tm_town, 3, _xlpm.TR_town, 4, _xlpm.TR_tm_town, "Number not Found"))</f>
        <v>MT PROSPECT</v>
      </c>
      <c r="D37" s="190" cm="1">
        <f t="array" ref="D37">_xlfn.LET(_xlpm.DI_date, _xlfn.XLOOKUP(A37, [2]!DOT_Projects[[#All],[Engineering Number]], [2]!DOT_Projects[[#All],[Engineering Approved Design Date]]), _xlpm.DI_tm_date, _xlfn.XLOOKUP(A37, [2]!Table7[[#All],[Eng Number]], [2]!Table7[[#All],[Target
Release Date]]), _xlpm.TR_date, _xlfn.XLOOKUP(A37, [1]!CRA_Projects31213[[#All],[Engineering Number]], [1]!CRA_Projects31213[[#All],[Engineering Approved Design Date]]), _xlpm.TR_tm_date, _xlfn.XLOOKUP(A37, [1]!CRA_Projects312132[[#All],[Engineering Number]], [1]!CRA_Projects312132[[#All],[Engineering Approved Design Date]]), _xlpm.date_lookup, _xlfn.SWITCH($J37, 1, _xlpm.DI_date, 2, _xlpm.DI_tm_date, 3, _xlpm.TR_date, 4, _xlpm.TR_tm_date, "Number not Found"), IFERROR(IF(DAY(_xlpm.date_lookup)&lt;=15, DATE(YEAR(_xlpm.date_lookup), MONTH(_xlpm.date_lookup), 1), DATE(YEAR(_xlpm.date_lookup), MONTH(_xlpm.date_lookup)+1, 1)), "Number not Found"))</f>
        <v>45992</v>
      </c>
      <c r="E37" s="172">
        <v>1500000</v>
      </c>
      <c r="F37" s="177">
        <f>0.1*E37</f>
        <v>150000</v>
      </c>
      <c r="G37" s="191">
        <v>0</v>
      </c>
      <c r="H37" s="191">
        <f t="shared" si="2"/>
        <v>150000</v>
      </c>
      <c r="I37" s="145" t="s">
        <v>324</v>
      </c>
      <c r="J37">
        <f>_xlfn.LET(_xlpm.is_DI_dot, IF(IFERROR(MATCH(A37,'Engineering Numbers Ref'!A:A, 0),0)&gt;0, 1, 0), _xlpm.is_DI_tm, IF(IFERROR(MATCH(A37,'Engineering Numbers Ref'!B:B, 0),0)&gt;0, 2, 0), _xlpm.is_TR_dot, IF(IFERROR(MATCH(A37,'Engineering Numbers Ref'!C:C, 0),0)&gt;0,3,0), _xlpm.is_TR_tm, IF(IFERROR(MATCH(A37,'Engineering Numbers Ref'!D:D, 0),0)&gt;0,4,0), _xlpm.is_DI_dot+_xlpm.is_DI_tm+_xlpm.is_TR_dot+_xlpm.is_TR_tm)</f>
        <v>1</v>
      </c>
    </row>
    <row r="38" spans="1:10" x14ac:dyDescent="0.25">
      <c r="A38" s="38" t="s">
        <v>386</v>
      </c>
      <c r="B38" s="188" t="str" cm="1">
        <f t="array" ref="B38">_xlfn.LET(_xlpm.DI_name, _xlfn.XLOOKUP(A38, [2]!DOT_Projects[[#All],[Engineering Number]], [2]!DOT_Projects[[#All],[Designer Name]], ""), _xlpm.DI_tm_name, _xlfn.XLOOKUP(A38, [2]!Table7[[#All],[Eng Number]], [2]!Table7[[#All],[Designer Name]], ""), _xlpm.TR_name, _xlfn.XLOOKUP(A38, [1]!CRA_Projects31213[[#All],[Engineering Number]], [1]!CRA_Projects31213[[#All],[Designer Supervisor]]), _xlpm.TR_tm_name, _xlfn.XLOOKUP(A38, [1]!CRA_Projects312132[[#All],[Engineering Number]], [1]!CRA_Projects312132[[#All],[Designer Supervisor]]), _xlfn.SWITCH($J38, 1, _xlpm.DI_name, 2, _xlpm.DI_tm_name, 3, _xlpm.TR_name, 4, _xlpm.TR_tm_name, "Number not Found"))</f>
        <v>Taylor Lierow/Michael Molloy</v>
      </c>
      <c r="C38" s="189" t="str" cm="1">
        <f t="array" ref="C38">_xlfn.LET(_xlpm.DI_town, _xlfn.XLOOKUP(A38, [2]!DOT_Projects[[#All],[Engineering Number]], [2]!DOT_Projects[[#All],[Town]], ""), _xlpm.DI_tm_town, _xlfn.XLOOKUP(A38, [2]!Table7[[#All],[Eng Number]], [2]!Table7[[#All],[Town]], ""), _xlpm.TR_town, _xlfn.XLOOKUP(A38, [1]!CRA_Projects31213[[#All],[Engineering Number]], [1]!CRA_Projects31213[[#All],[Town]]), _xlpm.TR_tm_town, _xlfn.XLOOKUP(A38, [1]!CRA_Projects312132[[#All],[Engineering Number]], [1]!CRA_Projects312132[[#All],[Town]]),_xlfn.SWITCH($J38, 1, _xlpm.DI_town, 2, _xlpm.DI_tm_town, 3, _xlpm.TR_town, 4, _xlpm.TR_tm_town, "Number not Found"))</f>
        <v>ELGIN</v>
      </c>
      <c r="D38" s="190">
        <v>45992</v>
      </c>
      <c r="E38" s="172">
        <v>750000</v>
      </c>
      <c r="F38" s="177">
        <f>0.1*E38</f>
        <v>75000</v>
      </c>
      <c r="G38" s="191">
        <v>0</v>
      </c>
      <c r="H38" s="191">
        <f t="shared" si="2"/>
        <v>75000</v>
      </c>
      <c r="I38" s="174" t="s">
        <v>387</v>
      </c>
      <c r="J38">
        <f>_xlfn.LET(_xlpm.is_DI_dot, IF(IFERROR(MATCH(A38,'Engineering Numbers Ref'!A:A, 0),0)&gt;0, 1, 0), _xlpm.is_DI_tm, IF(IFERROR(MATCH(A38,'Engineering Numbers Ref'!B:B, 0),0)&gt;0, 2, 0), _xlpm.is_TR_dot, IF(IFERROR(MATCH(A38,'Engineering Numbers Ref'!C:C, 0),0)&gt;0,3,0), _xlpm.is_TR_tm, IF(IFERROR(MATCH(A38,'Engineering Numbers Ref'!D:D, 0),0)&gt;0,4,0), _xlpm.is_DI_dot+_xlpm.is_DI_tm+_xlpm.is_TR_dot+_xlpm.is_TR_tm)</f>
        <v>1</v>
      </c>
    </row>
    <row r="39" spans="1:10" x14ac:dyDescent="0.25">
      <c r="A39"/>
      <c r="G39" s="122"/>
    </row>
    <row r="40" spans="1:10" x14ac:dyDescent="0.25">
      <c r="A40"/>
    </row>
    <row r="41" spans="1:10" x14ac:dyDescent="0.25">
      <c r="F41" s="180"/>
    </row>
    <row r="42" spans="1:10" x14ac:dyDescent="0.25">
      <c r="F42" s="180"/>
    </row>
    <row r="43" spans="1:10" x14ac:dyDescent="0.25">
      <c r="F43" s="180"/>
    </row>
    <row r="44" spans="1:10" x14ac:dyDescent="0.25">
      <c r="F44" s="180"/>
    </row>
    <row r="45" spans="1:10" x14ac:dyDescent="0.25">
      <c r="F45" s="180"/>
    </row>
    <row r="46" spans="1:10" x14ac:dyDescent="0.25">
      <c r="F46" s="180"/>
    </row>
    <row r="47" spans="1:10" x14ac:dyDescent="0.25">
      <c r="F47" s="180"/>
    </row>
    <row r="48" spans="1:10" x14ac:dyDescent="0.25">
      <c r="A48" s="132"/>
      <c r="B48" s="133"/>
      <c r="C48" s="133"/>
      <c r="D48" s="134"/>
    </row>
    <row r="49" spans="1:4" x14ac:dyDescent="0.25">
      <c r="A49" s="135"/>
      <c r="B49" s="34"/>
      <c r="C49" s="34"/>
      <c r="D49" s="34"/>
    </row>
    <row r="50" spans="1:4" x14ac:dyDescent="0.25">
      <c r="A50" s="135"/>
      <c r="B50" s="34"/>
      <c r="C50" s="34"/>
      <c r="D50" s="34"/>
    </row>
    <row r="51" spans="1:4" x14ac:dyDescent="0.25">
      <c r="A51" s="135"/>
      <c r="B51" s="34"/>
      <c r="C51" s="34"/>
      <c r="D51" s="34"/>
    </row>
    <row r="52" spans="1:4" x14ac:dyDescent="0.25">
      <c r="A52" s="135"/>
      <c r="B52" s="34"/>
      <c r="C52" s="34"/>
      <c r="D52" s="34"/>
    </row>
    <row r="53" spans="1:4" x14ac:dyDescent="0.25">
      <c r="A53" s="146"/>
      <c r="B53" s="34"/>
      <c r="C53" s="34"/>
      <c r="D53" s="34"/>
    </row>
    <row r="54" spans="1:4" x14ac:dyDescent="0.25">
      <c r="A54" s="146"/>
      <c r="B54" s="34"/>
      <c r="C54" s="34"/>
      <c r="D54" s="34"/>
    </row>
  </sheetData>
  <autoFilter ref="A1:J47" xr:uid="{87267334-FB0F-4B5C-9926-8B490E0A53C3}">
    <sortState xmlns:xlrd2="http://schemas.microsoft.com/office/spreadsheetml/2017/richdata2" ref="A2:J47">
      <sortCondition ref="B1:B47"/>
    </sortState>
  </autoFilter>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9B392-680A-4D8A-94F9-0300C99DE224}">
  <sheetPr filterMode="1">
    <tabColor theme="0" tint="-0.499984740745262"/>
  </sheetPr>
  <dimension ref="A1:W56"/>
  <sheetViews>
    <sheetView zoomScaleNormal="100" workbookViewId="0">
      <selection activeCell="B1" sqref="B1"/>
    </sheetView>
  </sheetViews>
  <sheetFormatPr defaultRowHeight="15" x14ac:dyDescent="0.25"/>
  <cols>
    <col min="1" max="1" width="18.140625" style="32" customWidth="1"/>
    <col min="2" max="3" width="20" customWidth="1"/>
    <col min="4" max="4" width="21" customWidth="1"/>
    <col min="5" max="5" width="16.28515625" style="179" customWidth="1"/>
    <col min="6" max="6" width="18.28515625" style="179" bestFit="1" customWidth="1"/>
    <col min="7" max="8" width="17.85546875" style="179" customWidth="1"/>
    <col min="9" max="9" width="44.140625" customWidth="1"/>
    <col min="10" max="10" width="24.140625" hidden="1" customWidth="1"/>
    <col min="12" max="12" width="9.5703125" bestFit="1" customWidth="1"/>
    <col min="13" max="13" width="15.140625" bestFit="1" customWidth="1"/>
    <col min="14" max="14" width="19" bestFit="1" customWidth="1"/>
    <col min="16" max="16" width="14.85546875" bestFit="1" customWidth="1"/>
    <col min="17" max="17" width="13.7109375" bestFit="1" customWidth="1"/>
    <col min="18" max="18" width="17.140625" bestFit="1" customWidth="1"/>
    <col min="21" max="22" width="12.140625" bestFit="1" customWidth="1"/>
  </cols>
  <sheetData>
    <row r="1" spans="1:18" ht="30" x14ac:dyDescent="0.25">
      <c r="A1" s="162" t="s">
        <v>0</v>
      </c>
      <c r="B1" s="163" t="s">
        <v>1</v>
      </c>
      <c r="C1" s="163" t="s">
        <v>2</v>
      </c>
      <c r="D1" s="164" t="s">
        <v>54</v>
      </c>
      <c r="E1" s="165" t="s">
        <v>4</v>
      </c>
      <c r="F1" s="163" t="s">
        <v>5</v>
      </c>
      <c r="G1" s="163" t="s">
        <v>186</v>
      </c>
      <c r="H1" s="163" t="s">
        <v>187</v>
      </c>
      <c r="I1" s="166" t="s">
        <v>230</v>
      </c>
      <c r="J1" s="2" t="s">
        <v>356</v>
      </c>
    </row>
    <row r="2" spans="1:18" ht="15" hidden="1" customHeight="1" x14ac:dyDescent="0.25">
      <c r="A2" s="160" t="s">
        <v>44</v>
      </c>
      <c r="B2" s="205" t="s">
        <v>16</v>
      </c>
      <c r="C2" s="206" t="s">
        <v>393</v>
      </c>
      <c r="D2" s="201">
        <v>45870</v>
      </c>
      <c r="E2" s="202" t="s">
        <v>181</v>
      </c>
      <c r="F2" s="231">
        <v>7805</v>
      </c>
      <c r="G2" s="203">
        <v>0</v>
      </c>
      <c r="H2" s="203">
        <f>F2-G2</f>
        <v>7805</v>
      </c>
      <c r="I2" s="204" t="s">
        <v>394</v>
      </c>
      <c r="J2">
        <f>_xlfn.LET(_xlpm.is_DI_dot, IF(IFERROR(MATCH(A2,'Engineering Numbers Ref'!A:A, 0),0)&gt;0, 1, 0), _xlpm.is_DI_tm, IF(IFERROR(MATCH(A2,'Engineering Numbers Ref'!B:B, 0),0)&gt;0, 2, 0), _xlpm.is_TR_dot, IF(IFERROR(MATCH(A2,'Engineering Numbers Ref'!C:C, 0),0)&gt;0,3,0), _xlpm.is_TR_tm, IF(IFERROR(MATCH(A2,'Engineering Numbers Ref'!D:D, 0),0)&gt;0,4,0), _xlpm.is_DI_dot+_xlpm.is_DI_tm+_xlpm.is_TR_dot+_xlpm.is_TR_tm)</f>
        <v>0</v>
      </c>
      <c r="K2" s="9"/>
      <c r="O2" s="5"/>
      <c r="P2" s="6"/>
      <c r="Q2" s="6"/>
      <c r="R2" s="6"/>
    </row>
    <row r="3" spans="1:18" ht="15" hidden="1" customHeight="1" x14ac:dyDescent="0.25">
      <c r="A3" s="160" t="s">
        <v>318</v>
      </c>
      <c r="B3" s="205" t="s">
        <v>151</v>
      </c>
      <c r="C3" s="206" t="s">
        <v>395</v>
      </c>
      <c r="D3" s="201">
        <v>45870</v>
      </c>
      <c r="E3" s="202">
        <v>0</v>
      </c>
      <c r="F3" s="203">
        <f>E3*0.1</f>
        <v>0</v>
      </c>
      <c r="G3" s="203">
        <v>0</v>
      </c>
      <c r="H3" s="203">
        <f>F3-G3</f>
        <v>0</v>
      </c>
      <c r="I3" s="204" t="s">
        <v>396</v>
      </c>
      <c r="J3">
        <f>_xlfn.LET(_xlpm.is_DI_dot, IF(IFERROR(MATCH(A3,'Engineering Numbers Ref'!A:A, 0),0)&gt;0, 1, 0), _xlpm.is_DI_tm, IF(IFERROR(MATCH(A3,'Engineering Numbers Ref'!B:B, 0),0)&gt;0, 2, 0), _xlpm.is_TR_dot, IF(IFERROR(MATCH(A3,'Engineering Numbers Ref'!C:C, 0),0)&gt;0,3,0), _xlpm.is_TR_tm, IF(IFERROR(MATCH(A3,'Engineering Numbers Ref'!D:D, 0),0)&gt;0,4,0), _xlpm.is_DI_dot+_xlpm.is_DI_tm+_xlpm.is_TR_dot+_xlpm.is_TR_tm)</f>
        <v>0</v>
      </c>
      <c r="K3" s="38"/>
      <c r="O3" s="5"/>
      <c r="P3" s="6"/>
      <c r="Q3" s="6"/>
      <c r="R3" s="6"/>
    </row>
    <row r="4" spans="1:18" ht="15" hidden="1" customHeight="1" x14ac:dyDescent="0.25">
      <c r="A4" s="160" t="s">
        <v>155</v>
      </c>
      <c r="B4" s="210" t="s">
        <v>156</v>
      </c>
      <c r="C4" s="211" t="s">
        <v>397</v>
      </c>
      <c r="D4" s="212">
        <v>45870</v>
      </c>
      <c r="E4" s="213" t="s">
        <v>181</v>
      </c>
      <c r="F4" s="214">
        <v>1720</v>
      </c>
      <c r="G4" s="214">
        <v>0</v>
      </c>
      <c r="H4" s="214">
        <f>F4-G4</f>
        <v>1720</v>
      </c>
      <c r="I4" s="215" t="s">
        <v>394</v>
      </c>
      <c r="J4">
        <f>_xlfn.LET(_xlpm.is_DI_dot, IF(IFERROR(MATCH(A4,'Engineering Numbers Ref'!A:A, 0),0)&gt;0, 1, 0), _xlpm.is_DI_tm, IF(IFERROR(MATCH(A4,'Engineering Numbers Ref'!B:B, 0),0)&gt;0, 2, 0), _xlpm.is_TR_dot, IF(IFERROR(MATCH(A4,'Engineering Numbers Ref'!C:C, 0),0)&gt;0,3,0), _xlpm.is_TR_tm, IF(IFERROR(MATCH(A4,'Engineering Numbers Ref'!D:D, 0),0)&gt;0,4,0), _xlpm.is_DI_dot+_xlpm.is_DI_tm+_xlpm.is_TR_dot+_xlpm.is_TR_tm)</f>
        <v>0</v>
      </c>
      <c r="K4" s="9"/>
      <c r="O4" s="5"/>
      <c r="P4" s="6"/>
      <c r="Q4" s="6"/>
      <c r="R4" s="6"/>
    </row>
    <row r="5" spans="1:18" ht="30" hidden="1" x14ac:dyDescent="0.25">
      <c r="A5" s="158" t="s">
        <v>100</v>
      </c>
      <c r="B5" s="76" t="s">
        <v>16</v>
      </c>
      <c r="C5" s="78" t="s">
        <v>398</v>
      </c>
      <c r="D5" s="198">
        <v>45870</v>
      </c>
      <c r="E5" s="230" t="s">
        <v>181</v>
      </c>
      <c r="F5" s="194">
        <v>650000</v>
      </c>
      <c r="G5" s="194">
        <v>484740</v>
      </c>
      <c r="H5" s="233">
        <v>375000</v>
      </c>
      <c r="I5" s="98" t="s">
        <v>373</v>
      </c>
      <c r="K5" s="9"/>
      <c r="O5" s="5"/>
      <c r="P5" s="6"/>
      <c r="Q5" s="6"/>
      <c r="R5" s="6"/>
    </row>
    <row r="6" spans="1:18" ht="15" hidden="1" customHeight="1" x14ac:dyDescent="0.25">
      <c r="A6" s="160" t="s">
        <v>272</v>
      </c>
      <c r="B6" s="76" t="str" cm="1">
        <f t="array" ref="B6">_xlfn.LET(_xlpm.DI_name, _xlfn.XLOOKUP(A6, [2]!DOT_Projects[[#All],[Engineering Number]], [2]!DOT_Projects[[#All],[Designer Name]], ""), _xlpm.DI_tm_name, _xlfn.XLOOKUP(A6, [2]!Table7[[#All],[Eng Number]], [2]!Table7[[#All],[Designer Name]], ""), _xlpm.TR_name, _xlfn.XLOOKUP(A6, [1]!CRA_Projects31213[[#All],[Engineering Number]], [1]!CRA_Projects31213[[#All],[KH Project Lead]]), _xlpm.TR_tm_name, _xlfn.XLOOKUP(A6, [1]!CRA_Projects312132[[#All],[Engineering Number]], [1]!CRA_Projects312132[[#All],[Designer Supervisor]]), _xlfn.SWITCH($J6, 1, _xlpm.DI_name, 2, _xlpm.DI_tm_name, 3, _xlpm.TR_name, 4, _xlpm.TR_tm_name, "Number not Found"))</f>
        <v>Taylor Lierow</v>
      </c>
      <c r="C6" s="78" t="str" cm="1">
        <f t="array" ref="C6">_xlfn.LET(_xlpm.DI_town, _xlfn.XLOOKUP(A6, [2]!DOT_Projects[[#All],[Engineering Number]], [2]!DOT_Projects[[#All],[Town]], ""), _xlpm.DI_tm_town, _xlfn.XLOOKUP(A6, [2]!Table7[[#All],[Eng Number]], [2]!Table7[[#All],[Town]], ""), _xlpm.TR_town, _xlfn.XLOOKUP(A6, [1]!CRA_Projects31213[[#All],[Engineering Number]], [1]!CRA_Projects31213[[#All],[Town]]), _xlpm.TR_tm_town, _xlfn.XLOOKUP(A6, [1]!CRA_Projects312132[[#All],[Engineering Number]], [1]!CRA_Projects312132[[#All],[Town]]),_xlfn.SWITCH($J6, 1, _xlpm.DI_town, 2, _xlpm.DI_tm_town, 3, _xlpm.TR_town, 4, _xlpm.TR_tm_town, "Number not Found"))</f>
        <v>MACHESNEY PARK</v>
      </c>
      <c r="D6" s="195" cm="1">
        <f t="array" ref="D6">_xlfn.LET(_xlpm.DI_date, _xlfn.XLOOKUP(A6, [2]!DOT_Projects[[#All],[Engineering Number]], [2]!DOT_Projects[[#All],[Engineering Approved Design Date]]), _xlpm.DI_tm_date, _xlfn.XLOOKUP(A6, [2]!Table7[[#All],[Eng Number]], [2]!Table7[[#All],[Target
Release Date]]), _xlpm.TR_date, _xlfn.XLOOKUP(A6, [1]!CRA_Projects31213[[#All],[Engineering Number]], [1]!CRA_Projects31213[[#All],[Engineering Approved Design Date]]), _xlpm.TR_tm_date, _xlfn.XLOOKUP(A6, [1]!CRA_Projects312132[[#All],[Engineering Number]], [1]!CRA_Projects312132[[#All],[Engineering Approved Design Date]]), _xlpm.date_lookup, _xlfn.SWITCH($J6, 1, _xlpm.DI_date, 2, _xlpm.DI_tm_date, 3, _xlpm.TR_date, 4, _xlpm.TR_tm_date, "Number not Found"), IFERROR(IF(DAY(_xlpm.date_lookup)&lt;=15, DATE(YEAR(_xlpm.date_lookup), MONTH(_xlpm.date_lookup), 1), DATE(YEAR(_xlpm.date_lookup), MONTH(_xlpm.date_lookup)+1, 1)), "Number not Found"))</f>
        <v>45931</v>
      </c>
      <c r="E6" s="175">
        <v>400000</v>
      </c>
      <c r="F6" s="194">
        <f>E6*0.1</f>
        <v>40000</v>
      </c>
      <c r="G6" s="194">
        <v>0</v>
      </c>
      <c r="H6" s="194">
        <f t="shared" ref="H6:H33" si="0">F6-G6</f>
        <v>40000</v>
      </c>
      <c r="I6" s="98" t="s">
        <v>399</v>
      </c>
      <c r="J6">
        <f>_xlfn.LET(_xlpm.is_DI_dot, IF(IFERROR(MATCH(A6,'Engineering Numbers Ref'!A:A, 0),0)&gt;0, 1, 0), _xlpm.is_DI_tm, IF(IFERROR(MATCH(A6,'Engineering Numbers Ref'!B:B, 0),0)&gt;0, 2, 0), _xlpm.is_TR_dot, IF(IFERROR(MATCH(A6,'Engineering Numbers Ref'!C:C, 0),0)&gt;0,3,0), _xlpm.is_TR_tm, IF(IFERROR(MATCH(A6,'Engineering Numbers Ref'!D:D, 0),0)&gt;0,4,0), _xlpm.is_DI_dot+_xlpm.is_DI_tm+_xlpm.is_TR_dot+_xlpm.is_TR_tm)</f>
        <v>1</v>
      </c>
      <c r="K6" s="9"/>
      <c r="O6" s="5"/>
      <c r="P6" s="6"/>
      <c r="Q6" s="6"/>
      <c r="R6" s="6"/>
    </row>
    <row r="7" spans="1:18" ht="15" hidden="1" customHeight="1" x14ac:dyDescent="0.25">
      <c r="A7" s="160" t="s">
        <v>75</v>
      </c>
      <c r="B7" s="76" t="str" cm="1">
        <f t="array" ref="B7">_xlfn.LET(_xlpm.DI_name, _xlfn.XLOOKUP(A7, [2]!DOT_Projects[[#All],[Engineering Number]], [2]!DOT_Projects[[#All],[Designer Name]], ""), _xlpm.DI_tm_name, _xlfn.XLOOKUP(A7, [2]!Table7[[#All],[Eng Number]], [2]!Table7[[#All],[Designer Name]], ""), _xlpm.TR_name, _xlfn.XLOOKUP(A7, [1]!CRA_Projects31213[[#All],[Engineering Number]], [1]!CRA_Projects31213[[#All],[KH Project Lead]]), _xlpm.TR_tm_name, _xlfn.XLOOKUP(A7, [1]!CRA_Projects312132[[#All],[Engineering Number]], [1]!CRA_Projects312132[[#All],[Designer Supervisor]]), _xlfn.SWITCH($J7, 1, _xlpm.DI_name, 2, _xlpm.DI_tm_name, 3, _xlpm.TR_name, 4, _xlpm.TR_tm_name, "Number not Found"))</f>
        <v>Camille Corbi
(Matt Hopkins)</v>
      </c>
      <c r="C7" s="78" t="str" cm="1">
        <f t="array" ref="C7">_xlfn.LET(_xlpm.DI_town, _xlfn.XLOOKUP(A7, [2]!DOT_Projects[[#All],[Engineering Number]], [2]!DOT_Projects[[#All],[Town]], ""), _xlpm.DI_tm_town, _xlfn.XLOOKUP(A7, [2]!Table7[[#All],[Eng Number]], [2]!Table7[[#All],[Town]], ""), _xlpm.TR_town, _xlfn.XLOOKUP(A7, [1]!CRA_Projects31213[[#All],[Engineering Number]], [1]!CRA_Projects31213[[#All],[Town]]), _xlpm.TR_tm_town, _xlfn.XLOOKUP(A7, [1]!CRA_Projects312132[[#All],[Engineering Number]], [1]!CRA_Projects312132[[#All],[Town]]),_xlfn.SWITCH($J7, 1, _xlpm.DI_town, 2, _xlpm.DI_tm_town, 3, _xlpm.TR_town, 4, _xlpm.TR_tm_town, "Number not Found"))</f>
        <v>NORMAL</v>
      </c>
      <c r="D7" s="198">
        <v>45901</v>
      </c>
      <c r="E7" s="175" t="s">
        <v>181</v>
      </c>
      <c r="F7" s="230">
        <v>61980</v>
      </c>
      <c r="G7" s="194">
        <v>0</v>
      </c>
      <c r="H7" s="194">
        <f t="shared" si="0"/>
        <v>61980</v>
      </c>
      <c r="I7" s="98"/>
      <c r="J7">
        <f>_xlfn.LET(_xlpm.is_DI_dot, IF(IFERROR(MATCH(A7,'Engineering Numbers Ref'!A:A, 0),0)&gt;0, 1, 0), _xlpm.is_DI_tm, IF(IFERROR(MATCH(A7,'Engineering Numbers Ref'!B:B, 0),0)&gt;0, 2, 0), _xlpm.is_TR_dot, IF(IFERROR(MATCH(A7,'Engineering Numbers Ref'!C:C, 0),0)&gt;0,3,0), _xlpm.is_TR_tm, IF(IFERROR(MATCH(A7,'Engineering Numbers Ref'!D:D, 0),0)&gt;0,4,0), _xlpm.is_DI_dot+_xlpm.is_DI_tm+_xlpm.is_TR_dot+_xlpm.is_TR_tm)</f>
        <v>2</v>
      </c>
      <c r="L7" s="33"/>
      <c r="M7" s="72"/>
      <c r="N7" s="4"/>
      <c r="O7" s="5"/>
      <c r="P7" s="6"/>
      <c r="Q7" s="6"/>
      <c r="R7" s="6"/>
    </row>
    <row r="8" spans="1:18" ht="15" hidden="1" customHeight="1" x14ac:dyDescent="0.25">
      <c r="A8" s="160" t="s">
        <v>333</v>
      </c>
      <c r="B8" s="76" t="str" cm="1">
        <f t="array" ref="B8">_xlfn.LET(_xlpm.DI_name, _xlfn.XLOOKUP(A8, [2]!DOT_Projects[[#All],[Engineering Number]], [2]!DOT_Projects[[#All],[Designer Name]], ""), _xlpm.DI_tm_name, _xlfn.XLOOKUP(A8, [2]!Table7[[#All],[Eng Number]], [2]!Table7[[#All],[Designer Name]], ""), _xlpm.TR_name, _xlfn.XLOOKUP(A8, [1]!CRA_Projects31213[[#All],[Engineering Number]], [1]!CRA_Projects31213[[#All],[KH Project Lead]]), _xlpm.TR_tm_name, _xlfn.XLOOKUP(A8, [1]!CRA_Projects312132[[#All],[Engineering Number]], [1]!CRA_Projects312132[[#All],[Designer Supervisor]]), _xlfn.SWITCH($J8, 1, _xlpm.DI_name, 2, _xlpm.DI_tm_name, 3, _xlpm.TR_name, 4, _xlpm.TR_tm_name, "Number not Found"))</f>
        <v>Caroline Kulach</v>
      </c>
      <c r="C8" s="78" t="str" cm="1">
        <f t="array" ref="C8">_xlfn.LET(_xlpm.DI_town, _xlfn.XLOOKUP(A8, [2]!DOT_Projects[[#All],[Engineering Number]], [2]!DOT_Projects[[#All],[Town]], ""), _xlpm.DI_tm_town, _xlfn.XLOOKUP(A8, [2]!Table7[[#All],[Eng Number]], [2]!Table7[[#All],[Town]], ""), _xlpm.TR_town, _xlfn.XLOOKUP(A8, [1]!CRA_Projects31213[[#All],[Engineering Number]], [1]!CRA_Projects31213[[#All],[Town]]), _xlpm.TR_tm_town, _xlfn.XLOOKUP(A8, [1]!CRA_Projects312132[[#All],[Engineering Number]], [1]!CRA_Projects312132[[#All],[Town]]),_xlfn.SWITCH($J8, 1, _xlpm.DI_town, 2, _xlpm.DI_tm_town, 3, _xlpm.TR_town, 4, _xlpm.TR_tm_town, "Number not Found"))</f>
        <v>FORD HEIGHTS</v>
      </c>
      <c r="D8" s="193" cm="1">
        <f t="array" ref="D8">_xlfn.LET(_xlpm.DI_date, _xlfn.XLOOKUP(A8, [2]!DOT_Projects[[#All],[Engineering Number]], [2]!DOT_Projects[[#All],[Engineering Approved Design Date]]), _xlpm.DI_tm_date, _xlfn.XLOOKUP(A8, [2]!Table7[[#All],[Eng Number]], [2]!Table7[[#All],[Target
Release Date]]), _xlpm.TR_date, _xlfn.XLOOKUP(A8, [1]!CRA_Projects31213[[#All],[Engineering Number]], [1]!CRA_Projects31213[[#All],[Engineering Approved Design Date]]), _xlpm.TR_tm_date, _xlfn.XLOOKUP(A8, [1]!CRA_Projects312132[[#All],[Engineering Number]], [1]!CRA_Projects312132[[#All],[Engineering Approved Design Date]]), _xlpm.date_lookup, _xlfn.SWITCH($J8, 1, _xlpm.DI_date, 2, _xlpm.DI_tm_date, 3, _xlpm.TR_date, 4, _xlpm.TR_tm_date, "Number not Found"), IFERROR(IF(DAY(_xlpm.date_lookup)&lt;=15, DATE(YEAR(_xlpm.date_lookup), MONTH(_xlpm.date_lookup), 1), DATE(YEAR(_xlpm.date_lookup), MONTH(_xlpm.date_lookup)+1, 1)), "Number not Found"))</f>
        <v>45962</v>
      </c>
      <c r="E8" s="175">
        <v>300000</v>
      </c>
      <c r="F8" s="232">
        <f t="shared" ref="F8:F14" si="1">E8*0.1</f>
        <v>30000</v>
      </c>
      <c r="G8" s="194">
        <v>0</v>
      </c>
      <c r="H8" s="194">
        <f t="shared" si="0"/>
        <v>30000</v>
      </c>
      <c r="I8" s="98"/>
      <c r="J8">
        <f>_xlfn.LET(_xlpm.is_DI_dot, IF(IFERROR(MATCH(A8,'Engineering Numbers Ref'!A:A, 0),0)&gt;0, 1, 0), _xlpm.is_DI_tm, IF(IFERROR(MATCH(A8,'Engineering Numbers Ref'!B:B, 0),0)&gt;0, 2, 0), _xlpm.is_TR_dot, IF(IFERROR(MATCH(A8,'Engineering Numbers Ref'!C:C, 0),0)&gt;0,3,0), _xlpm.is_TR_tm, IF(IFERROR(MATCH(A8,'Engineering Numbers Ref'!D:D, 0),0)&gt;0,4,0), _xlpm.is_DI_dot+_xlpm.is_DI_tm+_xlpm.is_TR_dot+_xlpm.is_TR_tm)</f>
        <v>1</v>
      </c>
      <c r="L8" s="33"/>
      <c r="M8" s="72"/>
      <c r="N8" s="4"/>
      <c r="O8" s="5"/>
      <c r="P8" s="6"/>
      <c r="Q8" s="6"/>
      <c r="R8" s="6"/>
    </row>
    <row r="9" spans="1:18" ht="15" hidden="1" customHeight="1" x14ac:dyDescent="0.25">
      <c r="A9" s="160" t="s">
        <v>258</v>
      </c>
      <c r="B9" s="76" t="str" cm="1">
        <f t="array" ref="B9">_xlfn.LET(_xlpm.DI_name, _xlfn.XLOOKUP(A9, [2]!DOT_Projects[[#All],[Engineering Number]], [2]!DOT_Projects[[#All],[Designer Name]], ""), _xlpm.DI_tm_name, _xlfn.XLOOKUP(A9, [2]!Table7[[#All],[Eng Number]], [2]!Table7[[#All],[Designer Name]], ""), _xlpm.TR_name, _xlfn.XLOOKUP(A9, [1]!CRA_Projects31213[[#All],[Engineering Number]], [1]!CRA_Projects31213[[#All],[KH Project Lead]]), _xlpm.TR_tm_name, _xlfn.XLOOKUP(A9, [1]!CRA_Projects312132[[#All],[Engineering Number]], [1]!CRA_Projects312132[[#All],[Designer Supervisor]]), _xlfn.SWITCH($J9, 1, _xlpm.DI_name, 2, _xlpm.DI_tm_name, 3, _xlpm.TR_name, 4, _xlpm.TR_tm_name, "Number not Found"))</f>
        <v>Conner Chamernik</v>
      </c>
      <c r="C9" s="78" t="str" cm="1">
        <f t="array" ref="C9">_xlfn.LET(_xlpm.DI_town, _xlfn.XLOOKUP(A9, [2]!DOT_Projects[[#All],[Engineering Number]], [2]!DOT_Projects[[#All],[Town]], ""), _xlpm.DI_tm_town, _xlfn.XLOOKUP(A9, [2]!Table7[[#All],[Eng Number]], [2]!Table7[[#All],[Town]], ""), _xlpm.TR_town, _xlfn.XLOOKUP(A9, [1]!CRA_Projects31213[[#All],[Engineering Number]], [1]!CRA_Projects31213[[#All],[Town]]), _xlpm.TR_tm_town, _xlfn.XLOOKUP(A9, [1]!CRA_Projects312132[[#All],[Engineering Number]], [1]!CRA_Projects312132[[#All],[Town]]),_xlfn.SWITCH($J9, 1, _xlpm.DI_town, 2, _xlpm.DI_tm_town, 3, _xlpm.TR_town, 4, _xlpm.TR_tm_town, "Number not Found"))</f>
        <v>HOFFMAN ESTATES</v>
      </c>
      <c r="D9" s="193" cm="1">
        <f t="array" ref="D9">_xlfn.LET(_xlpm.DI_date, _xlfn.XLOOKUP(A9, [2]!DOT_Projects[[#All],[Engineering Number]], [2]!DOT_Projects[[#All],[Engineering Approved Design Date]]), _xlpm.DI_tm_date, _xlfn.XLOOKUP(A9, [2]!Table7[[#All],[Eng Number]], [2]!Table7[[#All],[Target
Release Date]]), _xlpm.TR_date, _xlfn.XLOOKUP(A9, [1]!CRA_Projects31213[[#All],[Engineering Number]], [1]!CRA_Projects31213[[#All],[Engineering Approved Design Date]]), _xlpm.TR_tm_date, _xlfn.XLOOKUP(A9, [1]!CRA_Projects312132[[#All],[Engineering Number]], [1]!CRA_Projects312132[[#All],[Engineering Approved Design Date]]), _xlpm.date_lookup, _xlfn.SWITCH($J9, 1, _xlpm.DI_date, 2, _xlpm.DI_tm_date, 3, _xlpm.TR_date, 4, _xlpm.TR_tm_date, "Number not Found"), IFERROR(IF(DAY(_xlpm.date_lookup)&lt;=15, DATE(YEAR(_xlpm.date_lookup), MONTH(_xlpm.date_lookup), 1), DATE(YEAR(_xlpm.date_lookup), MONTH(_xlpm.date_lookup)+1, 1)), "Number not Found"))</f>
        <v>45931</v>
      </c>
      <c r="E9" s="175">
        <v>175000</v>
      </c>
      <c r="F9" s="232">
        <f t="shared" si="1"/>
        <v>17500</v>
      </c>
      <c r="G9" s="194">
        <v>0</v>
      </c>
      <c r="H9" s="194">
        <f t="shared" si="0"/>
        <v>17500</v>
      </c>
      <c r="I9" s="98"/>
      <c r="J9">
        <f>_xlfn.LET(_xlpm.is_DI_dot, IF(IFERROR(MATCH(A9,'Engineering Numbers Ref'!A:A, 0),0)&gt;0, 1, 0), _xlpm.is_DI_tm, IF(IFERROR(MATCH(A9,'Engineering Numbers Ref'!B:B, 0),0)&gt;0, 2, 0), _xlpm.is_TR_dot, IF(IFERROR(MATCH(A9,'Engineering Numbers Ref'!C:C, 0),0)&gt;0,3,0), _xlpm.is_TR_tm, IF(IFERROR(MATCH(A9,'Engineering Numbers Ref'!D:D, 0),0)&gt;0,4,0), _xlpm.is_DI_dot+_xlpm.is_DI_tm+_xlpm.is_TR_dot+_xlpm.is_TR_tm)</f>
        <v>1</v>
      </c>
      <c r="L9" s="33"/>
      <c r="M9" s="72"/>
      <c r="N9" s="4"/>
      <c r="O9" s="5"/>
      <c r="P9" s="6"/>
      <c r="Q9" s="6"/>
      <c r="R9" s="6"/>
    </row>
    <row r="10" spans="1:18" ht="15" hidden="1" customHeight="1" x14ac:dyDescent="0.25">
      <c r="A10" s="157" t="s">
        <v>227</v>
      </c>
      <c r="B10" s="76" t="str" cm="1">
        <f t="array" ref="B10">_xlfn.LET(_xlpm.DI_name, _xlfn.XLOOKUP(A10, [2]!DOT_Projects[[#All],[Engineering Number]], [2]!DOT_Projects[[#All],[Designer Name]], ""), _xlpm.DI_tm_name, _xlfn.XLOOKUP(A10, [2]!Table7[[#All],[Eng Number]], [2]!Table7[[#All],[Designer Name]], ""), _xlpm.TR_name, _xlfn.XLOOKUP(A10, [1]!CRA_Projects31213[[#All],[Engineering Number]], [1]!CRA_Projects31213[[#All],[KH Project Lead]]), _xlpm.TR_tm_name, _xlfn.XLOOKUP(A10, [1]!CRA_Projects312132[[#All],[Engineering Number]], [1]!CRA_Projects312132[[#All],[Designer Supervisor]]), _xlfn.SWITCH($J10, 1, _xlpm.DI_name, 2, _xlpm.DI_tm_name, 3, _xlpm.TR_name, 4, _xlpm.TR_tm_name, "Number not Found"))</f>
        <v>Randy Castellon</v>
      </c>
      <c r="C10" s="78" t="str" cm="1">
        <f t="array" ref="C10">_xlfn.LET(_xlpm.DI_town, _xlfn.XLOOKUP(A10, [2]!DOT_Projects[[#All],[Engineering Number]], [2]!DOT_Projects[[#All],[Town]], ""), _xlpm.DI_tm_town, _xlfn.XLOOKUP(A10, [2]!Table7[[#All],[Eng Number]], [2]!Table7[[#All],[Town]], ""), _xlpm.TR_town, _xlfn.XLOOKUP(A10, [1]!CRA_Projects31213[[#All],[Engineering Number]], [1]!CRA_Projects31213[[#All],[Town]]), _xlpm.TR_tm_town, _xlfn.XLOOKUP(A10, [1]!CRA_Projects312132[[#All],[Engineering Number]], [1]!CRA_Projects312132[[#All],[Town]]),_xlfn.SWITCH($J10, 1, _xlpm.DI_town, 2, _xlpm.DI_tm_town, 3, _xlpm.TR_town, 4, _xlpm.TR_tm_town, "Number not Found"))</f>
        <v>HUNTLEY</v>
      </c>
      <c r="D10" s="193" cm="1">
        <f t="array" ref="D10">_xlfn.LET(_xlpm.DI_date, _xlfn.XLOOKUP(A10, [2]!DOT_Projects[[#All],[Engineering Number]], [2]!DOT_Projects[[#All],[Engineering Approved Design Date]]), _xlpm.DI_tm_date, _xlfn.XLOOKUP(A10, [2]!Table7[[#All],[Eng Number]], [2]!Table7[[#All],[Target
Release Date]]), _xlpm.TR_date, _xlfn.XLOOKUP(A10, [1]!CRA_Projects31213[[#All],[Engineering Number]], [1]!CRA_Projects31213[[#All],[Engineering Approved Design Date]]), _xlpm.TR_tm_date, _xlfn.XLOOKUP(A10, [1]!CRA_Projects312132[[#All],[Engineering Number]], [1]!CRA_Projects312132[[#All],[Engineering Approved Design Date]]), _xlpm.date_lookup, _xlfn.SWITCH($J10, 1, _xlpm.DI_date, 2, _xlpm.DI_tm_date, 3, _xlpm.TR_date, 4, _xlpm.TR_tm_date, "Number not Found"), IFERROR(IF(DAY(_xlpm.date_lookup)&lt;=15, DATE(YEAR(_xlpm.date_lookup), MONTH(_xlpm.date_lookup), 1), DATE(YEAR(_xlpm.date_lookup), MONTH(_xlpm.date_lookup)+1, 1)), "Number not Found"))</f>
        <v>45962</v>
      </c>
      <c r="E10" s="175">
        <v>380000</v>
      </c>
      <c r="F10" s="194">
        <f t="shared" si="1"/>
        <v>38000</v>
      </c>
      <c r="G10" s="194">
        <v>0</v>
      </c>
      <c r="H10" s="194">
        <f t="shared" si="0"/>
        <v>38000</v>
      </c>
      <c r="I10" s="98" t="s">
        <v>400</v>
      </c>
      <c r="J10">
        <f>_xlfn.LET(_xlpm.is_DI_dot, IF(IFERROR(MATCH(A10,'Engineering Numbers Ref'!A:A, 0),0)&gt;0, 1, 0), _xlpm.is_DI_tm, IF(IFERROR(MATCH(A10,'Engineering Numbers Ref'!B:B, 0),0)&gt;0, 2, 0), _xlpm.is_TR_dot, IF(IFERROR(MATCH(A10,'Engineering Numbers Ref'!C:C, 0),0)&gt;0,3,0), _xlpm.is_TR_tm, IF(IFERROR(MATCH(A10,'Engineering Numbers Ref'!D:D, 0),0)&gt;0,4,0), _xlpm.is_DI_dot+_xlpm.is_DI_tm+_xlpm.is_TR_dot+_xlpm.is_TR_tm)</f>
        <v>1</v>
      </c>
    </row>
    <row r="11" spans="1:18" ht="15" hidden="1" customHeight="1" x14ac:dyDescent="0.25">
      <c r="A11" s="160" t="s">
        <v>168</v>
      </c>
      <c r="B11" s="76" t="str" cm="1">
        <f t="array" ref="B11">_xlfn.LET(_xlpm.DI_name, _xlfn.XLOOKUP(A11, [2]!DOT_Projects[[#All],[Engineering Number]], [2]!DOT_Projects[[#All],[Designer Name]], ""), _xlpm.DI_tm_name, _xlfn.XLOOKUP(A11, [2]!Table7[[#All],[Eng Number]], [2]!Table7[[#All],[Designer Name]], ""), _xlpm.TR_name, _xlfn.XLOOKUP(A11, [1]!CRA_Projects31213[[#All],[Engineering Number]], [1]!CRA_Projects31213[[#All],[KH Project Lead]]), _xlpm.TR_tm_name, _xlfn.XLOOKUP(A11, [1]!CRA_Projects312132[[#All],[Engineering Number]], [1]!CRA_Projects312132[[#All],[Designer Supervisor]]), _xlfn.SWITCH($J11, 1, _xlpm.DI_name, 2, _xlpm.DI_tm_name, 3, _xlpm.TR_name, 4, _xlpm.TR_tm_name, "Number not Found"))</f>
        <v>Marissa LaPorte</v>
      </c>
      <c r="C11" s="78" t="str" cm="1">
        <f t="array" ref="C11">_xlfn.LET(_xlpm.DI_town, _xlfn.XLOOKUP(A11, [2]!DOT_Projects[[#All],[Engineering Number]], [2]!DOT_Projects[[#All],[Town]], ""), _xlpm.DI_tm_town, _xlfn.XLOOKUP(A11, [2]!Table7[[#All],[Eng Number]], [2]!Table7[[#All],[Town]], ""), _xlpm.TR_town, _xlfn.XLOOKUP(A11, [1]!CRA_Projects31213[[#All],[Engineering Number]], [1]!CRA_Projects31213[[#All],[Town]]), _xlpm.TR_tm_town, _xlfn.XLOOKUP(A11, [1]!CRA_Projects312132[[#All],[Engineering Number]], [1]!CRA_Projects312132[[#All],[Town]]),_xlfn.SWITCH($J11, 1, _xlpm.DI_town, 2, _xlpm.DI_tm_town, 3, _xlpm.TR_town, 4, _xlpm.TR_tm_town, "Number not Found"))</f>
        <v>WHEATLAND TWP</v>
      </c>
      <c r="D11" s="193" cm="1">
        <f t="array" ref="D11">_xlfn.LET(_xlpm.DI_date, _xlfn.XLOOKUP(A11, [2]!DOT_Projects[[#All],[Engineering Number]], [2]!DOT_Projects[[#All],[Engineering Approved Design Date]]), _xlpm.DI_tm_date, _xlfn.XLOOKUP(A11, [2]!Table7[[#All],[Eng Number]], [2]!Table7[[#All],[Target
Release Date]]), _xlpm.TR_date, _xlfn.XLOOKUP(A11, [1]!CRA_Projects31213[[#All],[Engineering Number]], [1]!CRA_Projects31213[[#All],[Engineering Approved Design Date]]), _xlpm.TR_tm_date, _xlfn.XLOOKUP(A11, [1]!CRA_Projects312132[[#All],[Engineering Number]], [1]!CRA_Projects312132[[#All],[Engineering Approved Design Date]]), _xlpm.date_lookup, _xlfn.SWITCH($J11, 1, _xlpm.DI_date, 2, _xlpm.DI_tm_date, 3, _xlpm.TR_date, 4, _xlpm.TR_tm_date, "Number not Found"), IFERROR(IF(DAY(_xlpm.date_lookup)&lt;=15, DATE(YEAR(_xlpm.date_lookup), MONTH(_xlpm.date_lookup), 1), DATE(YEAR(_xlpm.date_lookup), MONTH(_xlpm.date_lookup)+1, 1)), "Number not Found"))</f>
        <v>45962</v>
      </c>
      <c r="E11" s="175">
        <v>0</v>
      </c>
      <c r="F11" s="194">
        <f t="shared" si="1"/>
        <v>0</v>
      </c>
      <c r="G11" s="194">
        <v>0</v>
      </c>
      <c r="H11" s="194">
        <f t="shared" si="0"/>
        <v>0</v>
      </c>
      <c r="I11" s="98"/>
      <c r="J11">
        <f>_xlfn.LET(_xlpm.is_DI_dot, IF(IFERROR(MATCH(A11,'Engineering Numbers Ref'!A:A, 0),0)&gt;0, 1, 0), _xlpm.is_DI_tm, IF(IFERROR(MATCH(A11,'Engineering Numbers Ref'!B:B, 0),0)&gt;0, 2, 0), _xlpm.is_TR_dot, IF(IFERROR(MATCH(A11,'Engineering Numbers Ref'!C:C, 0),0)&gt;0,3,0), _xlpm.is_TR_tm, IF(IFERROR(MATCH(A11,'Engineering Numbers Ref'!D:D, 0),0)&gt;0,4,0), _xlpm.is_DI_dot+_xlpm.is_DI_tm+_xlpm.is_TR_dot+_xlpm.is_TR_tm)</f>
        <v>1</v>
      </c>
    </row>
    <row r="12" spans="1:18" ht="15" hidden="1" customHeight="1" x14ac:dyDescent="0.25">
      <c r="A12" s="160" t="s">
        <v>401</v>
      </c>
      <c r="B12" s="76" t="str" cm="1">
        <f t="array" ref="B12">_xlfn.LET(_xlpm.DI_name, _xlfn.XLOOKUP(A12, [2]!DOT_Projects[[#All],[Engineering Number]], [2]!DOT_Projects[[#All],[Designer Name]], ""), _xlpm.DI_tm_name, _xlfn.XLOOKUP(A12, [2]!Table7[[#All],[Eng Number]], [2]!Table7[[#All],[Designer Name]], ""), _xlpm.TR_name, _xlfn.XLOOKUP(A12, [1]!CRA_Projects31213[[#All],[Engineering Number]], [1]!CRA_Projects31213[[#All],[KH Project Lead]]), _xlpm.TR_tm_name, _xlfn.XLOOKUP(A12, [1]!CRA_Projects312132[[#All],[Engineering Number]], [1]!CRA_Projects312132[[#All],[Designer Supervisor]]), _xlfn.SWITCH($J12, 1, _xlpm.DI_name, 2, _xlpm.DI_tm_name, 3, _xlpm.TR_name, 4, _xlpm.TR_tm_name, "Number not Found"))</f>
        <v>Camille Corbi
(Matt Hopkins)</v>
      </c>
      <c r="C12" s="78" t="str" cm="1">
        <f t="array" ref="C12">_xlfn.LET(_xlpm.DI_town, _xlfn.XLOOKUP(A12, [2]!DOT_Projects[[#All],[Engineering Number]], [2]!DOT_Projects[[#All],[Town]], ""), _xlpm.DI_tm_town, _xlfn.XLOOKUP(A12, [2]!Table7[[#All],[Eng Number]], [2]!Table7[[#All],[Town]], ""), _xlpm.TR_town, _xlfn.XLOOKUP(A12, [1]!CRA_Projects31213[[#All],[Engineering Number]], [1]!CRA_Projects31213[[#All],[Town]]), _xlpm.TR_tm_town, _xlfn.XLOOKUP(A12, [1]!CRA_Projects312132[[#All],[Engineering Number]], [1]!CRA_Projects312132[[#All],[Town]]),_xlfn.SWITCH($J12, 1, _xlpm.DI_town, 2, _xlpm.DI_tm_town, 3, _xlpm.TR_town, 4, _xlpm.TR_tm_town, "Number not Found"))</f>
        <v>ARLINGTON HEIGHTS</v>
      </c>
      <c r="D12" s="118">
        <v>45962</v>
      </c>
      <c r="E12" s="175">
        <v>350000</v>
      </c>
      <c r="F12" s="194">
        <f t="shared" si="1"/>
        <v>35000</v>
      </c>
      <c r="G12" s="194">
        <v>0</v>
      </c>
      <c r="H12" s="194">
        <f t="shared" si="0"/>
        <v>35000</v>
      </c>
      <c r="I12" s="98" t="s">
        <v>402</v>
      </c>
      <c r="J12">
        <f>_xlfn.LET(_xlpm.is_DI_dot, IF(IFERROR(MATCH(A12,'Engineering Numbers Ref'!A:A, 0),0)&gt;0, 1, 0), _xlpm.is_DI_tm, IF(IFERROR(MATCH(A12,'Engineering Numbers Ref'!B:B, 0),0)&gt;0, 2, 0), _xlpm.is_TR_dot, IF(IFERROR(MATCH(A12,'Engineering Numbers Ref'!C:C, 0),0)&gt;0,3,0), _xlpm.is_TR_tm, IF(IFERROR(MATCH(A12,'Engineering Numbers Ref'!D:D, 0),0)&gt;0,4,0), _xlpm.is_DI_dot+_xlpm.is_DI_tm+_xlpm.is_TR_dot+_xlpm.is_TR_tm)</f>
        <v>1</v>
      </c>
    </row>
    <row r="13" spans="1:18" ht="15" customHeight="1" x14ac:dyDescent="0.25">
      <c r="A13" s="157" t="s">
        <v>308</v>
      </c>
      <c r="B13" s="76" t="str" cm="1">
        <f t="array" ref="B13">_xlfn.LET(_xlpm.DI_name, _xlfn.XLOOKUP(A13, [2]!DOT_Projects[[#All],[Engineering Number]], [2]!DOT_Projects[[#All],[Designer Name]], ""), _xlpm.DI_tm_name, _xlfn.XLOOKUP(A13, [2]!Table7[[#All],[Eng Number]], [2]!Table7[[#All],[Designer Name]], ""), _xlpm.TR_name, _xlfn.XLOOKUP(A13, [1]!CRA_Projects31213[[#All],[Engineering Number]], [1]!CRA_Projects31213[[#All],[KH Project Lead]]), _xlpm.TR_tm_name, _xlfn.XLOOKUP(A13, [1]!CRA_Projects312132[[#All],[Engineering Number]], [1]!CRA_Projects312132[[#All],[Designer Supervisor]]), _xlfn.SWITCH($J13, 1, _xlpm.DI_name, 2, _xlpm.DI_tm_name, 3, _xlpm.TR_name, 4, _xlpm.TR_tm_name, "Number not Found"))</f>
        <v>Matt Hopkins</v>
      </c>
      <c r="C13" s="78" t="str" cm="1">
        <f t="array" ref="C13">_xlfn.LET(_xlpm.DI_town, _xlfn.XLOOKUP(A13, [2]!DOT_Projects[[#All],[Engineering Number]], [2]!DOT_Projects[[#All],[Town]], ""), _xlpm.DI_tm_town, _xlfn.XLOOKUP(A13, [2]!Table7[[#All],[Eng Number]], [2]!Table7[[#All],[Town]], ""), _xlpm.TR_town, _xlfn.XLOOKUP(A13, [1]!CRA_Projects31213[[#All],[Engineering Number]], [1]!CRA_Projects31213[[#All],[Town]]), _xlpm.TR_tm_town, _xlfn.XLOOKUP(A13, [1]!CRA_Projects312132[[#All],[Engineering Number]], [1]!CRA_Projects312132[[#All],[Town]]),_xlfn.SWITCH($J13, 1, _xlpm.DI_town, 2, _xlpm.DI_tm_town, 3, _xlpm.TR_town, 4, _xlpm.TR_tm_town, "Number not Found"))</f>
        <v>BERWYN</v>
      </c>
      <c r="D13" s="195" cm="1">
        <f t="array" ref="D13">_xlfn.LET(_xlpm.DI_date, _xlfn.XLOOKUP(A13, [2]!DOT_Projects[[#All],[Engineering Number]], [2]!DOT_Projects[[#All],[Engineering Approved Design Date]]), _xlpm.DI_tm_date, _xlfn.XLOOKUP(A13, [2]!Table7[[#All],[Eng Number]], [2]!Table7[[#All],[Target
Release Date]]), _xlpm.TR_date, _xlfn.XLOOKUP(A13, [1]!CRA_Projects31213[[#All],[Engineering Number]], [1]!CRA_Projects31213[[#All],[Engineering Approved Design Date]]), _xlpm.TR_tm_date, _xlfn.XLOOKUP(A13, [1]!CRA_Projects312132[[#All],[Engineering Number]], [1]!CRA_Projects312132[[#All],[Engineering Approved Design Date]]), _xlpm.date_lookup, _xlfn.SWITCH($J13, 1, _xlpm.DI_date, 2, _xlpm.DI_tm_date, 3, _xlpm.TR_date, 4, _xlpm.TR_tm_date, "Number not Found"), IFERROR(IF(DAY(_xlpm.date_lookup)&lt;=15, DATE(YEAR(_xlpm.date_lookup), MONTH(_xlpm.date_lookup), 1), DATE(YEAR(_xlpm.date_lookup), MONTH(_xlpm.date_lookup)+1, 1)), "Number not Found"))</f>
        <v>45962</v>
      </c>
      <c r="E13" s="187">
        <v>450000</v>
      </c>
      <c r="F13" s="194">
        <f t="shared" si="1"/>
        <v>45000</v>
      </c>
      <c r="G13" s="194">
        <v>0</v>
      </c>
      <c r="H13" s="194">
        <f t="shared" si="0"/>
        <v>45000</v>
      </c>
      <c r="I13" s="98"/>
      <c r="J13">
        <f>_xlfn.LET(_xlpm.is_DI_dot, IF(IFERROR(MATCH(A13,'Engineering Numbers Ref'!A:A, 0),0)&gt;0, 1, 0), _xlpm.is_DI_tm, IF(IFERROR(MATCH(A13,'Engineering Numbers Ref'!B:B, 0),0)&gt;0, 2, 0), _xlpm.is_TR_dot, IF(IFERROR(MATCH(A13,'Engineering Numbers Ref'!C:C, 0),0)&gt;0,3,0), _xlpm.is_TR_tm, IF(IFERROR(MATCH(A13,'Engineering Numbers Ref'!D:D, 0),0)&gt;0,4,0), _xlpm.is_DI_dot+_xlpm.is_DI_tm+_xlpm.is_TR_dot+_xlpm.is_TR_tm)</f>
        <v>1</v>
      </c>
    </row>
    <row r="14" spans="1:18" ht="15" hidden="1" customHeight="1" x14ac:dyDescent="0.25">
      <c r="A14" s="160" t="s">
        <v>330</v>
      </c>
      <c r="B14" s="76" t="str" cm="1">
        <f t="array" ref="B14">_xlfn.LET(_xlpm.DI_name, _xlfn.XLOOKUP(A14, [2]!DOT_Projects[[#All],[Engineering Number]], [2]!DOT_Projects[[#All],[Designer Name]], ""), _xlpm.DI_tm_name, _xlfn.XLOOKUP(A14, [2]!Table7[[#All],[Eng Number]], [2]!Table7[[#All],[Designer Name]], ""), _xlpm.TR_name, _xlfn.XLOOKUP(A14, [1]!CRA_Projects31213[[#All],[Engineering Number]], [1]!CRA_Projects31213[[#All],[KH Project Lead]]), _xlpm.TR_tm_name, _xlfn.XLOOKUP(A14, [1]!CRA_Projects312132[[#All],[Engineering Number]], [1]!CRA_Projects312132[[#All],[Designer Supervisor]]), _xlfn.SWITCH($J14, 1, _xlpm.DI_name, 2, _xlpm.DI_tm_name, 3, _xlpm.TR_name, 4, _xlpm.TR_tm_name, "Number not Found"))</f>
        <v>Ethan Ekstrom</v>
      </c>
      <c r="C14" s="78" t="str" cm="1">
        <f t="array" ref="C14">_xlfn.LET(_xlpm.DI_town, _xlfn.XLOOKUP(A14, [2]!DOT_Projects[[#All],[Engineering Number]], [2]!DOT_Projects[[#All],[Town]], ""), _xlpm.DI_tm_town, _xlfn.XLOOKUP(A14, [2]!Table7[[#All],[Eng Number]], [2]!Table7[[#All],[Town]], ""), _xlpm.TR_town, _xlfn.XLOOKUP(A14, [1]!CRA_Projects31213[[#All],[Engineering Number]], [1]!CRA_Projects31213[[#All],[Town]]), _xlpm.TR_tm_town, _xlfn.XLOOKUP(A14, [1]!CRA_Projects312132[[#All],[Engineering Number]], [1]!CRA_Projects312132[[#All],[Town]]),_xlfn.SWITCH($J14, 1, _xlpm.DI_town, 2, _xlpm.DI_tm_town, 3, _xlpm.TR_town, 4, _xlpm.TR_tm_town, "Number not Found"))</f>
        <v>BLOOMINGTON</v>
      </c>
      <c r="D14" s="195" cm="1">
        <f t="array" ref="D14">_xlfn.LET(_xlpm.DI_date, _xlfn.XLOOKUP(A14, [2]!DOT_Projects[[#All],[Engineering Number]], [2]!DOT_Projects[[#All],[Engineering Approved Design Date]]), _xlpm.DI_tm_date, _xlfn.XLOOKUP(A14, [2]!Table7[[#All],[Eng Number]], [2]!Table7[[#All],[Target
Release Date]]), _xlpm.TR_date, _xlfn.XLOOKUP(A14, [1]!CRA_Projects31213[[#All],[Engineering Number]], [1]!CRA_Projects31213[[#All],[Engineering Approved Design Date]]), _xlpm.TR_tm_date, _xlfn.XLOOKUP(A14, [1]!CRA_Projects312132[[#All],[Engineering Number]], [1]!CRA_Projects312132[[#All],[Engineering Approved Design Date]]), _xlpm.date_lookup, _xlfn.SWITCH($J14, 1, _xlpm.DI_date, 2, _xlpm.DI_tm_date, 3, _xlpm.TR_date, 4, _xlpm.TR_tm_date, "Number not Found"), IFERROR(IF(DAY(_xlpm.date_lookup)&lt;=15, DATE(YEAR(_xlpm.date_lookup), MONTH(_xlpm.date_lookup), 1), DATE(YEAR(_xlpm.date_lookup), MONTH(_xlpm.date_lookup)+1, 1)), "Number not Found"))</f>
        <v>45962</v>
      </c>
      <c r="E14" s="175">
        <v>800000</v>
      </c>
      <c r="F14" s="194">
        <f t="shared" si="1"/>
        <v>80000</v>
      </c>
      <c r="G14" s="194">
        <v>0</v>
      </c>
      <c r="H14" s="194">
        <f t="shared" si="0"/>
        <v>80000</v>
      </c>
      <c r="I14" s="98"/>
      <c r="J14">
        <f>_xlfn.LET(_xlpm.is_DI_dot, IF(IFERROR(MATCH(A14,'Engineering Numbers Ref'!A:A, 0),0)&gt;0, 1, 0), _xlpm.is_DI_tm, IF(IFERROR(MATCH(A14,'Engineering Numbers Ref'!B:B, 0),0)&gt;0, 2, 0), _xlpm.is_TR_dot, IF(IFERROR(MATCH(A14,'Engineering Numbers Ref'!C:C, 0),0)&gt;0,3,0), _xlpm.is_TR_tm, IF(IFERROR(MATCH(A14,'Engineering Numbers Ref'!D:D, 0),0)&gt;0,4,0), _xlpm.is_DI_dot+_xlpm.is_DI_tm+_xlpm.is_TR_dot+_xlpm.is_TR_tm)</f>
        <v>1</v>
      </c>
    </row>
    <row r="15" spans="1:18" ht="15" hidden="1" customHeight="1" x14ac:dyDescent="0.25">
      <c r="A15" s="159" t="s">
        <v>126</v>
      </c>
      <c r="B15" s="76" t="str" cm="1">
        <f t="array" ref="B15">_xlfn.LET(_xlpm.DI_name, _xlfn.XLOOKUP(A15, [2]!DOT_Projects[[#All],[Engineering Number]], [2]!DOT_Projects[[#All],[Designer Name]], ""), _xlpm.DI_tm_name, _xlfn.XLOOKUP(A15, [2]!Table7[[#All],[Eng Number]], [2]!Table7[[#All],[Designer Name]], ""), _xlpm.TR_name, _xlfn.XLOOKUP(A15, [1]!CRA_Projects31213[[#All],[Engineering Number]], [1]!CRA_Projects31213[[#All],[KH Project Lead]]), _xlpm.TR_tm_name, _xlfn.XLOOKUP(A15, [1]!CRA_Projects312132[[#All],[Engineering Number]], [1]!CRA_Projects312132[[#All],[Designer Supervisor]]), _xlfn.SWITCH($J15, 1, _xlpm.DI_name, 2, _xlpm.DI_tm_name, 3, _xlpm.TR_name, 4, _xlpm.TR_tm_name, "Number not Found"))</f>
        <v>Randy Castellon</v>
      </c>
      <c r="C15" s="78" t="str" cm="1">
        <f t="array" ref="C15">_xlfn.LET(_xlpm.DI_town, _xlfn.XLOOKUP(A15, [2]!DOT_Projects[[#All],[Engineering Number]], [2]!DOT_Projects[[#All],[Town]], ""), _xlpm.DI_tm_town, _xlfn.XLOOKUP(A15, [2]!Table7[[#All],[Eng Number]], [2]!Table7[[#All],[Town]], ""), _xlpm.TR_town, _xlfn.XLOOKUP(A15, [1]!CRA_Projects31213[[#All],[Engineering Number]], [1]!CRA_Projects31213[[#All],[Town]]), _xlpm.TR_tm_town, _xlfn.XLOOKUP(A15, [1]!CRA_Projects312132[[#All],[Engineering Number]], [1]!CRA_Projects312132[[#All],[Town]]),_xlfn.SWITCH($J15, 1, _xlpm.DI_town, 2, _xlpm.DI_tm_town, 3, _xlpm.TR_town, 4, _xlpm.TR_tm_town, "Number not Found"))</f>
        <v>CRYSTAL LAKE</v>
      </c>
      <c r="D15" s="118">
        <v>45962</v>
      </c>
      <c r="E15" s="175" t="s">
        <v>181</v>
      </c>
      <c r="F15" s="196">
        <v>325000</v>
      </c>
      <c r="G15" s="191">
        <v>146400</v>
      </c>
      <c r="H15" s="194">
        <f t="shared" si="0"/>
        <v>178600</v>
      </c>
      <c r="I15" s="98" t="s">
        <v>403</v>
      </c>
      <c r="J15">
        <f>_xlfn.LET(_xlpm.is_DI_dot, IF(IFERROR(MATCH(A15,'Engineering Numbers Ref'!A:A, 0),0)&gt;0, 1, 0), _xlpm.is_DI_tm, IF(IFERROR(MATCH(A15,'Engineering Numbers Ref'!B:B, 0),0)&gt;0, 2, 0), _xlpm.is_TR_dot, IF(IFERROR(MATCH(A15,'Engineering Numbers Ref'!C:C, 0),0)&gt;0,3,0), _xlpm.is_TR_tm, IF(IFERROR(MATCH(A15,'Engineering Numbers Ref'!D:D, 0),0)&gt;0,4,0), _xlpm.is_DI_dot+_xlpm.is_DI_tm+_xlpm.is_TR_dot+_xlpm.is_TR_tm)</f>
        <v>1</v>
      </c>
    </row>
    <row r="16" spans="1:18" ht="15" hidden="1" customHeight="1" x14ac:dyDescent="0.25">
      <c r="A16" s="160" t="s">
        <v>126</v>
      </c>
      <c r="B16" s="76" t="str" cm="1">
        <f t="array" ref="B16">_xlfn.LET(_xlpm.DI_name, _xlfn.XLOOKUP(A16, [2]!DOT_Projects[[#All],[Engineering Number]], [2]!DOT_Projects[[#All],[Designer Name]], ""), _xlpm.DI_tm_name, _xlfn.XLOOKUP(A16, [2]!Table7[[#All],[Eng Number]], [2]!Table7[[#All],[Designer Name]], ""), _xlpm.TR_name, _xlfn.XLOOKUP(A16, [1]!CRA_Projects31213[[#All],[Engineering Number]], [1]!CRA_Projects31213[[#All],[KH Project Lead]]), _xlpm.TR_tm_name, _xlfn.XLOOKUP(A16, [1]!CRA_Projects312132[[#All],[Engineering Number]], [1]!CRA_Projects312132[[#All],[Designer Supervisor]]), _xlfn.SWITCH($J16, 1, _xlpm.DI_name, 2, _xlpm.DI_tm_name, 3, _xlpm.TR_name, 4, _xlpm.TR_tm_name, "Number not Found"))</f>
        <v>Randy Castellon</v>
      </c>
      <c r="C16" s="78" t="str" cm="1">
        <f t="array" ref="C16">_xlfn.LET(_xlpm.DI_town, _xlfn.XLOOKUP(A16, [2]!DOT_Projects[[#All],[Engineering Number]], [2]!DOT_Projects[[#All],[Town]], ""), _xlpm.DI_tm_town, _xlfn.XLOOKUP(A16, [2]!Table7[[#All],[Eng Number]], [2]!Table7[[#All],[Town]], ""), _xlpm.TR_town, _xlfn.XLOOKUP(A16, [1]!CRA_Projects31213[[#All],[Engineering Number]], [1]!CRA_Projects31213[[#All],[Town]]), _xlpm.TR_tm_town, _xlfn.XLOOKUP(A16, [1]!CRA_Projects312132[[#All],[Engineering Number]], [1]!CRA_Projects312132[[#All],[Town]]),_xlfn.SWITCH($J16, 1, _xlpm.DI_town, 2, _xlpm.DI_tm_town, 3, _xlpm.TR_town, 4, _xlpm.TR_tm_town, "Number not Found"))</f>
        <v>CRYSTAL LAKE</v>
      </c>
      <c r="D16" s="118">
        <v>45962</v>
      </c>
      <c r="E16" s="175" t="s">
        <v>181</v>
      </c>
      <c r="F16" s="196">
        <v>325000</v>
      </c>
      <c r="G16" s="194"/>
      <c r="H16" s="194">
        <f t="shared" si="0"/>
        <v>325000</v>
      </c>
      <c r="I16" s="98" t="s">
        <v>404</v>
      </c>
      <c r="J16">
        <f>_xlfn.LET(_xlpm.is_DI_dot, IF(IFERROR(MATCH(A16,'Engineering Numbers Ref'!A:A, 0),0)&gt;0, 1, 0), _xlpm.is_DI_tm, IF(IFERROR(MATCH(A16,'Engineering Numbers Ref'!B:B, 0),0)&gt;0, 2, 0), _xlpm.is_TR_dot, IF(IFERROR(MATCH(A16,'Engineering Numbers Ref'!C:C, 0),0)&gt;0,3,0), _xlpm.is_TR_tm, IF(IFERROR(MATCH(A16,'Engineering Numbers Ref'!D:D, 0),0)&gt;0,4,0), _xlpm.is_DI_dot+_xlpm.is_DI_tm+_xlpm.is_TR_dot+_xlpm.is_TR_tm)</f>
        <v>1</v>
      </c>
    </row>
    <row r="17" spans="1:10" ht="15" hidden="1" customHeight="1" x14ac:dyDescent="0.25">
      <c r="A17" s="160" t="s">
        <v>386</v>
      </c>
      <c r="B17" s="76" t="str" cm="1">
        <f t="array" ref="B17">_xlfn.LET(_xlpm.DI_name, _xlfn.XLOOKUP(A17, [2]!DOT_Projects[[#All],[Engineering Number]], [2]!DOT_Projects[[#All],[Designer Name]], ""), _xlpm.DI_tm_name, _xlfn.XLOOKUP(A17, [2]!Table7[[#All],[Eng Number]], [2]!Table7[[#All],[Designer Name]], ""), _xlpm.TR_name, _xlfn.XLOOKUP(A17, [1]!CRA_Projects31213[[#All],[Engineering Number]], [1]!CRA_Projects31213[[#All],[KH Project Lead]]), _xlpm.TR_tm_name, _xlfn.XLOOKUP(A17, [1]!CRA_Projects312132[[#All],[Engineering Number]], [1]!CRA_Projects312132[[#All],[Designer Supervisor]]), _xlfn.SWITCH($J17, 1, _xlpm.DI_name, 2, _xlpm.DI_tm_name, 3, _xlpm.TR_name, 4, _xlpm.TR_tm_name, "Number not Found"))</f>
        <v>Taylor Lierow/Michael Molloy</v>
      </c>
      <c r="C17" s="78" t="str" cm="1">
        <f t="array" ref="C17">_xlfn.LET(_xlpm.DI_town, _xlfn.XLOOKUP(A17, [2]!DOT_Projects[[#All],[Engineering Number]], [2]!DOT_Projects[[#All],[Town]], ""), _xlpm.DI_tm_town, _xlfn.XLOOKUP(A17, [2]!Table7[[#All],[Eng Number]], [2]!Table7[[#All],[Town]], ""), _xlpm.TR_town, _xlfn.XLOOKUP(A17, [1]!CRA_Projects31213[[#All],[Engineering Number]], [1]!CRA_Projects31213[[#All],[Town]]), _xlpm.TR_tm_town, _xlfn.XLOOKUP(A17, [1]!CRA_Projects312132[[#All],[Engineering Number]], [1]!CRA_Projects312132[[#All],[Town]]),_xlfn.SWITCH($J17, 1, _xlpm.DI_town, 2, _xlpm.DI_tm_town, 3, _xlpm.TR_town, 4, _xlpm.TR_tm_town, "Number not Found"))</f>
        <v>ELGIN</v>
      </c>
      <c r="D17" s="199">
        <v>45962</v>
      </c>
      <c r="E17" s="175">
        <v>750000</v>
      </c>
      <c r="F17" s="194">
        <f>E17*0.1</f>
        <v>75000</v>
      </c>
      <c r="G17" s="194">
        <v>0</v>
      </c>
      <c r="H17" s="194">
        <f t="shared" si="0"/>
        <v>75000</v>
      </c>
      <c r="I17" s="147"/>
      <c r="J17">
        <f>_xlfn.LET(_xlpm.is_DI_dot, IF(IFERROR(MATCH(A17,'Engineering Numbers Ref'!A:A, 0),0)&gt;0, 1, 0), _xlpm.is_DI_tm, IF(IFERROR(MATCH(A17,'Engineering Numbers Ref'!B:B, 0),0)&gt;0, 2, 0), _xlpm.is_TR_dot, IF(IFERROR(MATCH(A17,'Engineering Numbers Ref'!C:C, 0),0)&gt;0,3,0), _xlpm.is_TR_tm, IF(IFERROR(MATCH(A17,'Engineering Numbers Ref'!D:D, 0),0)&gt;0,4,0), _xlpm.is_DI_dot+_xlpm.is_DI_tm+_xlpm.is_TR_dot+_xlpm.is_TR_tm)</f>
        <v>1</v>
      </c>
    </row>
    <row r="18" spans="1:10" ht="15" customHeight="1" x14ac:dyDescent="0.25">
      <c r="A18" s="160" t="s">
        <v>369</v>
      </c>
      <c r="B18" s="76" t="str" cm="1">
        <f t="array" ref="B18">_xlfn.LET(_xlpm.DI_name, _xlfn.XLOOKUP(A18, [2]!DOT_Projects[[#All],[Engineering Number]], [2]!DOT_Projects[[#All],[Designer Name]], ""), _xlpm.DI_tm_name, _xlfn.XLOOKUP(A18, [2]!Table7[[#All],[Eng Number]], [2]!Table7[[#All],[Designer Name]], ""), _xlpm.TR_name, _xlfn.XLOOKUP(A18, [1]!CRA_Projects31213[[#All],[Engineering Number]], [1]!CRA_Projects31213[[#All],[KH Project Lead]]), _xlpm.TR_tm_name, _xlfn.XLOOKUP(A18, [1]!CRA_Projects312132[[#All],[Engineering Number]], [1]!CRA_Projects312132[[#All],[Designer Supervisor]]), _xlfn.SWITCH($J18, 1, _xlpm.DI_name, 2, _xlpm.DI_tm_name, 3, _xlpm.TR_name, 4, _xlpm.TR_tm_name, "Number not Found"))</f>
        <v>Matt Hopkins / Nick Watt</v>
      </c>
      <c r="C18" s="78" t="str" cm="1">
        <f t="array" ref="C18">_xlfn.LET(_xlpm.DI_town, _xlfn.XLOOKUP(A18, [2]!DOT_Projects[[#All],[Engineering Number]], [2]!DOT_Projects[[#All],[Town]], ""), _xlpm.DI_tm_town, _xlfn.XLOOKUP(A18, [2]!Table7[[#All],[Eng Number]], [2]!Table7[[#All],[Town]], ""), _xlpm.TR_town, _xlfn.XLOOKUP(A18, [1]!CRA_Projects31213[[#All],[Engineering Number]], [1]!CRA_Projects31213[[#All],[Town]]), _xlpm.TR_tm_town, _xlfn.XLOOKUP(A18, [1]!CRA_Projects312132[[#All],[Engineering Number]], [1]!CRA_Projects312132[[#All],[Town]]),_xlfn.SWITCH($J18, 1, _xlpm.DI_town, 2, _xlpm.DI_tm_town, 3, _xlpm.TR_town, 4, _xlpm.TR_tm_town, "Number not Found"))</f>
        <v>ELK GROVE VILLAGE</v>
      </c>
      <c r="D18" s="199">
        <v>45962</v>
      </c>
      <c r="E18" s="175">
        <v>250000</v>
      </c>
      <c r="F18" s="194">
        <f>E18*0.1</f>
        <v>25000</v>
      </c>
      <c r="G18" s="194">
        <v>0</v>
      </c>
      <c r="H18" s="194">
        <f t="shared" si="0"/>
        <v>25000</v>
      </c>
      <c r="I18" s="98"/>
      <c r="J18">
        <f>_xlfn.LET(_xlpm.is_DI_dot, IF(IFERROR(MATCH(A18,'Engineering Numbers Ref'!A:A, 0),0)&gt;0, 1, 0), _xlpm.is_DI_tm, IF(IFERROR(MATCH(A18,'Engineering Numbers Ref'!B:B, 0),0)&gt;0, 2, 0), _xlpm.is_TR_dot, IF(IFERROR(MATCH(A18,'Engineering Numbers Ref'!C:C, 0),0)&gt;0,3,0), _xlpm.is_TR_tm, IF(IFERROR(MATCH(A18,'Engineering Numbers Ref'!D:D, 0),0)&gt;0,4,0), _xlpm.is_DI_dot+_xlpm.is_DI_tm+_xlpm.is_TR_dot+_xlpm.is_TR_tm)</f>
        <v>1</v>
      </c>
    </row>
    <row r="19" spans="1:10" ht="15" hidden="1" customHeight="1" x14ac:dyDescent="0.25">
      <c r="A19" s="157" t="s">
        <v>381</v>
      </c>
      <c r="B19" s="76" t="str" cm="1">
        <f t="array" ref="B19">_xlfn.LET(_xlpm.DI_name, _xlfn.XLOOKUP(A19, [2]!DOT_Projects[[#All],[Engineering Number]], [2]!DOT_Projects[[#All],[Designer Name]], ""), _xlpm.DI_tm_name, _xlfn.XLOOKUP(A19, [2]!Table7[[#All],[Eng Number]], [2]!Table7[[#All],[Designer Name]], ""), _xlpm.TR_name, _xlfn.XLOOKUP(A19, [1]!CRA_Projects31213[[#All],[Engineering Number]], [1]!CRA_Projects31213[[#All],[KH Project Lead]]), _xlpm.TR_tm_name, _xlfn.XLOOKUP(A19, [1]!CRA_Projects312132[[#All],[Engineering Number]], [1]!CRA_Projects312132[[#All],[Designer Supervisor]]), _xlfn.SWITCH($J19, 1, _xlpm.DI_name, 2, _xlpm.DI_tm_name, 3, _xlpm.TR_name, 4, _xlpm.TR_tm_name, "Number not Found"))</f>
        <v>Randy Castellon</v>
      </c>
      <c r="C19" s="78" t="str" cm="1">
        <f t="array" ref="C19">_xlfn.LET(_xlpm.DI_town, _xlfn.XLOOKUP(A19, [2]!DOT_Projects[[#All],[Engineering Number]], [2]!DOT_Projects[[#All],[Town]], ""), _xlpm.DI_tm_town, _xlfn.XLOOKUP(A19, [2]!Table7[[#All],[Eng Number]], [2]!Table7[[#All],[Town]], ""), _xlpm.TR_town, _xlfn.XLOOKUP(A19, [1]!CRA_Projects31213[[#All],[Engineering Number]], [1]!CRA_Projects31213[[#All],[Town]]), _xlpm.TR_tm_town, _xlfn.XLOOKUP(A19, [1]!CRA_Projects312132[[#All],[Engineering Number]], [1]!CRA_Projects312132[[#All],[Town]]),_xlfn.SWITCH($J19, 1, _xlpm.DI_town, 2, _xlpm.DI_tm_town, 3, _xlpm.TR_town, 4, _xlpm.TR_tm_town, "Number not Found"))</f>
        <v>HUNTLEY</v>
      </c>
      <c r="D19" s="193" cm="1">
        <f t="array" ref="D19">_xlfn.LET(_xlpm.DI_date, _xlfn.XLOOKUP(A19, [2]!DOT_Projects[[#All],[Engineering Number]], [2]!DOT_Projects[[#All],[Engineering Approved Design Date]]), _xlpm.DI_tm_date, _xlfn.XLOOKUP(A19, [2]!Table7[[#All],[Eng Number]], [2]!Table7[[#All],[Target
Release Date]]), _xlpm.TR_date, _xlfn.XLOOKUP(A19, [1]!CRA_Projects31213[[#All],[Engineering Number]], [1]!CRA_Projects31213[[#All],[Engineering Approved Design Date]]), _xlpm.TR_tm_date, _xlfn.XLOOKUP(A19, [1]!CRA_Projects312132[[#All],[Engineering Number]], [1]!CRA_Projects312132[[#All],[Engineering Approved Design Date]]), _xlpm.date_lookup, _xlfn.SWITCH($J19, 1, _xlpm.DI_date, 2, _xlpm.DI_tm_date, 3, _xlpm.TR_date, 4, _xlpm.TR_tm_date, "Number not Found"), IFERROR(IF(DAY(_xlpm.date_lookup)&lt;=15, DATE(YEAR(_xlpm.date_lookup), MONTH(_xlpm.date_lookup), 1), DATE(YEAR(_xlpm.date_lookup), MONTH(_xlpm.date_lookup)+1, 1)), "Number not Found"))</f>
        <v>45962</v>
      </c>
      <c r="E19" s="175">
        <v>350000</v>
      </c>
      <c r="F19" s="194">
        <f>E19*0.1</f>
        <v>35000</v>
      </c>
      <c r="G19" s="194">
        <v>0</v>
      </c>
      <c r="H19" s="194">
        <f t="shared" si="0"/>
        <v>35000</v>
      </c>
      <c r="I19" s="147" t="s">
        <v>405</v>
      </c>
      <c r="J19">
        <f>_xlfn.LET(_xlpm.is_DI_dot, IF(IFERROR(MATCH(A19,'Engineering Numbers Ref'!A:A, 0),0)&gt;0, 1, 0), _xlpm.is_DI_tm, IF(IFERROR(MATCH(A19,'Engineering Numbers Ref'!B:B, 0),0)&gt;0, 2, 0), _xlpm.is_TR_dot, IF(IFERROR(MATCH(A19,'Engineering Numbers Ref'!C:C, 0),0)&gt;0,3,0), _xlpm.is_TR_tm, IF(IFERROR(MATCH(A19,'Engineering Numbers Ref'!D:D, 0),0)&gt;0,4,0), _xlpm.is_DI_dot+_xlpm.is_DI_tm+_xlpm.is_TR_dot+_xlpm.is_TR_tm)</f>
        <v>1</v>
      </c>
    </row>
    <row r="20" spans="1:10" ht="15" hidden="1" customHeight="1" x14ac:dyDescent="0.25">
      <c r="A20" s="157" t="s">
        <v>231</v>
      </c>
      <c r="B20" s="76" t="str" cm="1">
        <f t="array" ref="B20">_xlfn.LET(_xlpm.DI_name, _xlfn.XLOOKUP(A20, [2]!DOT_Projects[[#All],[Engineering Number]], [2]!DOT_Projects[[#All],[Designer Name]], ""), _xlpm.DI_tm_name, _xlfn.XLOOKUP(A20, [2]!Table7[[#All],[Eng Number]], [2]!Table7[[#All],[Designer Name]], ""), _xlpm.TR_name, _xlfn.XLOOKUP(A20, [1]!CRA_Projects31213[[#All],[Engineering Number]], [1]!CRA_Projects31213[[#All],[KH Project Lead]]), _xlpm.TR_tm_name, _xlfn.XLOOKUP(A20, [1]!CRA_Projects312132[[#All],[Engineering Number]], [1]!CRA_Projects312132[[#All],[Designer Supervisor]]), _xlfn.SWITCH($J20, 1, _xlpm.DI_name, 2, _xlpm.DI_tm_name, 3, _xlpm.TR_name, 4, _xlpm.TR_tm_name, "Number not Found"))</f>
        <v>Caroline Kulach</v>
      </c>
      <c r="C20" s="78" t="str" cm="1">
        <f t="array" ref="C20">_xlfn.LET(_xlpm.DI_town, _xlfn.XLOOKUP(A20, [2]!DOT_Projects[[#All],[Engineering Number]], [2]!DOT_Projects[[#All],[Town]], ""), _xlpm.DI_tm_town, _xlfn.XLOOKUP(A20, [2]!Table7[[#All],[Eng Number]], [2]!Table7[[#All],[Town]], ""), _xlpm.TR_town, _xlfn.XLOOKUP(A20, [1]!CRA_Projects31213[[#All],[Engineering Number]], [1]!CRA_Projects31213[[#All],[Town]]), _xlpm.TR_tm_town, _xlfn.XLOOKUP(A20, [1]!CRA_Projects312132[[#All],[Engineering Number]], [1]!CRA_Projects312132[[#All],[Town]]),_xlfn.SWITCH($J20, 1, _xlpm.DI_town, 2, _xlpm.DI_tm_town, 3, _xlpm.TR_town, 4, _xlpm.TR_tm_town, "Number not Found"))</f>
        <v>NILES</v>
      </c>
      <c r="D20" s="118">
        <v>45962</v>
      </c>
      <c r="E20" s="187">
        <v>340000</v>
      </c>
      <c r="F20" s="194">
        <f t="shared" ref="F20:F32" si="2">E20*0.1</f>
        <v>34000</v>
      </c>
      <c r="G20" s="194">
        <v>0</v>
      </c>
      <c r="H20" s="194">
        <f t="shared" si="0"/>
        <v>34000</v>
      </c>
      <c r="I20" s="98"/>
      <c r="J20">
        <f>_xlfn.LET(_xlpm.is_DI_dot, IF(IFERROR(MATCH(A20,'Engineering Numbers Ref'!A:A, 0),0)&gt;0, 1, 0), _xlpm.is_DI_tm, IF(IFERROR(MATCH(A20,'Engineering Numbers Ref'!B:B, 0),0)&gt;0, 2, 0), _xlpm.is_TR_dot, IF(IFERROR(MATCH(A20,'Engineering Numbers Ref'!C:C, 0),0)&gt;0,3,0), _xlpm.is_TR_tm, IF(IFERROR(MATCH(A20,'Engineering Numbers Ref'!D:D, 0),0)&gt;0,4,0), _xlpm.is_DI_dot+_xlpm.is_DI_tm+_xlpm.is_TR_dot+_xlpm.is_TR_tm)</f>
        <v>1</v>
      </c>
    </row>
    <row r="21" spans="1:10" ht="15" hidden="1" customHeight="1" x14ac:dyDescent="0.25">
      <c r="A21" s="160" t="s">
        <v>366</v>
      </c>
      <c r="B21" s="76" t="str" cm="1">
        <f t="array" ref="B21">_xlfn.LET(_xlpm.DI_name, _xlfn.XLOOKUP(A21, [2]!DOT_Projects[[#All],[Engineering Number]], [2]!DOT_Projects[[#All],[Designer Name]], ""), _xlpm.DI_tm_name, _xlfn.XLOOKUP(A21, [2]!Table7[[#All],[Eng Number]], [2]!Table7[[#All],[Designer Name]], ""), _xlpm.TR_name, _xlfn.XLOOKUP(A21, [1]!CRA_Projects31213[[#All],[Engineering Number]], [1]!CRA_Projects31213[[#All],[KH Project Lead]]), _xlpm.TR_tm_name, _xlfn.XLOOKUP(A21, [1]!CRA_Projects312132[[#All],[Engineering Number]], [1]!CRA_Projects312132[[#All],[Designer Supervisor]]), _xlfn.SWITCH($J21, 1, _xlpm.DI_name, 2, _xlpm.DI_tm_name, 3, _xlpm.TR_name, 4, _xlpm.TR_tm_name, "Number not Found"))</f>
        <v>Mark Stanley</v>
      </c>
      <c r="C21" s="78" t="str" cm="1">
        <f t="array" ref="C21">_xlfn.LET(_xlpm.DI_town, _xlfn.XLOOKUP(A21, [2]!DOT_Projects[[#All],[Engineering Number]], [2]!DOT_Projects[[#All],[Town]], ""), _xlpm.DI_tm_town, _xlfn.XLOOKUP(A21, [2]!Table7[[#All],[Eng Number]], [2]!Table7[[#All],[Town]], ""), _xlpm.TR_town, _xlfn.XLOOKUP(A21, [1]!CRA_Projects31213[[#All],[Engineering Number]], [1]!CRA_Projects31213[[#All],[Town]]), _xlpm.TR_tm_town, _xlfn.XLOOKUP(A21, [1]!CRA_Projects312132[[#All],[Engineering Number]], [1]!CRA_Projects312132[[#All],[Town]]),_xlfn.SWITCH($J21, 1, _xlpm.DI_town, 2, _xlpm.DI_tm_town, 3, _xlpm.TR_town, 4, _xlpm.TR_tm_town, "Number not Found"))</f>
        <v>PONTIAC</v>
      </c>
      <c r="D21" s="199" cm="1">
        <f t="array" ref="D21">_xlfn.LET(_xlpm.DI_date, _xlfn.XLOOKUP(A21, [2]!DOT_Projects[[#All],[Engineering Number]], [2]!DOT_Projects[[#All],[Engineering Approved Design Date]]), _xlpm.DI_tm_date, _xlfn.XLOOKUP(A21, [2]!Table7[[#All],[Eng Number]], [2]!Table7[[#All],[Target
Release Date]]), _xlpm.TR_date, _xlfn.XLOOKUP(A21, [1]!CRA_Projects31213[[#All],[Engineering Number]], [1]!CRA_Projects31213[[#All],[Engineering Approved Design Date]]), _xlpm.TR_tm_date, _xlfn.XLOOKUP(A21, [1]!CRA_Projects312132[[#All],[Engineering Number]], [1]!CRA_Projects312132[[#All],[Engineering Approved Design Date]]), _xlpm.date_lookup, _xlfn.SWITCH($J21, 1, _xlpm.DI_date, 2, _xlpm.DI_tm_date, 3, _xlpm.TR_date, 4, _xlpm.TR_tm_date, "Number not Found"), IFERROR(IF(DAY(_xlpm.date_lookup)&lt;=15, DATE(YEAR(_xlpm.date_lookup), MONTH(_xlpm.date_lookup), 1), DATE(YEAR(_xlpm.date_lookup), MONTH(_xlpm.date_lookup)+1, 1)), "Number not Found"))</f>
        <v>45962</v>
      </c>
      <c r="E21" s="209">
        <v>340000</v>
      </c>
      <c r="F21" s="200">
        <f t="shared" si="2"/>
        <v>34000</v>
      </c>
      <c r="G21" s="194">
        <v>0</v>
      </c>
      <c r="H21" s="194">
        <f t="shared" si="0"/>
        <v>34000</v>
      </c>
      <c r="I21" s="147"/>
      <c r="J21">
        <f>_xlfn.LET(_xlpm.is_DI_dot, IF(IFERROR(MATCH(A21,'Engineering Numbers Ref'!A:A, 0),0)&gt;0, 1, 0), _xlpm.is_DI_tm, IF(IFERROR(MATCH(A21,'Engineering Numbers Ref'!B:B, 0),0)&gt;0, 2, 0), _xlpm.is_TR_dot, IF(IFERROR(MATCH(A21,'Engineering Numbers Ref'!C:C, 0),0)&gt;0,3,0), _xlpm.is_TR_tm, IF(IFERROR(MATCH(A21,'Engineering Numbers Ref'!D:D, 0),0)&gt;0,4,0), _xlpm.is_DI_dot+_xlpm.is_DI_tm+_xlpm.is_TR_dot+_xlpm.is_TR_tm)</f>
        <v>1</v>
      </c>
    </row>
    <row r="22" spans="1:10" hidden="1" x14ac:dyDescent="0.25">
      <c r="A22" s="160" t="s">
        <v>335</v>
      </c>
      <c r="B22" s="76" t="str" cm="1">
        <f t="array" ref="B22">_xlfn.LET(_xlpm.DI_name, _xlfn.XLOOKUP(A22, [2]!DOT_Projects[[#All],[Engineering Number]], [2]!DOT_Projects[[#All],[Designer Name]], ""), _xlpm.DI_tm_name, _xlfn.XLOOKUP(A22, [2]!Table7[[#All],[Eng Number]], [2]!Table7[[#All],[Designer Name]], ""), _xlpm.TR_name, _xlfn.XLOOKUP(A22, [1]!CRA_Projects31213[[#All],[Engineering Number]], [1]!CRA_Projects31213[[#All],[KH Project Lead]]), _xlpm.TR_tm_name, _xlfn.XLOOKUP(A22, [1]!CRA_Projects312132[[#All],[Engineering Number]], [1]!CRA_Projects312132[[#All],[Designer Supervisor]]), _xlfn.SWITCH($J22, 1, _xlpm.DI_name, 2, _xlpm.DI_tm_name, 3, _xlpm.TR_name, 4, _xlpm.TR_tm_name, "Number not Found"))</f>
        <v>Taylor Lierow</v>
      </c>
      <c r="C22" s="78" t="str" cm="1">
        <f t="array" ref="C22">_xlfn.LET(_xlpm.DI_town, _xlfn.XLOOKUP(A22, [2]!DOT_Projects[[#All],[Engineering Number]], [2]!DOT_Projects[[#All],[Town]], ""), _xlpm.DI_tm_town, _xlfn.XLOOKUP(A22, [2]!Table7[[#All],[Eng Number]], [2]!Table7[[#All],[Town]], ""), _xlpm.TR_town, _xlfn.XLOOKUP(A22, [1]!CRA_Projects31213[[#All],[Engineering Number]], [1]!CRA_Projects31213[[#All],[Town]]), _xlpm.TR_tm_town, _xlfn.XLOOKUP(A22, [1]!CRA_Projects312132[[#All],[Engineering Number]], [1]!CRA_Projects312132[[#All],[Town]]),_xlfn.SWITCH($J22, 1, _xlpm.DI_town, 2, _xlpm.DI_tm_town, 3, _xlpm.TR_town, 4, _xlpm.TR_tm_town, "Number not Found"))</f>
        <v>WESTMONT</v>
      </c>
      <c r="D22" s="195" cm="1">
        <f t="array" ref="D22">_xlfn.LET(_xlpm.DI_date, _xlfn.XLOOKUP(A22, [2]!DOT_Projects[[#All],[Engineering Number]], [2]!DOT_Projects[[#All],[Engineering Approved Design Date]]), _xlpm.DI_tm_date, _xlfn.XLOOKUP(A22, [2]!Table7[[#All],[Eng Number]], [2]!Table7[[#All],[Target
Release Date]]), _xlpm.TR_date, _xlfn.XLOOKUP(A22, [1]!CRA_Projects31213[[#All],[Engineering Number]], [1]!CRA_Projects31213[[#All],[Engineering Approved Design Date]]), _xlpm.TR_tm_date, _xlfn.XLOOKUP(A22, [1]!CRA_Projects312132[[#All],[Engineering Number]], [1]!CRA_Projects312132[[#All],[Engineering Approved Design Date]]), _xlpm.date_lookup, _xlfn.SWITCH($J22, 1, _xlpm.DI_date, 2, _xlpm.DI_tm_date, 3, _xlpm.TR_date, 4, _xlpm.TR_tm_date, "Number not Found"), IFERROR(IF(DAY(_xlpm.date_lookup)&lt;=15, DATE(YEAR(_xlpm.date_lookup), MONTH(_xlpm.date_lookup), 1), DATE(YEAR(_xlpm.date_lookup), MONTH(_xlpm.date_lookup)+1, 1)), "Number not Found"))</f>
        <v>45962</v>
      </c>
      <c r="E22" s="175">
        <v>800000</v>
      </c>
      <c r="F22" s="194">
        <f t="shared" si="2"/>
        <v>80000</v>
      </c>
      <c r="G22" s="194">
        <v>0</v>
      </c>
      <c r="H22" s="194">
        <f t="shared" si="0"/>
        <v>80000</v>
      </c>
      <c r="I22" s="98"/>
      <c r="J22">
        <f>_xlfn.LET(_xlpm.is_DI_dot, IF(IFERROR(MATCH(A22,'Engineering Numbers Ref'!A:A, 0),0)&gt;0, 1, 0), _xlpm.is_DI_tm, IF(IFERROR(MATCH(A22,'Engineering Numbers Ref'!B:B, 0),0)&gt;0, 2, 0), _xlpm.is_TR_dot, IF(IFERROR(MATCH(A22,'Engineering Numbers Ref'!C:C, 0),0)&gt;0,3,0), _xlpm.is_TR_tm, IF(IFERROR(MATCH(A22,'Engineering Numbers Ref'!D:D, 0),0)&gt;0,4,0), _xlpm.is_DI_dot+_xlpm.is_DI_tm+_xlpm.is_TR_dot+_xlpm.is_TR_tm)</f>
        <v>1</v>
      </c>
    </row>
    <row r="23" spans="1:10" ht="30" x14ac:dyDescent="0.25">
      <c r="A23" s="157" t="s">
        <v>406</v>
      </c>
      <c r="B23" s="76" t="str" cm="1">
        <f t="array" ref="B23">_xlfn.LET(_xlpm.DI_name, _xlfn.XLOOKUP(A23, [2]!DOT_Projects[[#All],[Engineering Number]], [2]!DOT_Projects[[#All],[Designer Name]], ""), _xlpm.DI_tm_name, _xlfn.XLOOKUP(A23, [2]!Table7[[#All],[Eng Number]], [2]!Table7[[#All],[Designer Name]], ""), _xlpm.TR_name, _xlfn.XLOOKUP(A23, [1]!CRA_Projects31213[[#All],[Engineering Number]], [1]!CRA_Projects31213[[#All],[KH Project Lead]]), _xlpm.TR_tm_name, _xlfn.XLOOKUP(A23, [1]!CRA_Projects312132[[#All],[Engineering Number]], [1]!CRA_Projects312132[[#All],[Designer Supervisor]]), _xlfn.SWITCH($J23, 1, _xlpm.DI_name, 2, _xlpm.DI_tm_name, 3, _xlpm.TR_name, 4, _xlpm.TR_tm_name, "Number not Found"))</f>
        <v>Matt Hopkins</v>
      </c>
      <c r="C23" s="78" t="str" cm="1">
        <f t="array" ref="C23">_xlfn.LET(_xlpm.DI_town, _xlfn.XLOOKUP(A23, [2]!DOT_Projects[[#All],[Engineering Number]], [2]!DOT_Projects[[#All],[Town]], ""), _xlpm.DI_tm_town, _xlfn.XLOOKUP(A23, [2]!Table7[[#All],[Eng Number]], [2]!Table7[[#All],[Town]], ""), _xlpm.TR_town, _xlfn.XLOOKUP(A23, [1]!CRA_Projects31213[[#All],[Engineering Number]], [1]!CRA_Projects31213[[#All],[Town]]), _xlpm.TR_tm_town, _xlfn.XLOOKUP(A23, [1]!CRA_Projects312132[[#All],[Engineering Number]], [1]!CRA_Projects312132[[#All],[Town]]),_xlfn.SWITCH($J23, 1, _xlpm.DI_town, 2, _xlpm.DI_tm_town, 3, _xlpm.TR_town, 4, _xlpm.TR_tm_town, "Number not Found"))</f>
        <v>BENSENVILLE</v>
      </c>
      <c r="D23" s="199">
        <v>45992</v>
      </c>
      <c r="E23" s="187">
        <v>250000</v>
      </c>
      <c r="F23" s="194">
        <f t="shared" si="2"/>
        <v>25000</v>
      </c>
      <c r="G23" s="194">
        <v>0</v>
      </c>
      <c r="H23" s="194">
        <f t="shared" si="0"/>
        <v>25000</v>
      </c>
      <c r="I23" s="98" t="s">
        <v>407</v>
      </c>
      <c r="J23">
        <f>_xlfn.LET(_xlpm.is_DI_dot, IF(IFERROR(MATCH(A23,'Engineering Numbers Ref'!A:A, 0),0)&gt;0, 1, 0), _xlpm.is_DI_tm, IF(IFERROR(MATCH(A23,'Engineering Numbers Ref'!B:B, 0),0)&gt;0, 2, 0), _xlpm.is_TR_dot, IF(IFERROR(MATCH(A23,'Engineering Numbers Ref'!C:C, 0),0)&gt;0,3,0), _xlpm.is_TR_tm, IF(IFERROR(MATCH(A23,'Engineering Numbers Ref'!D:D, 0),0)&gt;0,4,0), _xlpm.is_DI_dot+_xlpm.is_DI_tm+_xlpm.is_TR_dot+_xlpm.is_TR_tm)</f>
        <v>1</v>
      </c>
    </row>
    <row r="24" spans="1:10" hidden="1" x14ac:dyDescent="0.25">
      <c r="A24" s="157" t="s">
        <v>408</v>
      </c>
      <c r="B24" s="76" t="str" cm="1">
        <f t="array" ref="B24">_xlfn.LET(_xlpm.DI_name, _xlfn.XLOOKUP(A24, [2]!DOT_Projects[[#All],[Engineering Number]], [2]!DOT_Projects[[#All],[Designer Name]], ""), _xlpm.DI_tm_name, _xlfn.XLOOKUP(A24, [2]!Table7[[#All],[Eng Number]], [2]!Table7[[#All],[Designer Name]], ""), _xlpm.TR_name, _xlfn.XLOOKUP(A24, [1]!CRA_Projects31213[[#All],[Engineering Number]], [1]!CRA_Projects31213[[#All],[KH Project Lead]]), _xlpm.TR_tm_name, _xlfn.XLOOKUP(A24, [1]!CRA_Projects312132[[#All],[Engineering Number]], [1]!CRA_Projects312132[[#All],[Designer Supervisor]]), _xlfn.SWITCH($J24, 1, _xlpm.DI_name, 2, _xlpm.DI_tm_name, 3, _xlpm.TR_name, 4, _xlpm.TR_tm_name, "Number not Found"))</f>
        <v>Randy Castellon</v>
      </c>
      <c r="C24" s="78" t="str" cm="1">
        <f t="array" ref="C24">_xlfn.LET(_xlpm.DI_town, _xlfn.XLOOKUP(A24, [2]!DOT_Projects[[#All],[Engineering Number]], [2]!DOT_Projects[[#All],[Town]], ""), _xlpm.DI_tm_town, _xlfn.XLOOKUP(A24, [2]!Table7[[#All],[Eng Number]], [2]!Table7[[#All],[Town]], ""), _xlpm.TR_town, _xlfn.XLOOKUP(A24, [1]!CRA_Projects31213[[#All],[Engineering Number]], [1]!CRA_Projects31213[[#All],[Town]]), _xlpm.TR_tm_town, _xlfn.XLOOKUP(A24, [1]!CRA_Projects312132[[#All],[Engineering Number]], [1]!CRA_Projects312132[[#All],[Town]]),_xlfn.SWITCH($J24, 1, _xlpm.DI_town, 2, _xlpm.DI_tm_town, 3, _xlpm.TR_town, 4, _xlpm.TR_tm_town, "Number not Found"))</f>
        <v>LAGRANGE PARK</v>
      </c>
      <c r="D24" s="118">
        <v>45992</v>
      </c>
      <c r="E24" s="175">
        <v>450000</v>
      </c>
      <c r="F24" s="194">
        <f t="shared" si="2"/>
        <v>45000</v>
      </c>
      <c r="G24" s="194">
        <v>0</v>
      </c>
      <c r="H24" s="194">
        <f t="shared" si="0"/>
        <v>45000</v>
      </c>
      <c r="I24" s="147" t="s">
        <v>409</v>
      </c>
      <c r="J24">
        <f>_xlfn.LET(_xlpm.is_DI_dot, IF(IFERROR(MATCH(A24,'Engineering Numbers Ref'!A:A, 0),0)&gt;0, 1, 0), _xlpm.is_DI_tm, IF(IFERROR(MATCH(A24,'Engineering Numbers Ref'!B:B, 0),0)&gt;0, 2, 0), _xlpm.is_TR_dot, IF(IFERROR(MATCH(A24,'Engineering Numbers Ref'!C:C, 0),0)&gt;0,3,0), _xlpm.is_TR_tm, IF(IFERROR(MATCH(A24,'Engineering Numbers Ref'!D:D, 0),0)&gt;0,4,0), _xlpm.is_DI_dot+_xlpm.is_DI_tm+_xlpm.is_TR_dot+_xlpm.is_TR_tm)</f>
        <v>1</v>
      </c>
    </row>
    <row r="25" spans="1:10" hidden="1" x14ac:dyDescent="0.25">
      <c r="A25" s="157" t="s">
        <v>252</v>
      </c>
      <c r="B25" s="76" t="str" cm="1">
        <f t="array" ref="B25">_xlfn.LET(_xlpm.DI_name, _xlfn.XLOOKUP(A25, [2]!DOT_Projects[[#All],[Engineering Number]], [2]!DOT_Projects[[#All],[Designer Name]], ""), _xlpm.DI_tm_name, _xlfn.XLOOKUP(A25, [2]!Table7[[#All],[Eng Number]], [2]!Table7[[#All],[Designer Name]], ""), _xlpm.TR_name, _xlfn.XLOOKUP(A25, [1]!CRA_Projects31213[[#All],[Engineering Number]], [1]!CRA_Projects31213[[#All],[KH Project Lead]]), _xlpm.TR_tm_name, _xlfn.XLOOKUP(A25, [1]!CRA_Projects312132[[#All],[Engineering Number]], [1]!CRA_Projects312132[[#All],[Designer Supervisor]]), _xlfn.SWITCH($J25, 1, _xlpm.DI_name, 2, _xlpm.DI_tm_name, 3, _xlpm.TR_name, 4, _xlpm.TR_tm_name, "Number not Found"))</f>
        <v>Taylor Lierow/Ethan Ekstrom</v>
      </c>
      <c r="C25" s="78" t="str" cm="1">
        <f t="array" ref="C25">_xlfn.LET(_xlpm.DI_town, _xlfn.XLOOKUP(A25, [2]!DOT_Projects[[#All],[Engineering Number]], [2]!DOT_Projects[[#All],[Town]], ""), _xlpm.DI_tm_town, _xlfn.XLOOKUP(A25, [2]!Table7[[#All],[Eng Number]], [2]!Table7[[#All],[Town]], ""), _xlpm.TR_town, _xlfn.XLOOKUP(A25, [1]!CRA_Projects31213[[#All],[Engineering Number]], [1]!CRA_Projects31213[[#All],[Town]]), _xlpm.TR_tm_town, _xlfn.XLOOKUP(A25, [1]!CRA_Projects312132[[#All],[Engineering Number]], [1]!CRA_Projects312132[[#All],[Town]]),_xlfn.SWITCH($J25, 1, _xlpm.DI_town, 2, _xlpm.DI_tm_town, 3, _xlpm.TR_town, 4, _xlpm.TR_tm_town, "Number not Found"))</f>
        <v>MT PROSPECT</v>
      </c>
      <c r="D25" s="195" cm="1">
        <f t="array" ref="D25">_xlfn.LET(_xlpm.DI_date, _xlfn.XLOOKUP(A25, [2]!DOT_Projects[[#All],[Engineering Number]], [2]!DOT_Projects[[#All],[Engineering Approved Design Date]]), _xlpm.DI_tm_date, _xlfn.XLOOKUP(A25, [2]!Table7[[#All],[Eng Number]], [2]!Table7[[#All],[Target
Release Date]]), _xlpm.TR_date, _xlfn.XLOOKUP(A25, [1]!CRA_Projects31213[[#All],[Engineering Number]], [1]!CRA_Projects31213[[#All],[Engineering Approved Design Date]]), _xlpm.TR_tm_date, _xlfn.XLOOKUP(A25, [1]!CRA_Projects312132[[#All],[Engineering Number]], [1]!CRA_Projects312132[[#All],[Engineering Approved Design Date]]), _xlpm.date_lookup, _xlfn.SWITCH($J25, 1, _xlpm.DI_date, 2, _xlpm.DI_tm_date, 3, _xlpm.TR_date, 4, _xlpm.TR_tm_date, "Number not Found"), IFERROR(IF(DAY(_xlpm.date_lookup)&lt;=15, DATE(YEAR(_xlpm.date_lookup), MONTH(_xlpm.date_lookup), 1), DATE(YEAR(_xlpm.date_lookup), MONTH(_xlpm.date_lookup)+1, 1)), "Number not Found"))</f>
        <v>45992</v>
      </c>
      <c r="E25" s="175">
        <v>1500000</v>
      </c>
      <c r="F25" s="194">
        <f t="shared" si="2"/>
        <v>150000</v>
      </c>
      <c r="G25" s="194">
        <v>0</v>
      </c>
      <c r="H25" s="194">
        <f t="shared" si="0"/>
        <v>150000</v>
      </c>
      <c r="I25" s="148"/>
      <c r="J25">
        <f>_xlfn.LET(_xlpm.is_DI_dot, IF(IFERROR(MATCH(A25,'Engineering Numbers Ref'!A:A, 0),0)&gt;0, 1, 0), _xlpm.is_DI_tm, IF(IFERROR(MATCH(A25,'Engineering Numbers Ref'!B:B, 0),0)&gt;0, 2, 0), _xlpm.is_TR_dot, IF(IFERROR(MATCH(A25,'Engineering Numbers Ref'!C:C, 0),0)&gt;0,3,0), _xlpm.is_TR_tm, IF(IFERROR(MATCH(A25,'Engineering Numbers Ref'!D:D, 0),0)&gt;0,4,0), _xlpm.is_DI_dot+_xlpm.is_DI_tm+_xlpm.is_TR_dot+_xlpm.is_TR_tm)</f>
        <v>1</v>
      </c>
    </row>
    <row r="26" spans="1:10" ht="60" hidden="1" x14ac:dyDescent="0.25">
      <c r="A26" s="160" t="s">
        <v>295</v>
      </c>
      <c r="B26" s="76" t="str" cm="1">
        <f t="array" ref="B26">_xlfn.LET(_xlpm.DI_name, _xlfn.XLOOKUP(A26, [2]!DOT_Projects[[#All],[Engineering Number]], [2]!DOT_Projects[[#All],[Designer Name]], ""), _xlpm.DI_tm_name, _xlfn.XLOOKUP(A26, [2]!Table7[[#All],[Eng Number]], [2]!Table7[[#All],[Designer Name]], ""), _xlpm.TR_name, _xlfn.XLOOKUP(A26, [1]!CRA_Projects31213[[#All],[Engineering Number]], [1]!CRA_Projects31213[[#All],[KH Project Lead]]), _xlpm.TR_tm_name, _xlfn.XLOOKUP(A26, [1]!CRA_Projects312132[[#All],[Engineering Number]], [1]!CRA_Projects312132[[#All],[Designer Supervisor]]), _xlfn.SWITCH($J26, 1, _xlpm.DI_name, 2, _xlpm.DI_tm_name, 3, _xlpm.TR_name, 4, _xlpm.TR_tm_name, "Number not Found"))</f>
        <v>Camille Corbi
(Caroline Kulach)</v>
      </c>
      <c r="C26" s="78" t="str" cm="1">
        <f t="array" ref="C26">_xlfn.LET(_xlpm.DI_town, _xlfn.XLOOKUP(A26, [2]!DOT_Projects[[#All],[Engineering Number]], [2]!DOT_Projects[[#All],[Town]], ""), _xlpm.DI_tm_town, _xlfn.XLOOKUP(A26, [2]!Table7[[#All],[Eng Number]], [2]!Table7[[#All],[Town]], ""), _xlpm.TR_town, _xlfn.XLOOKUP(A26, [1]!CRA_Projects31213[[#All],[Engineering Number]], [1]!CRA_Projects31213[[#All],[Town]]), _xlpm.TR_tm_town, _xlfn.XLOOKUP(A26, [1]!CRA_Projects312132[[#All],[Engineering Number]], [1]!CRA_Projects312132[[#All],[Town]]),_xlfn.SWITCH($J26, 1, _xlpm.DI_town, 2, _xlpm.DI_tm_town, 3, _xlpm.TR_town, 4, _xlpm.TR_tm_town, "Number not Found"))</f>
        <v>GILMAN</v>
      </c>
      <c r="D26" s="199">
        <v>46023</v>
      </c>
      <c r="E26" s="175">
        <v>150000</v>
      </c>
      <c r="F26" s="194">
        <f t="shared" si="2"/>
        <v>15000</v>
      </c>
      <c r="G26" s="194">
        <v>0</v>
      </c>
      <c r="H26" s="194">
        <f t="shared" si="0"/>
        <v>15000</v>
      </c>
      <c r="I26" s="98" t="s">
        <v>410</v>
      </c>
      <c r="J26">
        <f>_xlfn.LET(_xlpm.is_DI_dot, IF(IFERROR(MATCH(A26,'Engineering Numbers Ref'!A:A, 0),0)&gt;0, 1, 0), _xlpm.is_DI_tm, IF(IFERROR(MATCH(A26,'Engineering Numbers Ref'!B:B, 0),0)&gt;0, 2, 0), _xlpm.is_TR_dot, IF(IFERROR(MATCH(A26,'Engineering Numbers Ref'!C:C, 0),0)&gt;0,3,0), _xlpm.is_TR_tm, IF(IFERROR(MATCH(A26,'Engineering Numbers Ref'!D:D, 0),0)&gt;0,4,0), _xlpm.is_DI_dot+_xlpm.is_DI_tm+_xlpm.is_TR_dot+_xlpm.is_TR_tm)</f>
        <v>1</v>
      </c>
    </row>
    <row r="27" spans="1:10" ht="45" hidden="1" x14ac:dyDescent="0.25">
      <c r="A27" s="160" t="s">
        <v>411</v>
      </c>
      <c r="B27" s="76" t="str" cm="1">
        <f t="array" ref="B27">_xlfn.LET(_xlpm.DI_name, _xlfn.XLOOKUP(A27, [2]!DOT_Projects[[#All],[Engineering Number]], [2]!DOT_Projects[[#All],[Designer Name]], ""), _xlpm.DI_tm_name, _xlfn.XLOOKUP(A27, [2]!Table7[[#All],[Eng Number]], [2]!Table7[[#All],[Designer Name]], ""), _xlpm.TR_name, _xlfn.XLOOKUP(A27, [1]!CRA_Projects31213[[#All],[Engineering Number]], [1]!CRA_Projects31213[[#All],[KH Project Lead]]), _xlpm.TR_tm_name, _xlfn.XLOOKUP(A27, [1]!CRA_Projects312132[[#All],[Engineering Number]], [1]!CRA_Projects312132[[#All],[Designer Supervisor]]), _xlfn.SWITCH($J27, 1, _xlpm.DI_name, 2, _xlpm.DI_tm_name, 3, _xlpm.TR_name, 4, _xlpm.TR_tm_name, "Number not Found"))</f>
        <v>Randy Castellon</v>
      </c>
      <c r="C27" s="78" t="str" cm="1">
        <f t="array" ref="C27">_xlfn.LET(_xlpm.DI_town, _xlfn.XLOOKUP(A27, [2]!DOT_Projects[[#All],[Engineering Number]], [2]!DOT_Projects[[#All],[Town]], ""), _xlpm.DI_tm_town, _xlfn.XLOOKUP(A27, [2]!Table7[[#All],[Eng Number]], [2]!Table7[[#All],[Town]], ""), _xlpm.TR_town, _xlfn.XLOOKUP(A27, [1]!CRA_Projects31213[[#All],[Engineering Number]], [1]!CRA_Projects31213[[#All],[Town]]), _xlpm.TR_tm_town, _xlfn.XLOOKUP(A27, [1]!CRA_Projects312132[[#All],[Engineering Number]], [1]!CRA_Projects312132[[#All],[Town]]),_xlfn.SWITCH($J27, 1, _xlpm.DI_town, 2, _xlpm.DI_tm_town, 3, _xlpm.TR_town, 4, _xlpm.TR_tm_town, "Number not Found"))</f>
        <v>SHERIDAN</v>
      </c>
      <c r="D27" s="118">
        <v>46023</v>
      </c>
      <c r="E27" s="175">
        <v>0</v>
      </c>
      <c r="F27" s="194">
        <f t="shared" si="2"/>
        <v>0</v>
      </c>
      <c r="G27" s="194">
        <v>0</v>
      </c>
      <c r="H27" s="194">
        <f t="shared" si="0"/>
        <v>0</v>
      </c>
      <c r="I27" s="98" t="s">
        <v>412</v>
      </c>
      <c r="J27">
        <f>_xlfn.LET(_xlpm.is_DI_dot, IF(IFERROR(MATCH(A27,'Engineering Numbers Ref'!A:A, 0),0)&gt;0, 1, 0), _xlpm.is_DI_tm, IF(IFERROR(MATCH(A27,'Engineering Numbers Ref'!B:B, 0),0)&gt;0, 2, 0), _xlpm.is_TR_dot, IF(IFERROR(MATCH(A27,'Engineering Numbers Ref'!C:C, 0),0)&gt;0,3,0), _xlpm.is_TR_tm, IF(IFERROR(MATCH(A27,'Engineering Numbers Ref'!D:D, 0),0)&gt;0,4,0), _xlpm.is_DI_dot+_xlpm.is_DI_tm+_xlpm.is_TR_dot+_xlpm.is_TR_tm)</f>
        <v>1</v>
      </c>
    </row>
    <row r="28" spans="1:10" hidden="1" x14ac:dyDescent="0.25">
      <c r="A28" s="160" t="s">
        <v>413</v>
      </c>
      <c r="B28" s="76" t="str" cm="1">
        <f t="array" ref="B28">_xlfn.LET(_xlpm.DI_name, _xlfn.XLOOKUP(A28, [2]!DOT_Projects[[#All],[Engineering Number]], [2]!DOT_Projects[[#All],[Designer Name]], ""), _xlpm.DI_tm_name, _xlfn.XLOOKUP(A28, [2]!Table7[[#All],[Eng Number]], [2]!Table7[[#All],[Designer Name]], ""), _xlpm.TR_name, _xlfn.XLOOKUP(A28, [1]!CRA_Projects31213[[#All],[Engineering Number]], [1]!CRA_Projects31213[[#All],[KH Project Lead]]), _xlpm.TR_tm_name, _xlfn.XLOOKUP(A28, [1]!CRA_Projects312132[[#All],[Engineering Number]], [1]!CRA_Projects312132[[#All],[Designer Supervisor]]), _xlfn.SWITCH($J28, 1, _xlpm.DI_name, 2, _xlpm.DI_tm_name, 3, _xlpm.TR_name, 4, _xlpm.TR_tm_name, "Number not Found"))</f>
        <v>Camille Corbi</v>
      </c>
      <c r="C28" s="78" t="str" cm="1">
        <f t="array" ref="C28">_xlfn.LET(_xlpm.DI_town, _xlfn.XLOOKUP(A28, [2]!DOT_Projects[[#All],[Engineering Number]], [2]!DOT_Projects[[#All],[Town]], ""), _xlpm.DI_tm_town, _xlfn.XLOOKUP(A28, [2]!Table7[[#All],[Eng Number]], [2]!Table7[[#All],[Town]], ""), _xlpm.TR_town, _xlfn.XLOOKUP(A28, [1]!CRA_Projects31213[[#All],[Engineering Number]], [1]!CRA_Projects31213[[#All],[Town]]), _xlpm.TR_tm_town, _xlfn.XLOOKUP(A28, [1]!CRA_Projects312132[[#All],[Engineering Number]], [1]!CRA_Projects312132[[#All],[Town]]),_xlfn.SWITCH($J28, 1, _xlpm.DI_town, 2, _xlpm.DI_tm_town, 3, _xlpm.TR_town, 4, _xlpm.TR_tm_town, "Number not Found"))</f>
        <v>NEW LENOX</v>
      </c>
      <c r="D28" s="198">
        <v>46054</v>
      </c>
      <c r="E28" s="175">
        <v>800000</v>
      </c>
      <c r="F28" s="194">
        <f t="shared" si="2"/>
        <v>80000</v>
      </c>
      <c r="G28" s="194">
        <v>0</v>
      </c>
      <c r="H28" s="194">
        <f t="shared" si="0"/>
        <v>80000</v>
      </c>
      <c r="I28" s="98" t="s">
        <v>414</v>
      </c>
      <c r="J28">
        <f>_xlfn.LET(_xlpm.is_DI_dot, IF(IFERROR(MATCH(A28,'Engineering Numbers Ref'!A:A, 0),0)&gt;0, 1, 0), _xlpm.is_DI_tm, IF(IFERROR(MATCH(A28,'Engineering Numbers Ref'!B:B, 0),0)&gt;0, 2, 0), _xlpm.is_TR_dot, IF(IFERROR(MATCH(A28,'Engineering Numbers Ref'!C:C, 0),0)&gt;0,3,0), _xlpm.is_TR_tm, IF(IFERROR(MATCH(A28,'Engineering Numbers Ref'!D:D, 0),0)&gt;0,4,0), _xlpm.is_DI_dot+_xlpm.is_DI_tm+_xlpm.is_TR_dot+_xlpm.is_TR_tm)</f>
        <v>1</v>
      </c>
    </row>
    <row r="29" spans="1:10" hidden="1" x14ac:dyDescent="0.25">
      <c r="A29" s="160" t="s">
        <v>415</v>
      </c>
      <c r="B29" s="76" t="str" cm="1">
        <f t="array" ref="B29">_xlfn.LET(_xlpm.DI_name, _xlfn.XLOOKUP(A29, [2]!DOT_Projects[[#All],[Engineering Number]], [2]!DOT_Projects[[#All],[Designer Name]], ""), _xlpm.DI_tm_name, _xlfn.XLOOKUP(A29, [2]!Table7[[#All],[Eng Number]], [2]!Table7[[#All],[Designer Name]], ""), _xlpm.TR_name, _xlfn.XLOOKUP(A29, [1]!CRA_Projects31213[[#All],[Engineering Number]], [1]!CRA_Projects31213[[#All],[KH Project Lead]]), _xlpm.TR_tm_name, _xlfn.XLOOKUP(A29, [1]!CRA_Projects312132[[#All],[Engineering Number]], [1]!CRA_Projects312132[[#All],[Designer Supervisor]]), _xlfn.SWITCH($J29, 1, _xlpm.DI_name, 2, _xlpm.DI_tm_name, 3, _xlpm.TR_name, 4, _xlpm.TR_tm_name, "Number not Found"))</f>
        <v>Camille Corbi</v>
      </c>
      <c r="C29" s="78" t="str" cm="1">
        <f t="array" ref="C29">_xlfn.LET(_xlpm.DI_town, _xlfn.XLOOKUP(A29, [2]!DOT_Projects[[#All],[Engineering Number]], [2]!DOT_Projects[[#All],[Town]], ""), _xlpm.DI_tm_town, _xlfn.XLOOKUP(A29, [2]!Table7[[#All],[Eng Number]], [2]!Table7[[#All],[Town]], ""), _xlpm.TR_town, _xlfn.XLOOKUP(A29, [1]!CRA_Projects31213[[#All],[Engineering Number]], [1]!CRA_Projects31213[[#All],[Town]]), _xlpm.TR_tm_town, _xlfn.XLOOKUP(A29, [1]!CRA_Projects312132[[#All],[Engineering Number]], [1]!CRA_Projects312132[[#All],[Town]]),_xlfn.SWITCH($J29, 1, _xlpm.DI_town, 2, _xlpm.DI_tm_town, 3, _xlpm.TR_town, 4, _xlpm.TR_tm_town, "Number not Found"))</f>
        <v>NEW LENOX</v>
      </c>
      <c r="D29" s="198">
        <v>46054</v>
      </c>
      <c r="E29" s="175">
        <v>800000</v>
      </c>
      <c r="F29" s="194">
        <f t="shared" si="2"/>
        <v>80000</v>
      </c>
      <c r="G29" s="194">
        <v>0</v>
      </c>
      <c r="H29" s="194">
        <f t="shared" si="0"/>
        <v>80000</v>
      </c>
      <c r="I29" s="98" t="s">
        <v>414</v>
      </c>
      <c r="J29">
        <f>_xlfn.LET(_xlpm.is_DI_dot, IF(IFERROR(MATCH(A29,'Engineering Numbers Ref'!A:A, 0),0)&gt;0, 1, 0), _xlpm.is_DI_tm, IF(IFERROR(MATCH(A29,'Engineering Numbers Ref'!B:B, 0),0)&gt;0, 2, 0), _xlpm.is_TR_dot, IF(IFERROR(MATCH(A29,'Engineering Numbers Ref'!C:C, 0),0)&gt;0,3,0), _xlpm.is_TR_tm, IF(IFERROR(MATCH(A29,'Engineering Numbers Ref'!D:D, 0),0)&gt;0,4,0), _xlpm.is_DI_dot+_xlpm.is_DI_tm+_xlpm.is_TR_dot+_xlpm.is_TR_tm)</f>
        <v>1</v>
      </c>
    </row>
    <row r="30" spans="1:10" ht="45" hidden="1" x14ac:dyDescent="0.25">
      <c r="A30" s="157" t="s">
        <v>416</v>
      </c>
      <c r="B30" s="76" t="str" cm="1">
        <f t="array" ref="B30">_xlfn.LET(_xlpm.DI_name, _xlfn.XLOOKUP(A30, [2]!DOT_Projects[[#All],[Engineering Number]], [2]!DOT_Projects[[#All],[Designer Name]], ""), _xlpm.DI_tm_name, _xlfn.XLOOKUP(A30, [2]!Table7[[#All],[Eng Number]], [2]!Table7[[#All],[Designer Name]], ""), _xlpm.TR_name, _xlfn.XLOOKUP(A30, [1]!CRA_Projects31213[[#All],[Engineering Number]], [1]!CRA_Projects31213[[#All],[KH Project Lead]]), _xlpm.TR_tm_name, _xlfn.XLOOKUP(A30, [1]!CRA_Projects312132[[#All],[Engineering Number]], [1]!CRA_Projects312132[[#All],[Designer Supervisor]]), _xlfn.SWITCH($J30, 1, _xlpm.DI_name, 2, _xlpm.DI_tm_name, 3, _xlpm.TR_name, 4, _xlpm.TR_tm_name, "Number not Found"))</f>
        <v>Randy Castellon</v>
      </c>
      <c r="C30" s="78" t="str" cm="1">
        <f t="array" ref="C30">_xlfn.LET(_xlpm.DI_town, _xlfn.XLOOKUP(A30, [2]!DOT_Projects[[#All],[Engineering Number]], [2]!DOT_Projects[[#All],[Town]], ""), _xlpm.DI_tm_town, _xlfn.XLOOKUP(A30, [2]!Table7[[#All],[Eng Number]], [2]!Table7[[#All],[Town]], ""), _xlpm.TR_town, _xlfn.XLOOKUP(A30, [1]!CRA_Projects31213[[#All],[Engineering Number]], [1]!CRA_Projects31213[[#All],[Town]]), _xlpm.TR_tm_town, _xlfn.XLOOKUP(A30, [1]!CRA_Projects312132[[#All],[Engineering Number]], [1]!CRA_Projects312132[[#All],[Town]]),_xlfn.SWITCH($J30, 1, _xlpm.DI_town, 2, _xlpm.DI_tm_town, 3, _xlpm.TR_town, 4, _xlpm.TR_tm_town, "Number not Found"))</f>
        <v>MUNDELEIN</v>
      </c>
      <c r="D30" s="118">
        <v>46082</v>
      </c>
      <c r="E30" s="175">
        <v>500000</v>
      </c>
      <c r="F30" s="194">
        <f t="shared" si="2"/>
        <v>50000</v>
      </c>
      <c r="G30" s="194">
        <v>0</v>
      </c>
      <c r="H30" s="194">
        <f t="shared" si="0"/>
        <v>50000</v>
      </c>
      <c r="I30" s="98" t="s">
        <v>417</v>
      </c>
      <c r="J30">
        <f>_xlfn.LET(_xlpm.is_DI_dot, IF(IFERROR(MATCH(A30,'Engineering Numbers Ref'!A:A, 0),0)&gt;0, 1, 0), _xlpm.is_DI_tm, IF(IFERROR(MATCH(A30,'Engineering Numbers Ref'!B:B, 0),0)&gt;0, 2, 0), _xlpm.is_TR_dot, IF(IFERROR(MATCH(A30,'Engineering Numbers Ref'!C:C, 0),0)&gt;0,3,0), _xlpm.is_TR_tm, IF(IFERROR(MATCH(A30,'Engineering Numbers Ref'!D:D, 0),0)&gt;0,4,0), _xlpm.is_DI_dot+_xlpm.is_DI_tm+_xlpm.is_TR_dot+_xlpm.is_TR_tm)</f>
        <v>1</v>
      </c>
    </row>
    <row r="31" spans="1:10" ht="30" hidden="1" x14ac:dyDescent="0.25">
      <c r="A31" s="160" t="s">
        <v>418</v>
      </c>
      <c r="B31" s="76" t="str" cm="1">
        <f t="array" ref="B31">_xlfn.LET(_xlpm.DI_name, _xlfn.XLOOKUP(A31, [2]!DOT_Projects[[#All],[Engineering Number]], [2]!DOT_Projects[[#All],[Designer Name]], ""), _xlpm.DI_tm_name, _xlfn.XLOOKUP(A31, [2]!Table7[[#All],[Eng Number]], [2]!Table7[[#All],[Designer Name]], ""), _xlpm.TR_name, _xlfn.XLOOKUP(A31, [1]!CRA_Projects31213[[#All],[Engineering Number]], [1]!CRA_Projects31213[[#All],[KH Project Lead]]), _xlpm.TR_tm_name, _xlfn.XLOOKUP(A31, [1]!CRA_Projects312132[[#All],[Engineering Number]], [1]!CRA_Projects312132[[#All],[Designer Supervisor]]), _xlfn.SWITCH($J31, 1, _xlpm.DI_name, 2, _xlpm.DI_tm_name, 3, _xlpm.TR_name, 4, _xlpm.TR_tm_name, "Number not Found"))</f>
        <v>Taylor Lierow</v>
      </c>
      <c r="C31" s="78" t="str" cm="1">
        <f t="array" ref="C31">_xlfn.LET(_xlpm.DI_town, _xlfn.XLOOKUP(A31, [2]!DOT_Projects[[#All],[Engineering Number]], [2]!DOT_Projects[[#All],[Town]], ""), _xlpm.DI_tm_town, _xlfn.XLOOKUP(A31, [2]!Table7[[#All],[Eng Number]], [2]!Table7[[#All],[Town]], ""), _xlpm.TR_town, _xlfn.XLOOKUP(A31, [1]!CRA_Projects31213[[#All],[Engineering Number]], [1]!CRA_Projects31213[[#All],[Town]]), _xlpm.TR_tm_town, _xlfn.XLOOKUP(A31, [1]!CRA_Projects312132[[#All],[Engineering Number]], [1]!CRA_Projects312132[[#All],[Town]]),_xlfn.SWITCH($J31, 1, _xlpm.DI_town, 2, _xlpm.DI_tm_town, 3, _xlpm.TR_town, 4, _xlpm.TR_tm_town, "Number not Found"))</f>
        <v>TROY</v>
      </c>
      <c r="D31" s="199">
        <v>46174</v>
      </c>
      <c r="E31" s="175">
        <v>500000</v>
      </c>
      <c r="F31" s="194">
        <f t="shared" si="2"/>
        <v>50000</v>
      </c>
      <c r="G31" s="194">
        <v>0</v>
      </c>
      <c r="H31" s="194">
        <f t="shared" si="0"/>
        <v>50000</v>
      </c>
      <c r="I31" s="148" t="s">
        <v>419</v>
      </c>
      <c r="J31">
        <f>_xlfn.LET(_xlpm.is_DI_dot, IF(IFERROR(MATCH(A31,'Engineering Numbers Ref'!A:A, 0),0)&gt;0, 1, 0), _xlpm.is_DI_tm, IF(IFERROR(MATCH(A31,'Engineering Numbers Ref'!B:B, 0),0)&gt;0, 2, 0), _xlpm.is_TR_dot, IF(IFERROR(MATCH(A31,'Engineering Numbers Ref'!C:C, 0),0)&gt;0,3,0), _xlpm.is_TR_tm, IF(IFERROR(MATCH(A31,'Engineering Numbers Ref'!D:D, 0),0)&gt;0,4,0), _xlpm.is_DI_dot+_xlpm.is_DI_tm+_xlpm.is_TR_dot+_xlpm.is_TR_tm)</f>
        <v>1</v>
      </c>
    </row>
    <row r="32" spans="1:10" ht="30" hidden="1" x14ac:dyDescent="0.25">
      <c r="A32" s="158" t="s">
        <v>420</v>
      </c>
      <c r="B32" s="76" t="str" cm="1">
        <f t="array" ref="B32">_xlfn.LET(_xlpm.DI_name, _xlfn.XLOOKUP(A32, [2]!DOT_Projects[[#All],[Engineering Number]], [2]!DOT_Projects[[#All],[Designer Name]], ""), _xlpm.DI_tm_name, _xlfn.XLOOKUP(A32, [2]!Table7[[#All],[Eng Number]], [2]!Table7[[#All],[Designer Name]], ""), _xlpm.TR_name, _xlfn.XLOOKUP(A32, [1]!CRA_Projects31213[[#All],[Engineering Number]], [1]!CRA_Projects31213[[#All],[KH Project Lead]]), _xlpm.TR_tm_name, _xlfn.XLOOKUP(A32, [1]!CRA_Projects312132[[#All],[Engineering Number]], [1]!CRA_Projects312132[[#All],[Designer Supervisor]]), _xlfn.SWITCH($J32, 1, _xlpm.DI_name, 2, _xlpm.DI_tm_name, 3, _xlpm.TR_name, 4, _xlpm.TR_tm_name, "Number not Found"))</f>
        <v>Camille Corbi</v>
      </c>
      <c r="C32" s="78" t="str" cm="1">
        <f t="array" ref="C32">_xlfn.LET(_xlpm.DI_town, _xlfn.XLOOKUP(A32, [2]!DOT_Projects[[#All],[Engineering Number]], [2]!DOT_Projects[[#All],[Town]], ""), _xlpm.DI_tm_town, _xlfn.XLOOKUP(A32, [2]!Table7[[#All],[Eng Number]], [2]!Table7[[#All],[Town]], ""), _xlpm.TR_town, _xlfn.XLOOKUP(A32, [1]!CRA_Projects31213[[#All],[Engineering Number]], [1]!CRA_Projects31213[[#All],[Town]]), _xlpm.TR_tm_town, _xlfn.XLOOKUP(A32, [1]!CRA_Projects312132[[#All],[Engineering Number]], [1]!CRA_Projects312132[[#All],[Town]]),_xlfn.SWITCH($J32, 1, _xlpm.DI_town, 2, _xlpm.DI_tm_town, 3, _xlpm.TR_town, 4, _xlpm.TR_tm_town, "Number not Found"))</f>
        <v>WHEELING</v>
      </c>
      <c r="D32" s="198">
        <v>46266</v>
      </c>
      <c r="E32" s="187">
        <v>700000</v>
      </c>
      <c r="F32" s="194">
        <f t="shared" si="2"/>
        <v>70000</v>
      </c>
      <c r="G32" s="194">
        <v>0</v>
      </c>
      <c r="H32" s="194">
        <f t="shared" si="0"/>
        <v>70000</v>
      </c>
      <c r="I32" s="98" t="s">
        <v>421</v>
      </c>
      <c r="J32">
        <f>_xlfn.LET(_xlpm.is_DI_dot, IF(IFERROR(MATCH(A32,'Engineering Numbers Ref'!A:A, 0),0)&gt;0, 1, 0), _xlpm.is_DI_tm, IF(IFERROR(MATCH(A32,'Engineering Numbers Ref'!B:B, 0),0)&gt;0, 2, 0), _xlpm.is_TR_dot, IF(IFERROR(MATCH(A32,'Engineering Numbers Ref'!C:C, 0),0)&gt;0,3,0), _xlpm.is_TR_tm, IF(IFERROR(MATCH(A32,'Engineering Numbers Ref'!D:D, 0),0)&gt;0,4,0), _xlpm.is_DI_dot+_xlpm.is_DI_tm+_xlpm.is_TR_dot+_xlpm.is_TR_tm)</f>
        <v>1</v>
      </c>
    </row>
    <row r="33" spans="1:23" hidden="1" x14ac:dyDescent="0.25">
      <c r="A33" s="160" t="s">
        <v>267</v>
      </c>
      <c r="B33" s="76" t="e" cm="1">
        <f t="array" ref="B33">_xlfn.LET(_xlpm.DI_name, _xlfn.XLOOKUP(A33, [2]!DOT_Projects[[#All],[Engineering Number]], [2]!DOT_Projects[[#All],[Designer Name]], ""), _xlpm.DI_tm_name, _xlfn.XLOOKUP(A33, [2]!Table7[[#All],[Eng Number]], [2]!Table7[[#All],[Designer Name]], ""), _xlpm.TR_name, _xlfn.XLOOKUP(A33, [1]!CRA_Projects31213[[#All],[Engineering Number]], [1]!CRA_Projects31213[[#All],[KH Project Lead]]), _xlpm.TR_tm_name, _xlfn.XLOOKUP(A33, [1]!CRA_Projects312132[[#All],[Engineering Number]], [1]!CRA_Projects312132[[#All],[Designer Supervisor]]), _xlfn.SWITCH($J33, 1, _xlpm.DI_name, 2, _xlpm.DI_tm_name, 3, _xlpm.TR_name, 4, _xlpm.TR_tm_name, "Number not Found"))</f>
        <v>#REF!</v>
      </c>
      <c r="C33" s="78" t="e" cm="1">
        <f t="array" ref="C33">_xlfn.LET(_xlpm.DI_town, _xlfn.XLOOKUP(A33, [2]!DOT_Projects[[#All],[Engineering Number]], [2]!DOT_Projects[[#All],[Town]], ""), _xlpm.DI_tm_town, _xlfn.XLOOKUP(A33, [2]!Table7[[#All],[Eng Number]], [2]!Table7[[#All],[Town]], ""), _xlpm.TR_town, _xlfn.XLOOKUP(A33, [1]!CRA_Projects31213[[#All],[Engineering Number]], [1]!CRA_Projects31213[[#All],[Town]]), _xlpm.TR_tm_town, _xlfn.XLOOKUP(A33, [1]!CRA_Projects312132[[#All],[Engineering Number]], [1]!CRA_Projects312132[[#All],[Town]]),_xlfn.SWITCH($J33, 1, _xlpm.DI_town, 2, _xlpm.DI_tm_town, 3, _xlpm.TR_town, 4, _xlpm.TR_tm_town, "Number not Found"))</f>
        <v>#REF!</v>
      </c>
      <c r="D33" s="197" t="str" cm="1">
        <f t="array" ref="D33">_xlfn.LET(_xlpm.DI_date, _xlfn.XLOOKUP(A33, [2]!DOT_Projects[[#All],[Engineering Number]], [2]!DOT_Projects[[#All],[Engineering Approved Design Date]]), _xlpm.DI_tm_date, _xlfn.XLOOKUP(A33, [2]!Table7[[#All],[Eng Number]], [2]!Table7[[#All],[Target
Release Date]]), _xlpm.TR_date, _xlfn.XLOOKUP(A33, [1]!CRA_Projects31213[[#All],[Engineering Number]], [1]!CRA_Projects31213[[#All],[Engineering Approved Design Date]]), _xlpm.TR_tm_date, _xlfn.XLOOKUP(A33, [1]!CRA_Projects312132[[#All],[Engineering Number]], [1]!CRA_Projects312132[[#All],[Engineering Approved Design Date]]), _xlpm.date_lookup, _xlfn.SWITCH($J33, 1, _xlpm.DI_date, 2, _xlpm.DI_tm_date, 3, _xlpm.TR_date, 4, _xlpm.TR_tm_date, "Number not Found"), IFERROR(IF(DAY(_xlpm.date_lookup)&lt;=15, DATE(YEAR(_xlpm.date_lookup), MONTH(_xlpm.date_lookup), 1), DATE(YEAR(_xlpm.date_lookup), MONTH(_xlpm.date_lookup)+1, 1)), "Number not Found"))</f>
        <v>Number not Found</v>
      </c>
      <c r="E33" s="175">
        <v>625000</v>
      </c>
      <c r="F33" s="194">
        <f>E33*0.1</f>
        <v>62500</v>
      </c>
      <c r="G33" s="194">
        <v>0</v>
      </c>
      <c r="H33" s="194">
        <f t="shared" si="0"/>
        <v>62500</v>
      </c>
      <c r="I33" s="98"/>
      <c r="J33">
        <f>_xlfn.LET(_xlpm.is_DI_dot, IF(IFERROR(MATCH(A33,'Engineering Numbers Ref'!A:A, 0),0)&gt;0, 1, 0), _xlpm.is_DI_tm, IF(IFERROR(MATCH(A33,'Engineering Numbers Ref'!B:B, 0),0)&gt;0, 2, 0), _xlpm.is_TR_dot, IF(IFERROR(MATCH(A33,'Engineering Numbers Ref'!C:C, 0),0)&gt;0,3,0), _xlpm.is_TR_tm, IF(IFERROR(MATCH(A33,'Engineering Numbers Ref'!D:D, 0),0)&gt;0,4,0), _xlpm.is_DI_dot+_xlpm.is_DI_tm+_xlpm.is_TR_dot+_xlpm.is_TR_tm)</f>
        <v>3</v>
      </c>
    </row>
    <row r="34" spans="1:23" hidden="1" x14ac:dyDescent="0.25">
      <c r="A34"/>
      <c r="G34" s="194"/>
      <c r="L34" s="255" t="s">
        <v>422</v>
      </c>
      <c r="M34" s="256"/>
      <c r="N34" s="257"/>
      <c r="P34" s="255" t="s">
        <v>423</v>
      </c>
      <c r="Q34" s="256"/>
      <c r="R34" s="257"/>
    </row>
    <row r="35" spans="1:23" ht="30" hidden="1" x14ac:dyDescent="0.25">
      <c r="A35"/>
      <c r="L35" s="223" t="s">
        <v>215</v>
      </c>
      <c r="M35" s="133" t="s">
        <v>5</v>
      </c>
      <c r="N35" s="224" t="s">
        <v>216</v>
      </c>
      <c r="P35" s="216" t="s">
        <v>215</v>
      </c>
      <c r="Q35" t="s">
        <v>5</v>
      </c>
      <c r="R35" s="217" t="s">
        <v>216</v>
      </c>
    </row>
    <row r="36" spans="1:23" hidden="1" x14ac:dyDescent="0.25">
      <c r="A36"/>
      <c r="L36" s="218">
        <v>45870</v>
      </c>
      <c r="M36" s="34">
        <f>SUMIF(D:D,"8/1/2025",F:F)</f>
        <v>659525</v>
      </c>
      <c r="N36" s="219">
        <f>SUMIF(D:D,"8/1/2025",H:H)</f>
        <v>384525</v>
      </c>
      <c r="P36" s="218">
        <v>45870</v>
      </c>
      <c r="Q36" s="34">
        <v>17666</v>
      </c>
      <c r="R36" s="219">
        <v>17666</v>
      </c>
    </row>
    <row r="37" spans="1:23" hidden="1" x14ac:dyDescent="0.25">
      <c r="A37"/>
      <c r="L37" s="225">
        <v>45901</v>
      </c>
      <c r="M37" s="34">
        <f>SUMIF(D:D,"9/1/2025",F:F)</f>
        <v>61980</v>
      </c>
      <c r="N37" s="219">
        <f>SUMIF(D:D,"9/1/2025",H:H)</f>
        <v>61980</v>
      </c>
      <c r="P37" s="218">
        <v>45901</v>
      </c>
      <c r="Q37" s="34">
        <v>112563</v>
      </c>
      <c r="R37" s="219">
        <v>112563</v>
      </c>
    </row>
    <row r="38" spans="1:23" hidden="1" x14ac:dyDescent="0.25">
      <c r="A38"/>
      <c r="L38" s="225">
        <v>45931</v>
      </c>
      <c r="M38" s="34">
        <f>SUMIF(D:D,"10/1/2025",F:F)</f>
        <v>57500</v>
      </c>
      <c r="N38" s="219">
        <f>SUMIF(D:D,"10/1/2025",H:H)</f>
        <v>57500</v>
      </c>
      <c r="P38" s="218">
        <v>45931</v>
      </c>
      <c r="Q38" s="34">
        <v>869206</v>
      </c>
      <c r="R38" s="219">
        <v>722806</v>
      </c>
    </row>
    <row r="39" spans="1:23" ht="15.75" thickBot="1" x14ac:dyDescent="0.3">
      <c r="A39"/>
      <c r="L39" s="218">
        <v>45962</v>
      </c>
      <c r="M39" s="34">
        <f>SUMIF(D:D,"11/1/2025",F:F)</f>
        <v>1161000</v>
      </c>
      <c r="N39" s="219">
        <f>SUMIF(D:D,"11/1/2025",H:H)</f>
        <v>1014600</v>
      </c>
      <c r="P39" s="218">
        <v>45962</v>
      </c>
      <c r="Q39" s="34">
        <v>297841</v>
      </c>
      <c r="R39" s="219">
        <v>297841</v>
      </c>
    </row>
    <row r="40" spans="1:23" ht="15.75" thickBot="1" x14ac:dyDescent="0.3">
      <c r="A40"/>
      <c r="L40" s="220">
        <v>45992</v>
      </c>
      <c r="M40" s="221">
        <f>SUMIF(D:D,"12/1/2025",F:F)</f>
        <v>220000</v>
      </c>
      <c r="N40" s="222">
        <f>SUMIF(D:D,"12/1/2025",H:H)</f>
        <v>220000</v>
      </c>
      <c r="P40" s="220">
        <v>45992</v>
      </c>
      <c r="Q40" s="221">
        <v>233900</v>
      </c>
      <c r="R40" s="222">
        <v>233900</v>
      </c>
      <c r="U40" s="255" t="s">
        <v>424</v>
      </c>
      <c r="V40" s="257"/>
    </row>
    <row r="41" spans="1:23" x14ac:dyDescent="0.25">
      <c r="A41"/>
      <c r="U41" s="216"/>
      <c r="V41" s="217"/>
    </row>
    <row r="42" spans="1:23" ht="15.75" thickBot="1" x14ac:dyDescent="0.3">
      <c r="A42"/>
      <c r="M42" s="34">
        <f>SUM(M36:M40)</f>
        <v>2160005</v>
      </c>
      <c r="N42" s="34">
        <f>SUM(N36:N40)</f>
        <v>1738605</v>
      </c>
      <c r="Q42" s="34">
        <f>SUM(Q36:Q40)</f>
        <v>1531176</v>
      </c>
      <c r="R42" s="34">
        <f>SUM(R36:R40)</f>
        <v>1384776</v>
      </c>
      <c r="U42" s="226">
        <f>M42-Q42</f>
        <v>628829</v>
      </c>
      <c r="V42" s="222">
        <f>N42-R42</f>
        <v>353829</v>
      </c>
    </row>
    <row r="43" spans="1:23" x14ac:dyDescent="0.25">
      <c r="A43" s="132"/>
      <c r="B43" s="133"/>
      <c r="C43" s="133"/>
      <c r="D43" s="134"/>
    </row>
    <row r="44" spans="1:23" x14ac:dyDescent="0.25">
      <c r="A44" s="135"/>
      <c r="B44" s="34"/>
      <c r="C44" s="34"/>
      <c r="D44" s="34"/>
      <c r="U44" t="s">
        <v>425</v>
      </c>
    </row>
    <row r="45" spans="1:23" x14ac:dyDescent="0.25">
      <c r="A45" s="135"/>
      <c r="B45" s="34"/>
      <c r="C45" s="34"/>
      <c r="D45" s="34"/>
      <c r="T45" t="s">
        <v>426</v>
      </c>
      <c r="U45" t="s">
        <v>427</v>
      </c>
      <c r="V45" s="179">
        <v>50000</v>
      </c>
      <c r="W45" t="s">
        <v>250</v>
      </c>
    </row>
    <row r="46" spans="1:23" x14ac:dyDescent="0.25">
      <c r="A46" s="135"/>
      <c r="B46" s="34"/>
      <c r="C46" s="34"/>
      <c r="D46" s="34"/>
      <c r="T46" t="s">
        <v>426</v>
      </c>
      <c r="U46" s="227" t="s">
        <v>428</v>
      </c>
      <c r="V46" s="179">
        <v>15000</v>
      </c>
    </row>
    <row r="47" spans="1:23" x14ac:dyDescent="0.25">
      <c r="A47" s="135"/>
      <c r="B47" s="34"/>
      <c r="C47" s="34"/>
      <c r="D47" s="34"/>
      <c r="T47" t="s">
        <v>429</v>
      </c>
      <c r="U47" t="s">
        <v>430</v>
      </c>
      <c r="V47" s="179">
        <v>-12500</v>
      </c>
    </row>
    <row r="48" spans="1:23" x14ac:dyDescent="0.25">
      <c r="A48" s="146"/>
      <c r="B48" s="34"/>
      <c r="C48" s="34"/>
      <c r="D48" s="34"/>
      <c r="T48" t="s">
        <v>426</v>
      </c>
      <c r="U48" s="228">
        <v>8750</v>
      </c>
      <c r="V48" s="179">
        <v>8750</v>
      </c>
    </row>
    <row r="49" spans="1:23" x14ac:dyDescent="0.25">
      <c r="A49" s="146"/>
      <c r="B49" s="34"/>
      <c r="C49" s="34"/>
      <c r="D49" s="34"/>
      <c r="T49" t="s">
        <v>426</v>
      </c>
      <c r="U49" t="s">
        <v>431</v>
      </c>
      <c r="V49" s="179">
        <v>25000</v>
      </c>
    </row>
    <row r="50" spans="1:23" x14ac:dyDescent="0.25">
      <c r="T50" t="s">
        <v>429</v>
      </c>
      <c r="U50" t="s">
        <v>432</v>
      </c>
      <c r="V50" s="179">
        <v>-5000</v>
      </c>
    </row>
    <row r="51" spans="1:23" x14ac:dyDescent="0.25">
      <c r="T51" t="s">
        <v>426</v>
      </c>
      <c r="U51" t="s">
        <v>433</v>
      </c>
      <c r="V51" s="179">
        <v>45000</v>
      </c>
      <c r="W51" t="s">
        <v>434</v>
      </c>
    </row>
    <row r="52" spans="1:23" x14ac:dyDescent="0.25">
      <c r="T52" t="s">
        <v>429</v>
      </c>
      <c r="U52" t="s">
        <v>428</v>
      </c>
      <c r="V52" s="179">
        <v>-15000</v>
      </c>
    </row>
    <row r="53" spans="1:23" x14ac:dyDescent="0.25">
      <c r="T53" t="s">
        <v>435</v>
      </c>
      <c r="U53" s="229">
        <v>7800</v>
      </c>
      <c r="V53" s="179">
        <v>7800</v>
      </c>
    </row>
    <row r="54" spans="1:23" x14ac:dyDescent="0.25">
      <c r="T54" t="s">
        <v>426</v>
      </c>
      <c r="U54" t="s">
        <v>436</v>
      </c>
      <c r="V54" s="179">
        <v>40000</v>
      </c>
      <c r="W54" t="s">
        <v>437</v>
      </c>
    </row>
    <row r="55" spans="1:23" x14ac:dyDescent="0.25">
      <c r="V55" s="179">
        <v>35000</v>
      </c>
      <c r="W55" t="s">
        <v>438</v>
      </c>
    </row>
    <row r="56" spans="1:23" x14ac:dyDescent="0.25">
      <c r="V56" s="179">
        <f>SUM(V45:V55)</f>
        <v>194050</v>
      </c>
    </row>
  </sheetData>
  <autoFilter ref="A1:J38" xr:uid="{87267334-FB0F-4B5C-9926-8B490E0A53C3}">
    <filterColumn colId="1">
      <filters>
        <filter val="Matt Hopkins"/>
        <filter val="Matt Hopkins / Nick Watt"/>
      </filters>
    </filterColumn>
    <sortState xmlns:xlrd2="http://schemas.microsoft.com/office/spreadsheetml/2017/richdata2" ref="A2:J38">
      <sortCondition ref="D1:D38"/>
    </sortState>
  </autoFilter>
  <mergeCells count="3">
    <mergeCell ref="L34:N34"/>
    <mergeCell ref="P34:R34"/>
    <mergeCell ref="U40:V40"/>
  </mergeCells>
  <conditionalFormatting sqref="B2:I33 G34">
    <cfRule type="expression" dxfId="3" priority="1">
      <formula>_xlfn.ISFORMULA(B2)</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725FA-4B7F-4244-AE1A-B1684A07863B}">
  <sheetPr>
    <tabColor theme="0" tint="-0.499984740745262"/>
  </sheetPr>
  <dimension ref="A1:R60"/>
  <sheetViews>
    <sheetView tabSelected="1" workbookViewId="0">
      <selection activeCell="I1" sqref="I1"/>
    </sheetView>
  </sheetViews>
  <sheetFormatPr defaultRowHeight="15" x14ac:dyDescent="0.25"/>
  <cols>
    <col min="1" max="1" width="18.140625" style="32" customWidth="1"/>
    <col min="2" max="3" width="20" customWidth="1"/>
    <col min="4" max="4" width="21" customWidth="1"/>
    <col min="5" max="5" width="16.28515625" customWidth="1"/>
    <col min="6" max="6" width="18.28515625" bestFit="1" customWidth="1"/>
    <col min="7" max="8" width="17.85546875" customWidth="1"/>
    <col min="9" max="9" width="44.140625" customWidth="1"/>
    <col min="10" max="10" width="24.140625" hidden="1" customWidth="1"/>
    <col min="12" max="12" width="9.5703125" bestFit="1" customWidth="1"/>
    <col min="13" max="13" width="15.140625" bestFit="1" customWidth="1"/>
    <col min="14" max="14" width="19" bestFit="1" customWidth="1"/>
    <col min="16" max="16" width="14.85546875" bestFit="1" customWidth="1"/>
  </cols>
  <sheetData>
    <row r="1" spans="1:18" ht="30" x14ac:dyDescent="0.25">
      <c r="A1" s="162" t="s">
        <v>0</v>
      </c>
      <c r="B1" s="163" t="s">
        <v>1</v>
      </c>
      <c r="C1" s="163" t="s">
        <v>2</v>
      </c>
      <c r="D1" s="164" t="s">
        <v>54</v>
      </c>
      <c r="E1" s="165" t="s">
        <v>4</v>
      </c>
      <c r="F1" s="163" t="s">
        <v>5</v>
      </c>
      <c r="G1" s="163" t="s">
        <v>186</v>
      </c>
      <c r="H1" s="163" t="s">
        <v>187</v>
      </c>
      <c r="I1" s="166" t="s">
        <v>230</v>
      </c>
      <c r="J1" s="2" t="s">
        <v>356</v>
      </c>
    </row>
    <row r="2" spans="1:18" ht="15" customHeight="1" x14ac:dyDescent="0.25">
      <c r="A2" s="169" t="s">
        <v>231</v>
      </c>
      <c r="B2" s="76" t="str" cm="1">
        <f t="array" ref="B2">_xlfn.LET(_xlpm.DI_name, _xlfn.XLOOKUP(A2, [2]!DOT_Projects[[#All],[Engineering Number]], [2]!DOT_Projects[[#All],[Designer Name]], ""), _xlpm.DI_tm_name, _xlfn.XLOOKUP(A2, [2]!Table7[[#All],[Eng Number]], [2]!Table7[[#All],[Designer Name]], ""), _xlpm.TR_name, _xlfn.XLOOKUP(A2, [1]!CRA_Projects31213[[#All],[Engineering Number]], [1]!CRA_Projects31213[[#All],[KH Project Lead]]), _xlpm.TR_tm_name, _xlfn.XLOOKUP(A2, [1]!CRA_Projects312132[[#All],[Engineering Number]], [1]!CRA_Projects312132[[#All],[Designer Supervisor]]), _xlfn.SWITCH($J2, 1, _xlpm.DI_name, 2, _xlpm.DI_tm_name, 3, _xlpm.TR_name, 4, _xlpm.TR_tm_name, "Number not Found"))</f>
        <v>Caroline Kulach</v>
      </c>
      <c r="C2" s="78" t="str" cm="1">
        <f t="array" ref="C2">_xlfn.LET(_xlpm.DI_town, _xlfn.XLOOKUP(A2, [2]!DOT_Projects[[#All],[Engineering Number]], [2]!DOT_Projects[[#All],[Town]], ""), _xlpm.DI_tm_town, _xlfn.XLOOKUP(A2, [2]!Table7[[#All],[Eng Number]], [2]!Table7[[#All],[Town]], ""), _xlpm.TR_town, _xlfn.XLOOKUP(A2, [1]!CRA_Projects31213[[#All],[Engineering Number]], [1]!CRA_Projects31213[[#All],[Town]]), _xlpm.TR_tm_town, _xlfn.XLOOKUP(A2, [1]!CRA_Projects312132[[#All],[Engineering Number]], [1]!CRA_Projects312132[[#All],[Town]]),_xlfn.SWITCH($J2, 1, _xlpm.DI_town, 2, _xlpm.DI_tm_town, 3, _xlpm.TR_town, 4, _xlpm.TR_tm_town, "Number not Found"))</f>
        <v>NILES</v>
      </c>
      <c r="D2" s="96" cm="1">
        <f t="array" ref="D2">_xlfn.LET(_xlpm.DI_date, _xlfn.XLOOKUP(A2, [2]!DOT_Projects[[#All],[Engineering Number]], [2]!DOT_Projects[[#All],[Engineering Approved Design Date]]), _xlpm.DI_tm_date, _xlfn.XLOOKUP(A2, [2]!Table7[[#All],[Eng Number]], [2]!Table7[[#All],[Target
Release Date]]), _xlpm.TR_date, _xlfn.XLOOKUP(A2, [1]!CRA_Projects31213[[#All],[Engineering Number]], [1]!CRA_Projects31213[[#All],[Engineering Approved Design Date]]), _xlpm.TR_tm_date, _xlfn.XLOOKUP(A2, [1]!CRA_Projects312132[[#All],[Engineering Number]], [1]!CRA_Projects312132[[#All],[Engineering Approved Design Date]]), _xlpm.date_lookup, _xlfn.SWITCH($J2, 1, _xlpm.DI_date, 2, _xlpm.DI_tm_date, 3, _xlpm.TR_date, 4, _xlpm.TR_tm_date, "Number not Found"), IFERROR(IF(DAY(_xlpm.date_lookup)&lt;=15, DATE(YEAR(_xlpm.date_lookup), MONTH(_xlpm.date_lookup), 1), DATE(YEAR(_xlpm.date_lookup), MONTH(_xlpm.date_lookup)+1, 1)), "Number not Found"))</f>
        <v>45962</v>
      </c>
      <c r="E2" s="187">
        <v>100000</v>
      </c>
      <c r="F2" s="127">
        <f t="shared" ref="F2:F9" si="0">E2*0.1</f>
        <v>10000</v>
      </c>
      <c r="G2" s="122">
        <v>0</v>
      </c>
      <c r="H2" s="122">
        <f t="shared" ref="H2:H9" si="1">F2-G2</f>
        <v>10000</v>
      </c>
      <c r="I2" s="98" t="s">
        <v>445</v>
      </c>
      <c r="J2">
        <f>_xlfn.LET(_xlpm.is_DI_dot, IF(IFERROR(MATCH(A2,'Engineering Numbers Ref'!A:A, 0),0)&gt;0, 1, 0), _xlpm.is_DI_tm, IF(IFERROR(MATCH(A2,'Engineering Numbers Ref'!B:B, 0),0)&gt;0, 2, 0), _xlpm.is_TR_dot, IF(IFERROR(MATCH(A2,'Engineering Numbers Ref'!C:C, 0),0)&gt;0,3,0), _xlpm.is_TR_tm, IF(IFERROR(MATCH(A2,'Engineering Numbers Ref'!D:D, 0),0)&gt;0,4,0), _xlpm.is_DI_dot+_xlpm.is_DI_tm+_xlpm.is_TR_dot+_xlpm.is_TR_tm)</f>
        <v>1</v>
      </c>
      <c r="K2" s="9"/>
      <c r="L2" s="74"/>
      <c r="M2" s="67"/>
      <c r="N2" s="4"/>
      <c r="O2" s="5"/>
      <c r="P2" s="6"/>
      <c r="Q2" s="6"/>
      <c r="R2" s="6"/>
    </row>
    <row r="3" spans="1:18" ht="15" customHeight="1" x14ac:dyDescent="0.25">
      <c r="A3" s="247" t="s">
        <v>408</v>
      </c>
      <c r="B3" s="76" t="str" cm="1">
        <f t="array" ref="B3">_xlfn.LET(_xlpm.DI_name, _xlfn.XLOOKUP(A3, [2]!DOT_Projects[[#All],[Engineering Number]], [2]!DOT_Projects[[#All],[Designer Name]], ""), _xlpm.DI_tm_name, _xlfn.XLOOKUP(A3, [2]!Table7[[#All],[Eng Number]], [2]!Table7[[#All],[Designer Name]], ""), _xlpm.TR_name, _xlfn.XLOOKUP(A3, [1]!CRA_Projects31213[[#All],[Engineering Number]], [1]!CRA_Projects31213[[#All],[KH Project Lead]]), _xlpm.TR_tm_name, _xlfn.XLOOKUP(A3, [1]!CRA_Projects312132[[#All],[Engineering Number]], [1]!CRA_Projects312132[[#All],[Designer Supervisor]]), _xlfn.SWITCH($J3, 1, _xlpm.DI_name, 2, _xlpm.DI_tm_name, 3, _xlpm.TR_name, 4, _xlpm.TR_tm_name, "Number not Found"))</f>
        <v>Randy Castellon</v>
      </c>
      <c r="C3" s="78" t="str" cm="1">
        <f t="array" ref="C3">_xlfn.LET(_xlpm.DI_town, _xlfn.XLOOKUP(A3, [2]!DOT_Projects[[#All],[Engineering Number]], [2]!DOT_Projects[[#All],[Town]], ""), _xlpm.DI_tm_town, _xlfn.XLOOKUP(A3, [2]!Table7[[#All],[Eng Number]], [2]!Table7[[#All],[Town]], ""), _xlpm.TR_town, _xlfn.XLOOKUP(A3, [1]!CRA_Projects31213[[#All],[Engineering Number]], [1]!CRA_Projects31213[[#All],[Town]]), _xlpm.TR_tm_town, _xlfn.XLOOKUP(A3, [1]!CRA_Projects312132[[#All],[Engineering Number]], [1]!CRA_Projects312132[[#All],[Town]]),_xlfn.SWITCH($J3, 1, _xlpm.DI_town, 2, _xlpm.DI_tm_town, 3, _xlpm.TR_town, 4, _xlpm.TR_tm_town, "Number not Found"))</f>
        <v>LAGRANGE PARK</v>
      </c>
      <c r="D3" s="96" cm="1">
        <f t="array" ref="D3">_xlfn.LET(_xlpm.DI_date, _xlfn.XLOOKUP(A3, [2]!DOT_Projects[[#All],[Engineering Number]], [2]!DOT_Projects[[#All],[Engineering Approved Design Date]]), _xlpm.DI_tm_date, _xlfn.XLOOKUP(A3, [2]!Table7[[#All],[Eng Number]], [2]!Table7[[#All],[Target
Release Date]]), _xlpm.TR_date, _xlfn.XLOOKUP(A3, [1]!CRA_Projects31213[[#All],[Engineering Number]], [1]!CRA_Projects31213[[#All],[Engineering Approved Design Date]]), _xlpm.TR_tm_date, _xlfn.XLOOKUP(A3, [1]!CRA_Projects312132[[#All],[Engineering Number]], [1]!CRA_Projects312132[[#All],[Engineering Approved Design Date]]), _xlpm.date_lookup, _xlfn.SWITCH($J3, 1, _xlpm.DI_date, 2, _xlpm.DI_tm_date, 3, _xlpm.TR_date, 4, _xlpm.TR_tm_date, "Number not Found"), IFERROR(IF(DAY(_xlpm.date_lookup)&lt;=15, DATE(YEAR(_xlpm.date_lookup), MONTH(_xlpm.date_lookup), 1), DATE(YEAR(_xlpm.date_lookup), MONTH(_xlpm.date_lookup)+1, 1)), "Number not Found"))</f>
        <v>45962</v>
      </c>
      <c r="E3" s="187">
        <v>300000</v>
      </c>
      <c r="F3" s="127">
        <f t="shared" si="0"/>
        <v>30000</v>
      </c>
      <c r="G3" s="122">
        <v>0</v>
      </c>
      <c r="H3" s="122">
        <f t="shared" si="1"/>
        <v>30000</v>
      </c>
      <c r="I3" s="98"/>
      <c r="J3">
        <f>_xlfn.LET(_xlpm.is_DI_dot, IF(IFERROR(MATCH(A3,'Engineering Numbers Ref'!A:A, 0),0)&gt;0, 1, 0), _xlpm.is_DI_tm, IF(IFERROR(MATCH(A3,'Engineering Numbers Ref'!B:B, 0),0)&gt;0, 2, 0), _xlpm.is_TR_dot, IF(IFERROR(MATCH(A3,'Engineering Numbers Ref'!C:C, 0),0)&gt;0,3,0), _xlpm.is_TR_tm, IF(IFERROR(MATCH(A3,'Engineering Numbers Ref'!D:D, 0),0)&gt;0,4,0), _xlpm.is_DI_dot+_xlpm.is_DI_tm+_xlpm.is_TR_dot+_xlpm.is_TR_tm)</f>
        <v>1</v>
      </c>
      <c r="K3" s="38"/>
      <c r="L3" s="38"/>
      <c r="M3" s="77"/>
      <c r="N3" s="4"/>
      <c r="O3" s="5"/>
      <c r="P3" s="6"/>
      <c r="Q3" s="6"/>
      <c r="R3" s="6"/>
    </row>
    <row r="4" spans="1:18" ht="15" customHeight="1" x14ac:dyDescent="0.25">
      <c r="A4" s="169" t="s">
        <v>308</v>
      </c>
      <c r="B4" s="76" t="str" cm="1">
        <f t="array" ref="B4">_xlfn.LET(_xlpm.DI_name, _xlfn.XLOOKUP(A4, [2]!DOT_Projects[[#All],[Engineering Number]], [2]!DOT_Projects[[#All],[Designer Name]], ""), _xlpm.DI_tm_name, _xlfn.XLOOKUP(A4, [2]!Table7[[#All],[Eng Number]], [2]!Table7[[#All],[Designer Name]], ""), _xlpm.TR_name, _xlfn.XLOOKUP(A4, [1]!CRA_Projects31213[[#All],[Engineering Number]], [1]!CRA_Projects31213[[#All],[KH Project Lead]]), _xlpm.TR_tm_name, _xlfn.XLOOKUP(A4, [1]!CRA_Projects312132[[#All],[Engineering Number]], [1]!CRA_Projects312132[[#All],[Designer Supervisor]]), _xlfn.SWITCH($J4, 1, _xlpm.DI_name, 2, _xlpm.DI_tm_name, 3, _xlpm.TR_name, 4, _xlpm.TR_tm_name, "Number not Found"))</f>
        <v>Matt Hopkins</v>
      </c>
      <c r="C4" s="78" t="str" cm="1">
        <f t="array" ref="C4">_xlfn.LET(_xlpm.DI_town, _xlfn.XLOOKUP(A4, [2]!DOT_Projects[[#All],[Engineering Number]], [2]!DOT_Projects[[#All],[Town]], ""), _xlpm.DI_tm_town, _xlfn.XLOOKUP(A4, [2]!Table7[[#All],[Eng Number]], [2]!Table7[[#All],[Town]], ""), _xlpm.TR_town, _xlfn.XLOOKUP(A4, [1]!CRA_Projects31213[[#All],[Engineering Number]], [1]!CRA_Projects31213[[#All],[Town]]), _xlpm.TR_tm_town, _xlfn.XLOOKUP(A4, [1]!CRA_Projects312132[[#All],[Engineering Number]], [1]!CRA_Projects312132[[#All],[Town]]),_xlfn.SWITCH($J4, 1, _xlpm.DI_town, 2, _xlpm.DI_tm_town, 3, _xlpm.TR_town, 4, _xlpm.TR_tm_town, "Number not Found"))</f>
        <v>BERWYN</v>
      </c>
      <c r="D4" s="96" cm="1">
        <f t="array" ref="D4">_xlfn.LET(_xlpm.DI_date, _xlfn.XLOOKUP(A4, [2]!DOT_Projects[[#All],[Engineering Number]], [2]!DOT_Projects[[#All],[Engineering Approved Design Date]]), _xlpm.DI_tm_date, _xlfn.XLOOKUP(A4, [2]!Table7[[#All],[Eng Number]], [2]!Table7[[#All],[Target
Release Date]]), _xlpm.TR_date, _xlfn.XLOOKUP(A4, [1]!CRA_Projects31213[[#All],[Engineering Number]], [1]!CRA_Projects31213[[#All],[Engineering Approved Design Date]]), _xlpm.TR_tm_date, _xlfn.XLOOKUP(A4, [1]!CRA_Projects312132[[#All],[Engineering Number]], [1]!CRA_Projects312132[[#All],[Engineering Approved Design Date]]), _xlpm.date_lookup, _xlfn.SWITCH($J4, 1, _xlpm.DI_date, 2, _xlpm.DI_tm_date, 3, _xlpm.TR_date, 4, _xlpm.TR_tm_date, "Number not Found"), IFERROR(IF(DAY(_xlpm.date_lookup)&lt;=15, DATE(YEAR(_xlpm.date_lookup), MONTH(_xlpm.date_lookup), 1), DATE(YEAR(_xlpm.date_lookup), MONTH(_xlpm.date_lookup)+1, 1)), "Number not Found"))</f>
        <v>45962</v>
      </c>
      <c r="E4" s="187">
        <v>150000</v>
      </c>
      <c r="F4" s="127">
        <f t="shared" si="0"/>
        <v>15000</v>
      </c>
      <c r="G4" s="122">
        <v>0</v>
      </c>
      <c r="H4" s="122">
        <f t="shared" si="1"/>
        <v>15000</v>
      </c>
      <c r="I4" s="147"/>
      <c r="J4">
        <f>_xlfn.LET(_xlpm.is_DI_dot, IF(IFERROR(MATCH(A4,'Engineering Numbers Ref'!A:A, 0),0)&gt;0, 1, 0), _xlpm.is_DI_tm, IF(IFERROR(MATCH(A4,'Engineering Numbers Ref'!B:B, 0),0)&gt;0, 2, 0), _xlpm.is_TR_dot, IF(IFERROR(MATCH(A4,'Engineering Numbers Ref'!C:C, 0),0)&gt;0,3,0), _xlpm.is_TR_tm, IF(IFERROR(MATCH(A4,'Engineering Numbers Ref'!D:D, 0),0)&gt;0,4,0), _xlpm.is_DI_dot+_xlpm.is_DI_tm+_xlpm.is_TR_dot+_xlpm.is_TR_tm)</f>
        <v>1</v>
      </c>
      <c r="K4" s="9"/>
      <c r="L4" s="9"/>
      <c r="M4" s="67"/>
      <c r="N4" s="4"/>
      <c r="O4" s="5"/>
      <c r="P4" s="6"/>
      <c r="Q4" s="6"/>
      <c r="R4" s="6"/>
    </row>
    <row r="5" spans="1:18" ht="15" customHeight="1" x14ac:dyDescent="0.25">
      <c r="A5" s="247" t="s">
        <v>406</v>
      </c>
      <c r="B5" s="76" t="str" cm="1">
        <f t="array" ref="B5">_xlfn.LET(_xlpm.DI_name, _xlfn.XLOOKUP(A5, [2]!DOT_Projects[[#All],[Engineering Number]], [2]!DOT_Projects[[#All],[Designer Name]], ""), _xlpm.DI_tm_name, _xlfn.XLOOKUP(A5, [2]!Table7[[#All],[Eng Number]], [2]!Table7[[#All],[Designer Name]], ""), _xlpm.TR_name, _xlfn.XLOOKUP(A5, [1]!CRA_Projects31213[[#All],[Engineering Number]], [1]!CRA_Projects31213[[#All],[KH Project Lead]]), _xlpm.TR_tm_name, _xlfn.XLOOKUP(A5, [1]!CRA_Projects312132[[#All],[Engineering Number]], [1]!CRA_Projects312132[[#All],[Designer Supervisor]]), _xlfn.SWITCH($J5, 1, _xlpm.DI_name, 2, _xlpm.DI_tm_name, 3, _xlpm.TR_name, 4, _xlpm.TR_tm_name, "Number not Found"))</f>
        <v>Matt Hopkins</v>
      </c>
      <c r="C5" s="78" t="str" cm="1">
        <f t="array" ref="C5">_xlfn.LET(_xlpm.DI_town, _xlfn.XLOOKUP(A5, [2]!DOT_Projects[[#All],[Engineering Number]], [2]!DOT_Projects[[#All],[Town]], ""), _xlpm.DI_tm_town, _xlfn.XLOOKUP(A5, [2]!Table7[[#All],[Eng Number]], [2]!Table7[[#All],[Town]], ""), _xlpm.TR_town, _xlfn.XLOOKUP(A5, [1]!CRA_Projects31213[[#All],[Engineering Number]], [1]!CRA_Projects31213[[#All],[Town]]), _xlpm.TR_tm_town, _xlfn.XLOOKUP(A5, [1]!CRA_Projects312132[[#All],[Engineering Number]], [1]!CRA_Projects312132[[#All],[Town]]),_xlfn.SWITCH($J5, 1, _xlpm.DI_town, 2, _xlpm.DI_tm_town, 3, _xlpm.TR_town, 4, _xlpm.TR_tm_town, "Number not Found"))</f>
        <v>BENSENVILLE</v>
      </c>
      <c r="D5" s="96" cm="1">
        <f t="array" ref="D5">_xlfn.LET(_xlpm.DI_date, _xlfn.XLOOKUP(A5, [2]!DOT_Projects[[#All],[Engineering Number]], [2]!DOT_Projects[[#All],[Engineering Approved Design Date]]), _xlpm.DI_tm_date, _xlfn.XLOOKUP(A5, [2]!Table7[[#All],[Eng Number]], [2]!Table7[[#All],[Target
Release Date]]), _xlpm.TR_date, _xlfn.XLOOKUP(A5, [1]!CRA_Projects31213[[#All],[Engineering Number]], [1]!CRA_Projects31213[[#All],[Engineering Approved Design Date]]), _xlpm.TR_tm_date, _xlfn.XLOOKUP(A5, [1]!CRA_Projects312132[[#All],[Engineering Number]], [1]!CRA_Projects312132[[#All],[Engineering Approved Design Date]]), _xlpm.date_lookup, _xlfn.SWITCH($J5, 1, _xlpm.DI_date, 2, _xlpm.DI_tm_date, 3, _xlpm.TR_date, 4, _xlpm.TR_tm_date, "Number not Found"), IFERROR(IF(DAY(_xlpm.date_lookup)&lt;=15, DATE(YEAR(_xlpm.date_lookup), MONTH(_xlpm.date_lookup), 1), DATE(YEAR(_xlpm.date_lookup), MONTH(_xlpm.date_lookup)+1, 1)), "Number not Found"))</f>
        <v>46054</v>
      </c>
      <c r="E5" s="187">
        <v>250000</v>
      </c>
      <c r="F5" s="127">
        <f t="shared" si="0"/>
        <v>25000</v>
      </c>
      <c r="G5" s="122">
        <v>0</v>
      </c>
      <c r="H5" s="122">
        <f t="shared" si="1"/>
        <v>25000</v>
      </c>
      <c r="I5" s="98"/>
      <c r="J5">
        <f>_xlfn.LET(_xlpm.is_DI_dot, IF(IFERROR(MATCH(A5,'Engineering Numbers Ref'!A:A, 0),0)&gt;0, 1, 0), _xlpm.is_DI_tm, IF(IFERROR(MATCH(A5,'Engineering Numbers Ref'!B:B, 0),0)&gt;0, 2, 0), _xlpm.is_TR_dot, IF(IFERROR(MATCH(A5,'Engineering Numbers Ref'!C:C, 0),0)&gt;0,3,0), _xlpm.is_TR_tm, IF(IFERROR(MATCH(A5,'Engineering Numbers Ref'!D:D, 0),0)&gt;0,4,0), _xlpm.is_DI_dot+_xlpm.is_DI_tm+_xlpm.is_TR_dot+_xlpm.is_TR_tm)</f>
        <v>1</v>
      </c>
      <c r="K5" s="9"/>
      <c r="L5" s="129"/>
      <c r="M5" s="130"/>
      <c r="N5" s="4"/>
      <c r="O5" s="5"/>
      <c r="P5" s="6"/>
      <c r="Q5" s="6"/>
      <c r="R5" s="6"/>
    </row>
    <row r="6" spans="1:18" ht="15" customHeight="1" x14ac:dyDescent="0.25">
      <c r="A6" s="169" t="s">
        <v>416</v>
      </c>
      <c r="B6" s="76" t="str" cm="1">
        <f t="array" ref="B6">_xlfn.LET(_xlpm.DI_name, _xlfn.XLOOKUP(A6, [2]!DOT_Projects[[#All],[Engineering Number]], [2]!DOT_Projects[[#All],[Designer Name]], ""), _xlpm.DI_tm_name, _xlfn.XLOOKUP(A6, [2]!Table7[[#All],[Eng Number]], [2]!Table7[[#All],[Designer Name]], ""), _xlpm.TR_name, _xlfn.XLOOKUP(A6, [1]!CRA_Projects31213[[#All],[Engineering Number]], [1]!CRA_Projects31213[[#All],[KH Project Lead]]), _xlpm.TR_tm_name, _xlfn.XLOOKUP(A6, [1]!CRA_Projects312132[[#All],[Engineering Number]], [1]!CRA_Projects312132[[#All],[Designer Supervisor]]), _xlfn.SWITCH($J6, 1, _xlpm.DI_name, 2, _xlpm.DI_tm_name, 3, _xlpm.TR_name, 4, _xlpm.TR_tm_name, "Number not Found"))</f>
        <v>Randy Castellon</v>
      </c>
      <c r="C6" s="78" t="str" cm="1">
        <f t="array" ref="C6">_xlfn.LET(_xlpm.DI_town, _xlfn.XLOOKUP(A6, [2]!DOT_Projects[[#All],[Engineering Number]], [2]!DOT_Projects[[#All],[Town]], ""), _xlpm.DI_tm_town, _xlfn.XLOOKUP(A6, [2]!Table7[[#All],[Eng Number]], [2]!Table7[[#All],[Town]], ""), _xlpm.TR_town, _xlfn.XLOOKUP(A6, [1]!CRA_Projects31213[[#All],[Engineering Number]], [1]!CRA_Projects31213[[#All],[Town]]), _xlpm.TR_tm_town, _xlfn.XLOOKUP(A6, [1]!CRA_Projects312132[[#All],[Engineering Number]], [1]!CRA_Projects312132[[#All],[Town]]),_xlfn.SWITCH($J6, 1, _xlpm.DI_town, 2, _xlpm.DI_tm_town, 3, _xlpm.TR_town, 4, _xlpm.TR_tm_town, "Number not Found"))</f>
        <v>MUNDELEIN</v>
      </c>
      <c r="D6" s="96" cm="1">
        <f t="array" ref="D6">_xlfn.LET(_xlpm.DI_date, _xlfn.XLOOKUP(A6, [2]!DOT_Projects[[#All],[Engineering Number]], [2]!DOT_Projects[[#All],[Engineering Approved Design Date]]), _xlpm.DI_tm_date, _xlfn.XLOOKUP(A6, [2]!Table7[[#All],[Eng Number]], [2]!Table7[[#All],[Target
Release Date]]), _xlpm.TR_date, _xlfn.XLOOKUP(A6, [1]!CRA_Projects31213[[#All],[Engineering Number]], [1]!CRA_Projects31213[[#All],[Engineering Approved Design Date]]), _xlpm.TR_tm_date, _xlfn.XLOOKUP(A6, [1]!CRA_Projects312132[[#All],[Engineering Number]], [1]!CRA_Projects312132[[#All],[Engineering Approved Design Date]]), _xlpm.date_lookup, _xlfn.SWITCH($J6, 1, _xlpm.DI_date, 2, _xlpm.DI_tm_date, 3, _xlpm.TR_date, 4, _xlpm.TR_tm_date, "Number not Found"), IFERROR(IF(DAY(_xlpm.date_lookup)&lt;=15, DATE(YEAR(_xlpm.date_lookup), MONTH(_xlpm.date_lookup), 1), DATE(YEAR(_xlpm.date_lookup), MONTH(_xlpm.date_lookup)+1, 1)), "Number not Found"))</f>
        <v>45962</v>
      </c>
      <c r="E6" s="175">
        <v>500000</v>
      </c>
      <c r="F6" s="127">
        <f t="shared" si="0"/>
        <v>50000</v>
      </c>
      <c r="G6" s="122">
        <v>0</v>
      </c>
      <c r="H6" s="122">
        <f t="shared" si="1"/>
        <v>50000</v>
      </c>
      <c r="I6" s="98"/>
      <c r="J6">
        <f>_xlfn.LET(_xlpm.is_DI_dot, IF(IFERROR(MATCH(A6,'Engineering Numbers Ref'!A:A, 0),0)&gt;0, 1, 0), _xlpm.is_DI_tm, IF(IFERROR(MATCH(A6,'Engineering Numbers Ref'!B:B, 0),0)&gt;0, 2, 0), _xlpm.is_TR_dot, IF(IFERROR(MATCH(A6,'Engineering Numbers Ref'!C:C, 0),0)&gt;0,3,0), _xlpm.is_TR_tm, IF(IFERROR(MATCH(A6,'Engineering Numbers Ref'!D:D, 0),0)&gt;0,4,0), _xlpm.is_DI_dot+_xlpm.is_DI_tm+_xlpm.is_TR_dot+_xlpm.is_TR_tm)</f>
        <v>1</v>
      </c>
      <c r="K6" s="9"/>
      <c r="L6" s="9"/>
      <c r="M6" s="9"/>
      <c r="N6" s="4"/>
      <c r="O6" s="5"/>
      <c r="P6" s="6"/>
      <c r="Q6" s="6"/>
      <c r="R6" s="6"/>
    </row>
    <row r="7" spans="1:18" ht="15" customHeight="1" x14ac:dyDescent="0.25">
      <c r="A7" s="248" t="s">
        <v>420</v>
      </c>
      <c r="B7" s="76" t="str" cm="1">
        <f t="array" ref="B7">_xlfn.LET(_xlpm.DI_name, _xlfn.XLOOKUP(A7, [2]!DOT_Projects[[#All],[Engineering Number]], [2]!DOT_Projects[[#All],[Designer Name]], ""), _xlpm.DI_tm_name, _xlfn.XLOOKUP(A7, [2]!Table7[[#All],[Eng Number]], [2]!Table7[[#All],[Designer Name]], ""), _xlpm.TR_name, _xlfn.XLOOKUP(A7, [1]!CRA_Projects31213[[#All],[Engineering Number]], [1]!CRA_Projects31213[[#All],[KH Project Lead]]), _xlpm.TR_tm_name, _xlfn.XLOOKUP(A7, [1]!CRA_Projects312132[[#All],[Engineering Number]], [1]!CRA_Projects312132[[#All],[Designer Supervisor]]), _xlfn.SWITCH($J7, 1, _xlpm.DI_name, 2, _xlpm.DI_tm_name, 3, _xlpm.TR_name, 4, _xlpm.TR_tm_name, "Number not Found"))</f>
        <v>Camille Corbi</v>
      </c>
      <c r="C7" s="78" t="str" cm="1">
        <f t="array" ref="C7">_xlfn.LET(_xlpm.DI_town, _xlfn.XLOOKUP(A7, [2]!DOT_Projects[[#All],[Engineering Number]], [2]!DOT_Projects[[#All],[Town]], ""), _xlpm.DI_tm_town, _xlfn.XLOOKUP(A7, [2]!Table7[[#All],[Eng Number]], [2]!Table7[[#All],[Town]], ""), _xlpm.TR_town, _xlfn.XLOOKUP(A7, [1]!CRA_Projects31213[[#All],[Engineering Number]], [1]!CRA_Projects31213[[#All],[Town]]), _xlpm.TR_tm_town, _xlfn.XLOOKUP(A7, [1]!CRA_Projects312132[[#All],[Engineering Number]], [1]!CRA_Projects312132[[#All],[Town]]),_xlfn.SWITCH($J7, 1, _xlpm.DI_town, 2, _xlpm.DI_tm_town, 3, _xlpm.TR_town, 4, _xlpm.TR_tm_town, "Number not Found"))</f>
        <v>WHEELING</v>
      </c>
      <c r="D7" s="96" cm="1">
        <f t="array" ref="D7">_xlfn.LET(_xlpm.DI_date, _xlfn.XLOOKUP(A7, [2]!DOT_Projects[[#All],[Engineering Number]], [2]!DOT_Projects[[#All],[Engineering Approved Design Date]]), _xlpm.DI_tm_date, _xlfn.XLOOKUP(A7, [2]!Table7[[#All],[Eng Number]], [2]!Table7[[#All],[Target
Release Date]]), _xlpm.TR_date, _xlfn.XLOOKUP(A7, [1]!CRA_Projects31213[[#All],[Engineering Number]], [1]!CRA_Projects31213[[#All],[Engineering Approved Design Date]]), _xlpm.TR_tm_date, _xlfn.XLOOKUP(A7, [1]!CRA_Projects312132[[#All],[Engineering Number]], [1]!CRA_Projects312132[[#All],[Engineering Approved Design Date]]), _xlpm.date_lookup, _xlfn.SWITCH($J7, 1, _xlpm.DI_date, 2, _xlpm.DI_tm_date, 3, _xlpm.TR_date, 4, _xlpm.TR_tm_date, "Number not Found"), IFERROR(IF(DAY(_xlpm.date_lookup)&lt;=15, DATE(YEAR(_xlpm.date_lookup), MONTH(_xlpm.date_lookup), 1), DATE(YEAR(_xlpm.date_lookup), MONTH(_xlpm.date_lookup)+1, 1)), "Number not Found"))</f>
        <v>46023</v>
      </c>
      <c r="E7" s="187">
        <v>700000</v>
      </c>
      <c r="F7" s="127">
        <f t="shared" si="0"/>
        <v>70000</v>
      </c>
      <c r="G7" s="122">
        <v>0</v>
      </c>
      <c r="H7" s="122">
        <f t="shared" si="1"/>
        <v>70000</v>
      </c>
      <c r="I7" s="98"/>
      <c r="J7">
        <f>_xlfn.LET(_xlpm.is_DI_dot, IF(IFERROR(MATCH(A7,'Engineering Numbers Ref'!A:A, 0),0)&gt;0, 1, 0), _xlpm.is_DI_tm, IF(IFERROR(MATCH(A7,'Engineering Numbers Ref'!B:B, 0),0)&gt;0, 2, 0), _xlpm.is_TR_dot, IF(IFERROR(MATCH(A7,'Engineering Numbers Ref'!C:C, 0),0)&gt;0,3,0), _xlpm.is_TR_tm, IF(IFERROR(MATCH(A7,'Engineering Numbers Ref'!D:D, 0),0)&gt;0,4,0), _xlpm.is_DI_dot+_xlpm.is_DI_tm+_xlpm.is_TR_dot+_xlpm.is_TR_tm)</f>
        <v>1</v>
      </c>
      <c r="K7" s="9"/>
      <c r="L7" s="9"/>
      <c r="M7" s="67"/>
      <c r="N7" s="4"/>
      <c r="O7" s="5"/>
      <c r="P7" s="6"/>
      <c r="Q7" s="6"/>
      <c r="R7" s="6"/>
    </row>
    <row r="8" spans="1:18" ht="15" customHeight="1" x14ac:dyDescent="0.25">
      <c r="A8" s="253" t="s">
        <v>381</v>
      </c>
      <c r="B8" s="76" t="str" cm="1">
        <f t="array" ref="B8">_xlfn.LET(_xlpm.DI_name, _xlfn.XLOOKUP(A8, [2]!DOT_Projects[[#All],[Engineering Number]], [2]!DOT_Projects[[#All],[Designer Name]], ""), _xlpm.DI_tm_name, _xlfn.XLOOKUP(A8, [2]!Table7[[#All],[Eng Number]], [2]!Table7[[#All],[Designer Name]], ""), _xlpm.TR_name, _xlfn.XLOOKUP(A8, [1]!CRA_Projects31213[[#All],[Engineering Number]], [1]!CRA_Projects31213[[#All],[KH Project Lead]]), _xlpm.TR_tm_name, _xlfn.XLOOKUP(A8, [1]!CRA_Projects312132[[#All],[Engineering Number]], [1]!CRA_Projects312132[[#All],[Designer Supervisor]]), _xlfn.SWITCH($J8, 1, _xlpm.DI_name, 2, _xlpm.DI_tm_name, 3, _xlpm.TR_name, 4, _xlpm.TR_tm_name, "Number not Found"))</f>
        <v>Randy Castellon</v>
      </c>
      <c r="C8" s="78" t="str" cm="1">
        <f t="array" ref="C8">_xlfn.LET(_xlpm.DI_town, _xlfn.XLOOKUP(A8, [2]!DOT_Projects[[#All],[Engineering Number]], [2]!DOT_Projects[[#All],[Town]], ""), _xlpm.DI_tm_town, _xlfn.XLOOKUP(A8, [2]!Table7[[#All],[Eng Number]], [2]!Table7[[#All],[Town]], ""), _xlpm.TR_town, _xlfn.XLOOKUP(A8, [1]!CRA_Projects31213[[#All],[Engineering Number]], [1]!CRA_Projects31213[[#All],[Town]]), _xlpm.TR_tm_town, _xlfn.XLOOKUP(A8, [1]!CRA_Projects312132[[#All],[Engineering Number]], [1]!CRA_Projects312132[[#All],[Town]]),_xlfn.SWITCH($J8, 1, _xlpm.DI_town, 2, _xlpm.DI_tm_town, 3, _xlpm.TR_town, 4, _xlpm.TR_tm_town, "Number not Found"))</f>
        <v>HUNTLEY</v>
      </c>
      <c r="D8" s="96" cm="1">
        <f t="array" ref="D8">_xlfn.LET(_xlpm.DI_date, _xlfn.XLOOKUP(A8, [2]!DOT_Projects[[#All],[Engineering Number]], [2]!DOT_Projects[[#All],[Engineering Approved Design Date]]), _xlpm.DI_tm_date, _xlfn.XLOOKUP(A8, [2]!Table7[[#All],[Eng Number]], [2]!Table7[[#All],[Target
Release Date]]), _xlpm.TR_date, _xlfn.XLOOKUP(A8, [1]!CRA_Projects31213[[#All],[Engineering Number]], [1]!CRA_Projects31213[[#All],[Engineering Approved Design Date]]), _xlpm.TR_tm_date, _xlfn.XLOOKUP(A8, [1]!CRA_Projects312132[[#All],[Engineering Number]], [1]!CRA_Projects312132[[#All],[Engineering Approved Design Date]]), _xlpm.date_lookup, _xlfn.SWITCH($J8, 1, _xlpm.DI_date, 2, _xlpm.DI_tm_date, 3, _xlpm.TR_date, 4, _xlpm.TR_tm_date, "Number not Found"), IFERROR(IF(DAY(_xlpm.date_lookup)&lt;=15, DATE(YEAR(_xlpm.date_lookup), MONTH(_xlpm.date_lookup), 1), DATE(YEAR(_xlpm.date_lookup), MONTH(_xlpm.date_lookup)+1, 1)), "Number not Found"))</f>
        <v>45962</v>
      </c>
      <c r="E8" s="175">
        <v>400000</v>
      </c>
      <c r="F8" s="127">
        <f t="shared" si="0"/>
        <v>40000</v>
      </c>
      <c r="G8" s="122">
        <v>0</v>
      </c>
      <c r="H8" s="122">
        <f t="shared" si="1"/>
        <v>40000</v>
      </c>
      <c r="I8" s="98"/>
      <c r="J8">
        <f>_xlfn.LET(_xlpm.is_DI_dot, IF(IFERROR(MATCH(A8,'Engineering Numbers Ref'!A:A, 0),0)&gt;0, 1, 0), _xlpm.is_DI_tm, IF(IFERROR(MATCH(A8,'Engineering Numbers Ref'!B:B, 0),0)&gt;0, 2, 0), _xlpm.is_TR_dot, IF(IFERROR(MATCH(A8,'Engineering Numbers Ref'!C:C, 0),0)&gt;0,3,0), _xlpm.is_TR_tm, IF(IFERROR(MATCH(A8,'Engineering Numbers Ref'!D:D, 0),0)&gt;0,4,0), _xlpm.is_DI_dot+_xlpm.is_DI_tm+_xlpm.is_TR_dot+_xlpm.is_TR_tm)</f>
        <v>1</v>
      </c>
      <c r="L8" s="33"/>
      <c r="M8" s="72"/>
      <c r="N8" s="4"/>
      <c r="O8" s="5"/>
      <c r="P8" s="6"/>
      <c r="Q8" s="6"/>
      <c r="R8" s="6"/>
    </row>
    <row r="9" spans="1:18" ht="15" customHeight="1" x14ac:dyDescent="0.25">
      <c r="A9" s="169" t="s">
        <v>126</v>
      </c>
      <c r="B9" s="76" t="str" cm="1">
        <f t="array" ref="B9">_xlfn.LET(_xlpm.DI_name, _xlfn.XLOOKUP(A9, [2]!DOT_Projects[[#All],[Engineering Number]], [2]!DOT_Projects[[#All],[Designer Name]], ""), _xlpm.DI_tm_name, _xlfn.XLOOKUP(A9, [2]!Table7[[#All],[Eng Number]], [2]!Table7[[#All],[Designer Name]], ""), _xlpm.TR_name, _xlfn.XLOOKUP(A9, [1]!CRA_Projects31213[[#All],[Engineering Number]], [1]!CRA_Projects31213[[#All],[KH Project Lead]]), _xlpm.TR_tm_name, _xlfn.XLOOKUP(A9, [1]!CRA_Projects312132[[#All],[Engineering Number]], [1]!CRA_Projects312132[[#All],[Designer Supervisor]]), _xlfn.SWITCH($J9, 1, _xlpm.DI_name, 2, _xlpm.DI_tm_name, 3, _xlpm.TR_name, 4, _xlpm.TR_tm_name, "Number not Found"))</f>
        <v>Randy Castellon</v>
      </c>
      <c r="C9" s="78" t="str" cm="1">
        <f t="array" ref="C9">_xlfn.LET(_xlpm.DI_town, _xlfn.XLOOKUP(A9, [2]!DOT_Projects[[#All],[Engineering Number]], [2]!DOT_Projects[[#All],[Town]], ""), _xlpm.DI_tm_town, _xlfn.XLOOKUP(A9, [2]!Table7[[#All],[Eng Number]], [2]!Table7[[#All],[Town]], ""), _xlpm.TR_town, _xlfn.XLOOKUP(A9, [1]!CRA_Projects31213[[#All],[Engineering Number]], [1]!CRA_Projects31213[[#All],[Town]]), _xlpm.TR_tm_town, _xlfn.XLOOKUP(A9, [1]!CRA_Projects312132[[#All],[Engineering Number]], [1]!CRA_Projects312132[[#All],[Town]]),_xlfn.SWITCH($J9, 1, _xlpm.DI_town, 2, _xlpm.DI_tm_town, 3, _xlpm.TR_town, 4, _xlpm.TR_tm_town, "Number not Found"))</f>
        <v>CRYSTAL LAKE</v>
      </c>
      <c r="D9" s="96" cm="1">
        <f t="array" ref="D9">_xlfn.LET(_xlpm.DI_date, _xlfn.XLOOKUP(A9, [2]!DOT_Projects[[#All],[Engineering Number]], [2]!DOT_Projects[[#All],[Engineering Approved Design Date]]), _xlpm.DI_tm_date, _xlfn.XLOOKUP(A9, [2]!Table7[[#All],[Eng Number]], [2]!Table7[[#All],[Target
Release Date]]), _xlpm.TR_date, _xlfn.XLOOKUP(A9, [1]!CRA_Projects31213[[#All],[Engineering Number]], [1]!CRA_Projects31213[[#All],[Engineering Approved Design Date]]), _xlpm.TR_tm_date, _xlfn.XLOOKUP(A9, [1]!CRA_Projects312132[[#All],[Engineering Number]], [1]!CRA_Projects312132[[#All],[Engineering Approved Design Date]]), _xlpm.date_lookup, _xlfn.SWITCH($J9, 1, _xlpm.DI_date, 2, _xlpm.DI_tm_date, 3, _xlpm.TR_date, 4, _xlpm.TR_tm_date, "Number not Found"), IFERROR(IF(DAY(_xlpm.date_lookup)&lt;=15, DATE(YEAR(_xlpm.date_lookup), MONTH(_xlpm.date_lookup), 1), DATE(YEAR(_xlpm.date_lookup), MONTH(_xlpm.date_lookup)+1, 1)), "Number not Found"))</f>
        <v>45992</v>
      </c>
      <c r="E9" s="175">
        <v>350000</v>
      </c>
      <c r="F9" s="127">
        <f t="shared" si="0"/>
        <v>35000</v>
      </c>
      <c r="G9" s="122">
        <v>0</v>
      </c>
      <c r="H9" s="122">
        <f t="shared" si="1"/>
        <v>35000</v>
      </c>
      <c r="I9" s="98" t="s">
        <v>455</v>
      </c>
      <c r="J9">
        <f>_xlfn.LET(_xlpm.is_DI_dot, IF(IFERROR(MATCH(A9,'Engineering Numbers Ref'!A:A, 0),0)&gt;0, 1, 0), _xlpm.is_DI_tm, IF(IFERROR(MATCH(A9,'Engineering Numbers Ref'!B:B, 0),0)&gt;0, 2, 0), _xlpm.is_TR_dot, IF(IFERROR(MATCH(A9,'Engineering Numbers Ref'!C:C, 0),0)&gt;0,3,0), _xlpm.is_TR_tm, IF(IFERROR(MATCH(A9,'Engineering Numbers Ref'!D:D, 0),0)&gt;0,4,0), _xlpm.is_DI_dot+_xlpm.is_DI_tm+_xlpm.is_TR_dot+_xlpm.is_TR_tm)</f>
        <v>1</v>
      </c>
      <c r="L9" s="33"/>
      <c r="M9" s="72"/>
      <c r="N9" s="4"/>
      <c r="O9" s="5"/>
      <c r="P9" s="6"/>
      <c r="Q9" s="6"/>
      <c r="R9" s="6"/>
    </row>
    <row r="10" spans="1:18" ht="15" customHeight="1" x14ac:dyDescent="0.25">
      <c r="A10" s="160" t="s">
        <v>126</v>
      </c>
      <c r="B10" s="76" t="s">
        <v>16</v>
      </c>
      <c r="C10" s="78" t="s">
        <v>51</v>
      </c>
      <c r="D10" s="96">
        <v>45992</v>
      </c>
      <c r="E10" s="175" t="s">
        <v>181</v>
      </c>
      <c r="F10" s="196">
        <v>325000</v>
      </c>
      <c r="G10" s="194"/>
      <c r="H10" s="194">
        <f t="shared" ref="H10" si="2">F10-G10</f>
        <v>325000</v>
      </c>
      <c r="I10" s="98" t="s">
        <v>404</v>
      </c>
      <c r="L10" s="33"/>
      <c r="M10" s="72"/>
      <c r="N10" s="4"/>
      <c r="O10" s="5"/>
      <c r="P10" s="6"/>
      <c r="Q10" s="6"/>
      <c r="R10" s="6"/>
    </row>
    <row r="11" spans="1:18" ht="15" customHeight="1" x14ac:dyDescent="0.25">
      <c r="A11" s="29" t="s">
        <v>252</v>
      </c>
      <c r="B11" s="76" t="str" cm="1">
        <f t="array" ref="B11">_xlfn.LET(_xlpm.DI_name, _xlfn.XLOOKUP(A11, [2]!DOT_Projects[[#All],[Engineering Number]], [2]!DOT_Projects[[#All],[Designer Name]], ""), _xlpm.DI_tm_name, _xlfn.XLOOKUP(A11, [2]!Table7[[#All],[Eng Number]], [2]!Table7[[#All],[Designer Name]], ""), _xlpm.TR_name, _xlfn.XLOOKUP(A11, [1]!CRA_Projects31213[[#All],[Engineering Number]], [1]!CRA_Projects31213[[#All],[KH Project Lead]]), _xlpm.TR_tm_name, _xlfn.XLOOKUP(A11, [1]!CRA_Projects312132[[#All],[Engineering Number]], [1]!CRA_Projects312132[[#All],[Designer Supervisor]]), _xlfn.SWITCH($J11, 1, _xlpm.DI_name, 2, _xlpm.DI_tm_name, 3, _xlpm.TR_name, 4, _xlpm.TR_tm_name, "Number not Found"))</f>
        <v>Taylor Lierow/Ethan Ekstrom</v>
      </c>
      <c r="C11" s="78" t="str" cm="1">
        <f t="array" ref="C11">_xlfn.LET(_xlpm.DI_town, _xlfn.XLOOKUP(A11, [2]!DOT_Projects[[#All],[Engineering Number]], [2]!DOT_Projects[[#All],[Town]], ""), _xlpm.DI_tm_town, _xlfn.XLOOKUP(A11, [2]!Table7[[#All],[Eng Number]], [2]!Table7[[#All],[Town]], ""), _xlpm.TR_town, _xlfn.XLOOKUP(A11, [1]!CRA_Projects31213[[#All],[Engineering Number]], [1]!CRA_Projects31213[[#All],[Town]]), _xlpm.TR_tm_town, _xlfn.XLOOKUP(A11, [1]!CRA_Projects312132[[#All],[Engineering Number]], [1]!CRA_Projects312132[[#All],[Town]]),_xlfn.SWITCH($J11, 1, _xlpm.DI_town, 2, _xlpm.DI_tm_town, 3, _xlpm.TR_town, 4, _xlpm.TR_tm_town, "Number not Found"))</f>
        <v>MT PROSPECT</v>
      </c>
      <c r="D11" s="96" cm="1">
        <f t="array" ref="D11">_xlfn.LET(_xlpm.DI_date, _xlfn.XLOOKUP(A11, [2]!DOT_Projects[[#All],[Engineering Number]], [2]!DOT_Projects[[#All],[Engineering Approved Design Date]]), _xlpm.DI_tm_date, _xlfn.XLOOKUP(A11, [2]!Table7[[#All],[Eng Number]], [2]!Table7[[#All],[Target
Release Date]]), _xlpm.TR_date, _xlfn.XLOOKUP(A11, [1]!CRA_Projects31213[[#All],[Engineering Number]], [1]!CRA_Projects31213[[#All],[Engineering Approved Design Date]]), _xlpm.TR_tm_date, _xlfn.XLOOKUP(A11, [1]!CRA_Projects312132[[#All],[Engineering Number]], [1]!CRA_Projects312132[[#All],[Engineering Approved Design Date]]), _xlpm.date_lookup, _xlfn.SWITCH($J11, 1, _xlpm.DI_date, 2, _xlpm.DI_tm_date, 3, _xlpm.TR_date, 4, _xlpm.TR_tm_date, "Number not Found"), IFERROR(IF(DAY(_xlpm.date_lookup)&lt;=15, DATE(YEAR(_xlpm.date_lookup), MONTH(_xlpm.date_lookup), 1), DATE(YEAR(_xlpm.date_lookup), MONTH(_xlpm.date_lookup)+1, 1)), "Number not Found"))</f>
        <v>45992</v>
      </c>
      <c r="E11" s="175">
        <v>1500000</v>
      </c>
      <c r="F11" s="127">
        <f t="shared" ref="F11:F16" si="3">E11*0.1</f>
        <v>150000</v>
      </c>
      <c r="G11" s="122">
        <v>0</v>
      </c>
      <c r="H11" s="122">
        <f t="shared" ref="H11:H22" si="4">F11-G11</f>
        <v>150000</v>
      </c>
      <c r="I11" s="147"/>
      <c r="J11">
        <f>_xlfn.LET(_xlpm.is_DI_dot, IF(IFERROR(MATCH(A11,'Engineering Numbers Ref'!A:A, 0),0)&gt;0, 1, 0), _xlpm.is_DI_tm, IF(IFERROR(MATCH(A11,'Engineering Numbers Ref'!B:B, 0),0)&gt;0, 2, 0), _xlpm.is_TR_dot, IF(IFERROR(MATCH(A11,'Engineering Numbers Ref'!C:C, 0),0)&gt;0,3,0), _xlpm.is_TR_tm, IF(IFERROR(MATCH(A11,'Engineering Numbers Ref'!D:D, 0),0)&gt;0,4,0), _xlpm.is_DI_dot+_xlpm.is_DI_tm+_xlpm.is_TR_dot+_xlpm.is_TR_tm)</f>
        <v>1</v>
      </c>
    </row>
    <row r="12" spans="1:18" ht="15" customHeight="1" x14ac:dyDescent="0.25">
      <c r="A12" s="248" t="s">
        <v>227</v>
      </c>
      <c r="B12" s="76" t="str" cm="1">
        <f t="array" ref="B12">_xlfn.LET(_xlpm.DI_name, _xlfn.XLOOKUP(A12, [2]!DOT_Projects[[#All],[Engineering Number]], [2]!DOT_Projects[[#All],[Designer Name]], ""), _xlpm.DI_tm_name, _xlfn.XLOOKUP(A12, [2]!Table7[[#All],[Eng Number]], [2]!Table7[[#All],[Designer Name]], ""), _xlpm.TR_name, _xlfn.XLOOKUP(A12, [1]!CRA_Projects31213[[#All],[Engineering Number]], [1]!CRA_Projects31213[[#All],[KH Project Lead]]), _xlpm.TR_tm_name, _xlfn.XLOOKUP(A12, [1]!CRA_Projects312132[[#All],[Engineering Number]], [1]!CRA_Projects312132[[#All],[Designer Supervisor]]), _xlfn.SWITCH($J12, 1, _xlpm.DI_name, 2, _xlpm.DI_tm_name, 3, _xlpm.TR_name, 4, _xlpm.TR_tm_name, "Number not Found"))</f>
        <v>Randy Castellon</v>
      </c>
      <c r="C12" s="78" t="str" cm="1">
        <f t="array" ref="C12">_xlfn.LET(_xlpm.DI_town, _xlfn.XLOOKUP(A12, [2]!DOT_Projects[[#All],[Engineering Number]], [2]!DOT_Projects[[#All],[Town]], ""), _xlpm.DI_tm_town, _xlfn.XLOOKUP(A12, [2]!Table7[[#All],[Eng Number]], [2]!Table7[[#All],[Town]], ""), _xlpm.TR_town, _xlfn.XLOOKUP(A12, [1]!CRA_Projects31213[[#All],[Engineering Number]], [1]!CRA_Projects31213[[#All],[Town]]), _xlpm.TR_tm_town, _xlfn.XLOOKUP(A12, [1]!CRA_Projects312132[[#All],[Engineering Number]], [1]!CRA_Projects312132[[#All],[Town]]),_xlfn.SWITCH($J12, 1, _xlpm.DI_town, 2, _xlpm.DI_tm_town, 3, _xlpm.TR_town, 4, _xlpm.TR_tm_town, "Number not Found"))</f>
        <v>HUNTLEY</v>
      </c>
      <c r="D12" s="96" cm="1">
        <f t="array" ref="D12">_xlfn.LET(_xlpm.DI_date, _xlfn.XLOOKUP(A12, [2]!DOT_Projects[[#All],[Engineering Number]], [2]!DOT_Projects[[#All],[Engineering Approved Design Date]]), _xlpm.DI_tm_date, _xlfn.XLOOKUP(A12, [2]!Table7[[#All],[Eng Number]], [2]!Table7[[#All],[Target
Release Date]]), _xlpm.TR_date, _xlfn.XLOOKUP(A12, [1]!CRA_Projects31213[[#All],[Engineering Number]], [1]!CRA_Projects31213[[#All],[Engineering Approved Design Date]]), _xlpm.TR_tm_date, _xlfn.XLOOKUP(A12, [1]!CRA_Projects312132[[#All],[Engineering Number]], [1]!CRA_Projects312132[[#All],[Engineering Approved Design Date]]), _xlpm.date_lookup, _xlfn.SWITCH($J12, 1, _xlpm.DI_date, 2, _xlpm.DI_tm_date, 3, _xlpm.TR_date, 4, _xlpm.TR_tm_date, "Number not Found"), IFERROR(IF(DAY(_xlpm.date_lookup)&lt;=15, DATE(YEAR(_xlpm.date_lookup), MONTH(_xlpm.date_lookup), 1), DATE(YEAR(_xlpm.date_lookup), MONTH(_xlpm.date_lookup)+1, 1)), "Number not Found"))</f>
        <v>45962</v>
      </c>
      <c r="E12" s="175">
        <v>380000</v>
      </c>
      <c r="F12" s="127">
        <f t="shared" si="3"/>
        <v>38000</v>
      </c>
      <c r="G12" s="122">
        <v>0</v>
      </c>
      <c r="H12" s="122">
        <f t="shared" si="4"/>
        <v>38000</v>
      </c>
      <c r="I12" s="98"/>
      <c r="J12">
        <f>_xlfn.LET(_xlpm.is_DI_dot, IF(IFERROR(MATCH(A12,'Engineering Numbers Ref'!A:A, 0),0)&gt;0, 1, 0), _xlpm.is_DI_tm, IF(IFERROR(MATCH(A12,'Engineering Numbers Ref'!B:B, 0),0)&gt;0, 2, 0), _xlpm.is_TR_dot, IF(IFERROR(MATCH(A12,'Engineering Numbers Ref'!C:C, 0),0)&gt;0,3,0), _xlpm.is_TR_tm, IF(IFERROR(MATCH(A12,'Engineering Numbers Ref'!D:D, 0),0)&gt;0,4,0), _xlpm.is_DI_dot+_xlpm.is_DI_tm+_xlpm.is_TR_dot+_xlpm.is_TR_tm)</f>
        <v>1</v>
      </c>
    </row>
    <row r="13" spans="1:18" ht="15" customHeight="1" x14ac:dyDescent="0.25">
      <c r="A13" s="247" t="s">
        <v>258</v>
      </c>
      <c r="B13" s="76" t="str" cm="1">
        <f t="array" ref="B13">_xlfn.LET(_xlpm.DI_name, _xlfn.XLOOKUP(A13, [2]!DOT_Projects[[#All],[Engineering Number]], [2]!DOT_Projects[[#All],[Designer Name]], ""), _xlpm.DI_tm_name, _xlfn.XLOOKUP(A13, [2]!Table7[[#All],[Eng Number]], [2]!Table7[[#All],[Designer Name]], ""), _xlpm.TR_name, _xlfn.XLOOKUP(A13, [1]!CRA_Projects31213[[#All],[Engineering Number]], [1]!CRA_Projects31213[[#All],[KH Project Lead]]), _xlpm.TR_tm_name, _xlfn.XLOOKUP(A13, [1]!CRA_Projects312132[[#All],[Engineering Number]], [1]!CRA_Projects312132[[#All],[Designer Supervisor]]), _xlfn.SWITCH($J13, 1, _xlpm.DI_name, 2, _xlpm.DI_tm_name, 3, _xlpm.TR_name, 4, _xlpm.TR_tm_name, "Number not Found"))</f>
        <v>Conner Chamernik</v>
      </c>
      <c r="C13" s="78" t="str" cm="1">
        <f t="array" ref="C13">_xlfn.LET(_xlpm.DI_town, _xlfn.XLOOKUP(A13, [2]!DOT_Projects[[#All],[Engineering Number]], [2]!DOT_Projects[[#All],[Town]], ""), _xlpm.DI_tm_town, _xlfn.XLOOKUP(A13, [2]!Table7[[#All],[Eng Number]], [2]!Table7[[#All],[Town]], ""), _xlpm.TR_town, _xlfn.XLOOKUP(A13, [1]!CRA_Projects31213[[#All],[Engineering Number]], [1]!CRA_Projects31213[[#All],[Town]]), _xlpm.TR_tm_town, _xlfn.XLOOKUP(A13, [1]!CRA_Projects312132[[#All],[Engineering Number]], [1]!CRA_Projects312132[[#All],[Town]]),_xlfn.SWITCH($J13, 1, _xlpm.DI_town, 2, _xlpm.DI_tm_town, 3, _xlpm.TR_town, 4, _xlpm.TR_tm_town, "Number not Found"))</f>
        <v>HOFFMAN ESTATES</v>
      </c>
      <c r="D13" s="96" cm="1">
        <f t="array" ref="D13">_xlfn.LET(_xlpm.DI_date, _xlfn.XLOOKUP(A13, [2]!DOT_Projects[[#All],[Engineering Number]], [2]!DOT_Projects[[#All],[Engineering Approved Design Date]]), _xlpm.DI_tm_date, _xlfn.XLOOKUP(A13, [2]!Table7[[#All],[Eng Number]], [2]!Table7[[#All],[Target
Release Date]]), _xlpm.TR_date, _xlfn.XLOOKUP(A13, [1]!CRA_Projects31213[[#All],[Engineering Number]], [1]!CRA_Projects31213[[#All],[Engineering Approved Design Date]]), _xlpm.TR_tm_date, _xlfn.XLOOKUP(A13, [1]!CRA_Projects312132[[#All],[Engineering Number]], [1]!CRA_Projects312132[[#All],[Engineering Approved Design Date]]), _xlpm.date_lookup, _xlfn.SWITCH($J13, 1, _xlpm.DI_date, 2, _xlpm.DI_tm_date, 3, _xlpm.TR_date, 4, _xlpm.TR_tm_date, "Number not Found"), IFERROR(IF(DAY(_xlpm.date_lookup)&lt;=15, DATE(YEAR(_xlpm.date_lookup), MONTH(_xlpm.date_lookup), 1), DATE(YEAR(_xlpm.date_lookup), MONTH(_xlpm.date_lookup)+1, 1)), "Number not Found"))</f>
        <v>45931</v>
      </c>
      <c r="E13" s="187">
        <v>175000</v>
      </c>
      <c r="F13" s="127">
        <f t="shared" si="3"/>
        <v>17500</v>
      </c>
      <c r="G13" s="122">
        <v>0</v>
      </c>
      <c r="H13" s="122">
        <f t="shared" si="4"/>
        <v>17500</v>
      </c>
      <c r="I13" s="98"/>
      <c r="J13">
        <f>_xlfn.LET(_xlpm.is_DI_dot, IF(IFERROR(MATCH(A13,'Engineering Numbers Ref'!A:A, 0),0)&gt;0, 1, 0), _xlpm.is_DI_tm, IF(IFERROR(MATCH(A13,'Engineering Numbers Ref'!B:B, 0),0)&gt;0, 2, 0), _xlpm.is_TR_dot, IF(IFERROR(MATCH(A13,'Engineering Numbers Ref'!C:C, 0),0)&gt;0,3,0), _xlpm.is_TR_tm, IF(IFERROR(MATCH(A13,'Engineering Numbers Ref'!D:D, 0),0)&gt;0,4,0), _xlpm.is_DI_dot+_xlpm.is_DI_tm+_xlpm.is_TR_dot+_xlpm.is_TR_tm)</f>
        <v>1</v>
      </c>
    </row>
    <row r="14" spans="1:18" ht="15" customHeight="1" x14ac:dyDescent="0.25">
      <c r="A14" s="247" t="s">
        <v>401</v>
      </c>
      <c r="B14" s="76" t="str" cm="1">
        <f t="array" ref="B14">_xlfn.LET(_xlpm.DI_name, _xlfn.XLOOKUP(A14, [2]!DOT_Projects[[#All],[Engineering Number]], [2]!DOT_Projects[[#All],[Designer Name]], ""), _xlpm.DI_tm_name, _xlfn.XLOOKUP(A14, [2]!Table7[[#All],[Eng Number]], [2]!Table7[[#All],[Designer Name]], ""), _xlpm.TR_name, _xlfn.XLOOKUP(A14, [1]!CRA_Projects31213[[#All],[Engineering Number]], [1]!CRA_Projects31213[[#All],[KH Project Lead]]), _xlpm.TR_tm_name, _xlfn.XLOOKUP(A14, [1]!CRA_Projects312132[[#All],[Engineering Number]], [1]!CRA_Projects312132[[#All],[Designer Supervisor]]), _xlfn.SWITCH($J14, 1, _xlpm.DI_name, 2, _xlpm.DI_tm_name, 3, _xlpm.TR_name, 4, _xlpm.TR_tm_name, "Number not Found"))</f>
        <v>Camille Corbi
(Matt Hopkins)</v>
      </c>
      <c r="C14" s="78" t="str" cm="1">
        <f t="array" ref="C14">_xlfn.LET(_xlpm.DI_town, _xlfn.XLOOKUP(A14, [2]!DOT_Projects[[#All],[Engineering Number]], [2]!DOT_Projects[[#All],[Town]], ""), _xlpm.DI_tm_town, _xlfn.XLOOKUP(A14, [2]!Table7[[#All],[Eng Number]], [2]!Table7[[#All],[Town]], ""), _xlpm.TR_town, _xlfn.XLOOKUP(A14, [1]!CRA_Projects31213[[#All],[Engineering Number]], [1]!CRA_Projects31213[[#All],[Town]]), _xlpm.TR_tm_town, _xlfn.XLOOKUP(A14, [1]!CRA_Projects312132[[#All],[Engineering Number]], [1]!CRA_Projects312132[[#All],[Town]]),_xlfn.SWITCH($J14, 1, _xlpm.DI_town, 2, _xlpm.DI_tm_town, 3, _xlpm.TR_town, 4, _xlpm.TR_tm_town, "Number not Found"))</f>
        <v>ARLINGTON HEIGHTS</v>
      </c>
      <c r="D14" s="96" cm="1">
        <f t="array" ref="D14">_xlfn.LET(_xlpm.DI_date, _xlfn.XLOOKUP(A14, [2]!DOT_Projects[[#All],[Engineering Number]], [2]!DOT_Projects[[#All],[Engineering Approved Design Date]]), _xlpm.DI_tm_date, _xlfn.XLOOKUP(A14, [2]!Table7[[#All],[Eng Number]], [2]!Table7[[#All],[Target
Release Date]]), _xlpm.TR_date, _xlfn.XLOOKUP(A14, [1]!CRA_Projects31213[[#All],[Engineering Number]], [1]!CRA_Projects31213[[#All],[Engineering Approved Design Date]]), _xlpm.TR_tm_date, _xlfn.XLOOKUP(A14, [1]!CRA_Projects312132[[#All],[Engineering Number]], [1]!CRA_Projects312132[[#All],[Engineering Approved Design Date]]), _xlpm.date_lookup, _xlfn.SWITCH($J14, 1, _xlpm.DI_date, 2, _xlpm.DI_tm_date, 3, _xlpm.TR_date, 4, _xlpm.TR_tm_date, "Number not Found"), IFERROR(IF(DAY(_xlpm.date_lookup)&lt;=15, DATE(YEAR(_xlpm.date_lookup), MONTH(_xlpm.date_lookup), 1), DATE(YEAR(_xlpm.date_lookup), MONTH(_xlpm.date_lookup)+1, 1)), "Number not Found"))</f>
        <v>45962</v>
      </c>
      <c r="E14" s="187">
        <v>125000</v>
      </c>
      <c r="F14" s="127">
        <f t="shared" si="3"/>
        <v>12500</v>
      </c>
      <c r="G14" s="122">
        <v>0</v>
      </c>
      <c r="H14" s="122">
        <f t="shared" si="4"/>
        <v>12500</v>
      </c>
      <c r="I14" s="98" t="s">
        <v>444</v>
      </c>
      <c r="J14">
        <f>_xlfn.LET(_xlpm.is_DI_dot, IF(IFERROR(MATCH(A14,'Engineering Numbers Ref'!A:A, 0),0)&gt;0, 1, 0), _xlpm.is_DI_tm, IF(IFERROR(MATCH(A14,'Engineering Numbers Ref'!B:B, 0),0)&gt;0, 2, 0), _xlpm.is_TR_dot, IF(IFERROR(MATCH(A14,'Engineering Numbers Ref'!C:C, 0),0)&gt;0,3,0), _xlpm.is_TR_tm, IF(IFERROR(MATCH(A14,'Engineering Numbers Ref'!D:D, 0),0)&gt;0,4,0), _xlpm.is_DI_dot+_xlpm.is_DI_tm+_xlpm.is_TR_dot+_xlpm.is_TR_tm)</f>
        <v>1</v>
      </c>
    </row>
    <row r="15" spans="1:18" ht="15" customHeight="1" x14ac:dyDescent="0.25">
      <c r="A15" s="247" t="s">
        <v>386</v>
      </c>
      <c r="B15" s="76" t="str" cm="1">
        <f t="array" ref="B15">_xlfn.LET(_xlpm.DI_name, _xlfn.XLOOKUP(A15, [2]!DOT_Projects[[#All],[Engineering Number]], [2]!DOT_Projects[[#All],[Designer Name]], ""), _xlpm.DI_tm_name, _xlfn.XLOOKUP(A15, [2]!Table7[[#All],[Eng Number]], [2]!Table7[[#All],[Designer Name]], ""), _xlpm.TR_name, _xlfn.XLOOKUP(A15, [1]!CRA_Projects31213[[#All],[Engineering Number]], [1]!CRA_Projects31213[[#All],[KH Project Lead]]), _xlpm.TR_tm_name, _xlfn.XLOOKUP(A15, [1]!CRA_Projects312132[[#All],[Engineering Number]], [1]!CRA_Projects312132[[#All],[Designer Supervisor]]), _xlfn.SWITCH($J15, 1, _xlpm.DI_name, 2, _xlpm.DI_tm_name, 3, _xlpm.TR_name, 4, _xlpm.TR_tm_name, "Number not Found"))</f>
        <v>Taylor Lierow/Michael Molloy</v>
      </c>
      <c r="C15" s="78" t="str" cm="1">
        <f t="array" ref="C15">_xlfn.LET(_xlpm.DI_town, _xlfn.XLOOKUP(A15, [2]!DOT_Projects[[#All],[Engineering Number]], [2]!DOT_Projects[[#All],[Town]], ""), _xlpm.DI_tm_town, _xlfn.XLOOKUP(A15, [2]!Table7[[#All],[Eng Number]], [2]!Table7[[#All],[Town]], ""), _xlpm.TR_town, _xlfn.XLOOKUP(A15, [1]!CRA_Projects31213[[#All],[Engineering Number]], [1]!CRA_Projects31213[[#All],[Town]]), _xlpm.TR_tm_town, _xlfn.XLOOKUP(A15, [1]!CRA_Projects312132[[#All],[Engineering Number]], [1]!CRA_Projects312132[[#All],[Town]]),_xlfn.SWITCH($J15, 1, _xlpm.DI_town, 2, _xlpm.DI_tm_town, 3, _xlpm.TR_town, 4, _xlpm.TR_tm_town, "Number not Found"))</f>
        <v>ELGIN</v>
      </c>
      <c r="D15" s="118">
        <v>46082</v>
      </c>
      <c r="E15" s="175">
        <v>750000</v>
      </c>
      <c r="F15" s="127">
        <f t="shared" si="3"/>
        <v>75000</v>
      </c>
      <c r="G15" s="122">
        <v>0</v>
      </c>
      <c r="H15" s="122">
        <f t="shared" si="4"/>
        <v>75000</v>
      </c>
      <c r="I15" s="98" t="s">
        <v>449</v>
      </c>
      <c r="J15">
        <f>_xlfn.LET(_xlpm.is_DI_dot, IF(IFERROR(MATCH(A15,'Engineering Numbers Ref'!A:A, 0),0)&gt;0, 1, 0), _xlpm.is_DI_tm, IF(IFERROR(MATCH(A15,'Engineering Numbers Ref'!B:B, 0),0)&gt;0, 2, 0), _xlpm.is_TR_dot, IF(IFERROR(MATCH(A15,'Engineering Numbers Ref'!C:C, 0),0)&gt;0,3,0), _xlpm.is_TR_tm, IF(IFERROR(MATCH(A15,'Engineering Numbers Ref'!D:D, 0),0)&gt;0,4,0), _xlpm.is_DI_dot+_xlpm.is_DI_tm+_xlpm.is_TR_dot+_xlpm.is_TR_tm)</f>
        <v>1</v>
      </c>
    </row>
    <row r="16" spans="1:18" ht="15" customHeight="1" x14ac:dyDescent="0.25">
      <c r="A16" s="250" t="s">
        <v>267</v>
      </c>
      <c r="B16" s="76" t="s">
        <v>232</v>
      </c>
      <c r="C16" s="78" t="s">
        <v>441</v>
      </c>
      <c r="D16" s="96">
        <v>45931</v>
      </c>
      <c r="E16" s="187">
        <v>750000</v>
      </c>
      <c r="F16" s="127">
        <f t="shared" si="3"/>
        <v>75000</v>
      </c>
      <c r="G16" s="122">
        <v>0</v>
      </c>
      <c r="H16" s="122">
        <f t="shared" si="4"/>
        <v>75000</v>
      </c>
      <c r="I16" s="147" t="s">
        <v>445</v>
      </c>
      <c r="J16">
        <f>_xlfn.LET(_xlpm.is_DI_dot, IF(IFERROR(MATCH(A16,'Engineering Numbers Ref'!A:A, 0),0)&gt;0, 1, 0), _xlpm.is_DI_tm, IF(IFERROR(MATCH(A16,'Engineering Numbers Ref'!B:B, 0),0)&gt;0, 2, 0), _xlpm.is_TR_dot, IF(IFERROR(MATCH(A16,'Engineering Numbers Ref'!C:C, 0),0)&gt;0,3,0), _xlpm.is_TR_tm, IF(IFERROR(MATCH(A16,'Engineering Numbers Ref'!D:D, 0),0)&gt;0,4,0), _xlpm.is_DI_dot+_xlpm.is_DI_tm+_xlpm.is_TR_dot+_xlpm.is_TR_tm)</f>
        <v>3</v>
      </c>
    </row>
    <row r="17" spans="1:12" ht="15" customHeight="1" x14ac:dyDescent="0.25">
      <c r="A17" s="252" t="s">
        <v>442</v>
      </c>
      <c r="B17" s="76" t="s">
        <v>232</v>
      </c>
      <c r="C17" s="78" t="s">
        <v>441</v>
      </c>
      <c r="D17" s="96">
        <f>D15</f>
        <v>46082</v>
      </c>
      <c r="E17" s="76" t="s">
        <v>67</v>
      </c>
      <c r="F17" s="138">
        <v>3600</v>
      </c>
      <c r="G17" s="122"/>
      <c r="H17" s="122">
        <f t="shared" si="4"/>
        <v>3600</v>
      </c>
      <c r="I17" s="98" t="s">
        <v>446</v>
      </c>
      <c r="J17">
        <f>_xlfn.LET(_xlpm.is_DI_dot, IF(IFERROR(MATCH(A17,'Engineering Numbers Ref'!A:A, 0),0)&gt;0, 1, 0), _xlpm.is_DI_tm, IF(IFERROR(MATCH(A17,'Engineering Numbers Ref'!B:B, 0),0)&gt;0, 2, 0), _xlpm.is_TR_dot, IF(IFERROR(MATCH(A17,'Engineering Numbers Ref'!C:C, 0),0)&gt;0,3,0), _xlpm.is_TR_tm, IF(IFERROR(MATCH(A17,'Engineering Numbers Ref'!D:D, 0),0)&gt;0,4,0), _xlpm.is_DI_dot+_xlpm.is_DI_tm+_xlpm.is_TR_dot+_xlpm.is_TR_tm)</f>
        <v>0</v>
      </c>
    </row>
    <row r="18" spans="1:12" ht="15" customHeight="1" x14ac:dyDescent="0.25">
      <c r="A18" s="248" t="s">
        <v>272</v>
      </c>
      <c r="B18" s="76" t="str" cm="1">
        <f t="array" ref="B18">_xlfn.LET(_xlpm.DI_name, _xlfn.XLOOKUP(A18, [2]!DOT_Projects[[#All],[Engineering Number]], [2]!DOT_Projects[[#All],[Designer Name]], ""), _xlpm.DI_tm_name, _xlfn.XLOOKUP(A18, [2]!Table7[[#All],[Eng Number]], [2]!Table7[[#All],[Designer Name]], ""), _xlpm.TR_name, _xlfn.XLOOKUP(A18, [1]!CRA_Projects31213[[#All],[Engineering Number]], [1]!CRA_Projects31213[[#All],[KH Project Lead]]), _xlpm.TR_tm_name, _xlfn.XLOOKUP(A18, [1]!CRA_Projects312132[[#All],[Engineering Number]], [1]!CRA_Projects312132[[#All],[Designer Supervisor]]), _xlfn.SWITCH($J18, 1, _xlpm.DI_name, 2, _xlpm.DI_tm_name, 3, _xlpm.TR_name, 4, _xlpm.TR_tm_name, "Number not Found"))</f>
        <v>Taylor Lierow</v>
      </c>
      <c r="C18" s="78" t="str" cm="1">
        <f t="array" ref="C18">_xlfn.LET(_xlpm.DI_town, _xlfn.XLOOKUP(A18, [2]!DOT_Projects[[#All],[Engineering Number]], [2]!DOT_Projects[[#All],[Town]], ""), _xlpm.DI_tm_town, _xlfn.XLOOKUP(A18, [2]!Table7[[#All],[Eng Number]], [2]!Table7[[#All],[Town]], ""), _xlpm.TR_town, _xlfn.XLOOKUP(A18, [1]!CRA_Projects31213[[#All],[Engineering Number]], [1]!CRA_Projects31213[[#All],[Town]]), _xlpm.TR_tm_town, _xlfn.XLOOKUP(A18, [1]!CRA_Projects312132[[#All],[Engineering Number]], [1]!CRA_Projects312132[[#All],[Town]]),_xlfn.SWITCH($J18, 1, _xlpm.DI_town, 2, _xlpm.DI_tm_town, 3, _xlpm.TR_town, 4, _xlpm.TR_tm_town, "Number not Found"))</f>
        <v>MACHESNEY PARK</v>
      </c>
      <c r="D18" s="96" cm="1">
        <f t="array" ref="D18">_xlfn.LET(_xlpm.DI_date, _xlfn.XLOOKUP(A18, [2]!DOT_Projects[[#All],[Engineering Number]], [2]!DOT_Projects[[#All],[Engineering Approved Design Date]]), _xlpm.DI_tm_date, _xlfn.XLOOKUP(A18, [2]!Table7[[#All],[Eng Number]], [2]!Table7[[#All],[Target
Release Date]]), _xlpm.TR_date, _xlfn.XLOOKUP(A18, [1]!CRA_Projects31213[[#All],[Engineering Number]], [1]!CRA_Projects31213[[#All],[Engineering Approved Design Date]]), _xlpm.TR_tm_date, _xlfn.XLOOKUP(A18, [1]!CRA_Projects312132[[#All],[Engineering Number]], [1]!CRA_Projects312132[[#All],[Engineering Approved Design Date]]), _xlpm.date_lookup, _xlfn.SWITCH($J18, 1, _xlpm.DI_date, 2, _xlpm.DI_tm_date, 3, _xlpm.TR_date, 4, _xlpm.TR_tm_date, "Number not Found"), IFERROR(IF(DAY(_xlpm.date_lookup)&lt;=15, DATE(YEAR(_xlpm.date_lookup), MONTH(_xlpm.date_lookup), 1), DATE(YEAR(_xlpm.date_lookup), MONTH(_xlpm.date_lookup)+1, 1)), "Number not Found"))</f>
        <v>45931</v>
      </c>
      <c r="E18" s="175">
        <v>300000</v>
      </c>
      <c r="F18" s="127">
        <f>E18*0.1</f>
        <v>30000</v>
      </c>
      <c r="G18" s="122">
        <v>0</v>
      </c>
      <c r="H18" s="122">
        <f t="shared" si="4"/>
        <v>30000</v>
      </c>
      <c r="I18" s="98" t="s">
        <v>447</v>
      </c>
      <c r="J18">
        <f>_xlfn.LET(_xlpm.is_DI_dot, IF(IFERROR(MATCH(A18,'Engineering Numbers Ref'!A:A, 0),0)&gt;0, 1, 0), _xlpm.is_DI_tm, IF(IFERROR(MATCH(A18,'Engineering Numbers Ref'!B:B, 0),0)&gt;0, 2, 0), _xlpm.is_TR_dot, IF(IFERROR(MATCH(A18,'Engineering Numbers Ref'!C:C, 0),0)&gt;0,3,0), _xlpm.is_TR_tm, IF(IFERROR(MATCH(A18,'Engineering Numbers Ref'!D:D, 0),0)&gt;0,4,0), _xlpm.is_DI_dot+_xlpm.is_DI_tm+_xlpm.is_TR_dot+_xlpm.is_TR_tm)</f>
        <v>1</v>
      </c>
    </row>
    <row r="19" spans="1:12" ht="15" customHeight="1" x14ac:dyDescent="0.25">
      <c r="A19" s="29" t="s">
        <v>369</v>
      </c>
      <c r="B19" s="76" t="str" cm="1">
        <f t="array" ref="B19">_xlfn.LET(_xlpm.DI_name, _xlfn.XLOOKUP(A19, [2]!DOT_Projects[[#All],[Engineering Number]], [2]!DOT_Projects[[#All],[Designer Name]], ""), _xlpm.DI_tm_name, _xlfn.XLOOKUP(A19, [2]!Table7[[#All],[Eng Number]], [2]!Table7[[#All],[Designer Name]], ""), _xlpm.TR_name, _xlfn.XLOOKUP(A19, [1]!CRA_Projects31213[[#All],[Engineering Number]], [1]!CRA_Projects31213[[#All],[KH Project Lead]]), _xlpm.TR_tm_name, _xlfn.XLOOKUP(A19, [1]!CRA_Projects312132[[#All],[Engineering Number]], [1]!CRA_Projects312132[[#All],[Designer Supervisor]]), _xlfn.SWITCH($J19, 1, _xlpm.DI_name, 2, _xlpm.DI_tm_name, 3, _xlpm.TR_name, 4, _xlpm.TR_tm_name, "Number not Found"))</f>
        <v>Matt Hopkins / Nick Watt</v>
      </c>
      <c r="C19" s="78" t="str" cm="1">
        <f t="array" ref="C19">_xlfn.LET(_xlpm.DI_town, _xlfn.XLOOKUP(A19, [2]!DOT_Projects[[#All],[Engineering Number]], [2]!DOT_Projects[[#All],[Town]], ""), _xlpm.DI_tm_town, _xlfn.XLOOKUP(A19, [2]!Table7[[#All],[Eng Number]], [2]!Table7[[#All],[Town]], ""), _xlpm.TR_town, _xlfn.XLOOKUP(A19, [1]!CRA_Projects31213[[#All],[Engineering Number]], [1]!CRA_Projects31213[[#All],[Town]]), _xlpm.TR_tm_town, _xlfn.XLOOKUP(A19, [1]!CRA_Projects312132[[#All],[Engineering Number]], [1]!CRA_Projects312132[[#All],[Town]]),_xlfn.SWITCH($J19, 1, _xlpm.DI_town, 2, _xlpm.DI_tm_town, 3, _xlpm.TR_town, 4, _xlpm.TR_tm_town, "Number not Found"))</f>
        <v>ELK GROVE VILLAGE</v>
      </c>
      <c r="D19" s="96" cm="1">
        <f t="array" ref="D19">_xlfn.LET(_xlpm.DI_date, _xlfn.XLOOKUP(A19, [2]!DOT_Projects[[#All],[Engineering Number]], [2]!DOT_Projects[[#All],[Engineering Approved Design Date]]), _xlpm.DI_tm_date, _xlfn.XLOOKUP(A19, [2]!Table7[[#All],[Eng Number]], [2]!Table7[[#All],[Target
Release Date]]), _xlpm.TR_date, _xlfn.XLOOKUP(A19, [1]!CRA_Projects31213[[#All],[Engineering Number]], [1]!CRA_Projects31213[[#All],[Engineering Approved Design Date]]), _xlpm.TR_tm_date, _xlfn.XLOOKUP(A19, [1]!CRA_Projects312132[[#All],[Engineering Number]], [1]!CRA_Projects312132[[#All],[Engineering Approved Design Date]]), _xlpm.date_lookup, _xlfn.SWITCH($J19, 1, _xlpm.DI_date, 2, _xlpm.DI_tm_date, 3, _xlpm.TR_date, 4, _xlpm.TR_tm_date, "Number not Found"), IFERROR(IF(DAY(_xlpm.date_lookup)&lt;=15, DATE(YEAR(_xlpm.date_lookup), MONTH(_xlpm.date_lookup), 1), DATE(YEAR(_xlpm.date_lookup), MONTH(_xlpm.date_lookup)+1, 1)), "Number not Found"))</f>
        <v>45931</v>
      </c>
      <c r="E19" s="187">
        <v>100000</v>
      </c>
      <c r="F19" s="127">
        <f>E19*0.1</f>
        <v>10000</v>
      </c>
      <c r="G19" s="122">
        <v>0</v>
      </c>
      <c r="H19" s="122">
        <f t="shared" si="4"/>
        <v>10000</v>
      </c>
      <c r="I19" s="98"/>
      <c r="J19">
        <f>_xlfn.LET(_xlpm.is_DI_dot, IF(IFERROR(MATCH(A19,'Engineering Numbers Ref'!A:A, 0),0)&gt;0, 1, 0), _xlpm.is_DI_tm, IF(IFERROR(MATCH(A19,'Engineering Numbers Ref'!B:B, 0),0)&gt;0, 2, 0), _xlpm.is_TR_dot, IF(IFERROR(MATCH(A19,'Engineering Numbers Ref'!C:C, 0),0)&gt;0,3,0), _xlpm.is_TR_tm, IF(IFERROR(MATCH(A19,'Engineering Numbers Ref'!D:D, 0),0)&gt;0,4,0), _xlpm.is_DI_dot+_xlpm.is_DI_tm+_xlpm.is_TR_dot+_xlpm.is_TR_tm)</f>
        <v>1</v>
      </c>
    </row>
    <row r="20" spans="1:12" ht="15" customHeight="1" x14ac:dyDescent="0.25">
      <c r="A20" s="169" t="s">
        <v>440</v>
      </c>
      <c r="B20" s="76" t="str" cm="1">
        <f t="array" ref="B20">_xlfn.LET(_xlpm.DI_name, _xlfn.XLOOKUP(A20, [2]!DOT_Projects[[#All],[Engineering Number]], [2]!DOT_Projects[[#All],[Designer Name]], ""), _xlpm.DI_tm_name, _xlfn.XLOOKUP(A20, [2]!Table7[[#All],[Eng Number]], [2]!Table7[[#All],[Designer Name]], ""), _xlpm.TR_name, _xlfn.XLOOKUP(A20, [1]!CRA_Projects31213[[#All],[Engineering Number]], [1]!CRA_Projects31213[[#All],[KH Project Lead]]), _xlpm.TR_tm_name, _xlfn.XLOOKUP(A20, [1]!CRA_Projects312132[[#All],[Engineering Number]], [1]!CRA_Projects312132[[#All],[Designer Supervisor]]), _xlfn.SWITCH($J20, 1, _xlpm.DI_name, 2, _xlpm.DI_tm_name, 3, _xlpm.TR_name, 4, _xlpm.TR_tm_name, "Number not Found"))</f>
        <v>Randy Castellon</v>
      </c>
      <c r="C20" s="78" t="str" cm="1">
        <f t="array" ref="C20">_xlfn.LET(_xlpm.DI_town, _xlfn.XLOOKUP(A20, [2]!DOT_Projects[[#All],[Engineering Number]], [2]!DOT_Projects[[#All],[Town]], ""), _xlpm.DI_tm_town, _xlfn.XLOOKUP(A20, [2]!Table7[[#All],[Eng Number]], [2]!Table7[[#All],[Town]], ""), _xlpm.TR_town, _xlfn.XLOOKUP(A20, [1]!CRA_Projects31213[[#All],[Engineering Number]], [1]!CRA_Projects31213[[#All],[Town]]), _xlpm.TR_tm_town, _xlfn.XLOOKUP(A20, [1]!CRA_Projects312132[[#All],[Engineering Number]], [1]!CRA_Projects312132[[#All],[Town]]),_xlfn.SWITCH($J20, 1, _xlpm.DI_town, 2, _xlpm.DI_tm_town, 3, _xlpm.TR_town, 4, _xlpm.TR_tm_town, "Number not Found"))</f>
        <v>ELGIN</v>
      </c>
      <c r="D20" s="96" cm="1">
        <f t="array" ref="D20">_xlfn.LET(_xlpm.DI_date, _xlfn.XLOOKUP(A20, [2]!DOT_Projects[[#All],[Engineering Number]], [2]!DOT_Projects[[#All],[Engineering Approved Design Date]]), _xlpm.DI_tm_date, _xlfn.XLOOKUP(A20, [2]!Table7[[#All],[Eng Number]], [2]!Table7[[#All],[Target
Release Date]]), _xlpm.TR_date, _xlfn.XLOOKUP(A20, [1]!CRA_Projects31213[[#All],[Engineering Number]], [1]!CRA_Projects31213[[#All],[Engineering Approved Design Date]]), _xlpm.TR_tm_date, _xlfn.XLOOKUP(A20, [1]!CRA_Projects312132[[#All],[Engineering Number]], [1]!CRA_Projects312132[[#All],[Engineering Approved Design Date]]), _xlpm.date_lookup, _xlfn.SWITCH($J20, 1, _xlpm.DI_date, 2, _xlpm.DI_tm_date, 3, _xlpm.TR_date, 4, _xlpm.TR_tm_date, "Number not Found"), IFERROR(IF(DAY(_xlpm.date_lookup)&lt;=15, DATE(YEAR(_xlpm.date_lookup), MONTH(_xlpm.date_lookup), 1), DATE(YEAR(_xlpm.date_lookup), MONTH(_xlpm.date_lookup)+1, 1)), "Number not Found"))</f>
        <v>45962</v>
      </c>
      <c r="E20" s="175">
        <v>150000</v>
      </c>
      <c r="F20" s="127">
        <f>E20*0.1</f>
        <v>15000</v>
      </c>
      <c r="G20" s="122">
        <v>0</v>
      </c>
      <c r="H20" s="122">
        <f t="shared" si="4"/>
        <v>15000</v>
      </c>
      <c r="I20" s="148"/>
      <c r="J20">
        <f>_xlfn.LET(_xlpm.is_DI_dot, IF(IFERROR(MATCH(A20,'Engineering Numbers Ref'!A:A, 0),0)&gt;0, 1, 0), _xlpm.is_DI_tm, IF(IFERROR(MATCH(A20,'Engineering Numbers Ref'!B:B, 0),0)&gt;0, 2, 0), _xlpm.is_TR_dot, IF(IFERROR(MATCH(A20,'Engineering Numbers Ref'!C:C, 0),0)&gt;0,3,0), _xlpm.is_TR_tm, IF(IFERROR(MATCH(A20,'Engineering Numbers Ref'!D:D, 0),0)&gt;0,4,0), _xlpm.is_DI_dot+_xlpm.is_DI_tm+_xlpm.is_TR_dot+_xlpm.is_TR_tm)</f>
        <v>1</v>
      </c>
    </row>
    <row r="21" spans="1:12" ht="15" customHeight="1" x14ac:dyDescent="0.25">
      <c r="A21" s="247" t="s">
        <v>418</v>
      </c>
      <c r="B21" s="76" t="str" cm="1">
        <f t="array" ref="B21">_xlfn.LET(_xlpm.DI_name, _xlfn.XLOOKUP(A21, [2]!DOT_Projects[[#All],[Engineering Number]], [2]!DOT_Projects[[#All],[Designer Name]], ""), _xlpm.DI_tm_name, _xlfn.XLOOKUP(A21, [2]!Table7[[#All],[Eng Number]], [2]!Table7[[#All],[Designer Name]], ""), _xlpm.TR_name, _xlfn.XLOOKUP(A21, [1]!CRA_Projects31213[[#All],[Engineering Number]], [1]!CRA_Projects31213[[#All],[KH Project Lead]]), _xlpm.TR_tm_name, _xlfn.XLOOKUP(A21, [1]!CRA_Projects312132[[#All],[Engineering Number]], [1]!CRA_Projects312132[[#All],[Designer Supervisor]]), _xlfn.SWITCH($J21, 1, _xlpm.DI_name, 2, _xlpm.DI_tm_name, 3, _xlpm.TR_name, 4, _xlpm.TR_tm_name, "Number not Found"))</f>
        <v>Taylor Lierow</v>
      </c>
      <c r="C21" s="78" t="str" cm="1">
        <f t="array" ref="C21">_xlfn.LET(_xlpm.DI_town, _xlfn.XLOOKUP(A21, [2]!DOT_Projects[[#All],[Engineering Number]], [2]!DOT_Projects[[#All],[Town]], ""), _xlpm.DI_tm_town, _xlfn.XLOOKUP(A21, [2]!Table7[[#All],[Eng Number]], [2]!Table7[[#All],[Town]], ""), _xlpm.TR_town, _xlfn.XLOOKUP(A21, [1]!CRA_Projects31213[[#All],[Engineering Number]], [1]!CRA_Projects31213[[#All],[Town]]), _xlpm.TR_tm_town, _xlfn.XLOOKUP(A21, [1]!CRA_Projects312132[[#All],[Engineering Number]], [1]!CRA_Projects312132[[#All],[Town]]),_xlfn.SWITCH($J21, 1, _xlpm.DI_town, 2, _xlpm.DI_tm_town, 3, _xlpm.TR_town, 4, _xlpm.TR_tm_town, "Number not Found"))</f>
        <v>TROY</v>
      </c>
      <c r="D21" s="118">
        <v>45809</v>
      </c>
      <c r="E21" s="175">
        <v>500000</v>
      </c>
      <c r="F21" s="127">
        <f>E21*0.1</f>
        <v>50000</v>
      </c>
      <c r="G21" s="122">
        <v>0</v>
      </c>
      <c r="H21" s="122">
        <f t="shared" si="4"/>
        <v>50000</v>
      </c>
      <c r="I21" s="98" t="s">
        <v>419</v>
      </c>
      <c r="J21">
        <f>_xlfn.LET(_xlpm.is_DI_dot, IF(IFERROR(MATCH(A21,'Engineering Numbers Ref'!A:A, 0),0)&gt;0, 1, 0), _xlpm.is_DI_tm, IF(IFERROR(MATCH(A21,'Engineering Numbers Ref'!B:B, 0),0)&gt;0, 2, 0), _xlpm.is_TR_dot, IF(IFERROR(MATCH(A21,'Engineering Numbers Ref'!C:C, 0),0)&gt;0,3,0), _xlpm.is_TR_tm, IF(IFERROR(MATCH(A21,'Engineering Numbers Ref'!D:D, 0),0)&gt;0,4,0), _xlpm.is_DI_dot+_xlpm.is_DI_tm+_xlpm.is_TR_dot+_xlpm.is_TR_tm)</f>
        <v>1</v>
      </c>
    </row>
    <row r="22" spans="1:12" ht="15" customHeight="1" x14ac:dyDescent="0.25">
      <c r="A22" s="184" t="s">
        <v>75</v>
      </c>
      <c r="B22" s="76" t="str" cm="1">
        <f t="array" ref="B22">_xlfn.LET(_xlpm.DI_name, _xlfn.XLOOKUP(A22, [2]!DOT_Projects[[#All],[Engineering Number]], [2]!DOT_Projects[[#All],[Designer Name]], ""), _xlpm.DI_tm_name, _xlfn.XLOOKUP(A22, [2]!Table7[[#All],[Eng Number]], [2]!Table7[[#All],[Designer Name]], ""), _xlpm.TR_name, _xlfn.XLOOKUP(A22, [1]!CRA_Projects31213[[#All],[Engineering Number]], [1]!CRA_Projects31213[[#All],[KH Project Lead]]), _xlpm.TR_tm_name, _xlfn.XLOOKUP(A22, [1]!CRA_Projects312132[[#All],[Engineering Number]], [1]!CRA_Projects312132[[#All],[Designer Supervisor]]), _xlfn.SWITCH($J22, 1, _xlpm.DI_name, 2, _xlpm.DI_tm_name, 3, _xlpm.TR_name, 4, _xlpm.TR_tm_name, "Number not Found"))</f>
        <v>Camille Corbi
(Matt Hopkins)</v>
      </c>
      <c r="C22" s="78" t="str" cm="1">
        <f t="array" ref="C22">_xlfn.LET(_xlpm.DI_town, _xlfn.XLOOKUP(A22, [2]!DOT_Projects[[#All],[Engineering Number]], [2]!DOT_Projects[[#All],[Town]], ""), _xlpm.DI_tm_town, _xlfn.XLOOKUP(A22, [2]!Table7[[#All],[Eng Number]], [2]!Table7[[#All],[Town]], ""), _xlpm.TR_town, _xlfn.XLOOKUP(A22, [1]!CRA_Projects31213[[#All],[Engineering Number]], [1]!CRA_Projects31213[[#All],[Town]]), _xlpm.TR_tm_town, _xlfn.XLOOKUP(A22, [1]!CRA_Projects312132[[#All],[Engineering Number]], [1]!CRA_Projects312132[[#All],[Town]]),_xlfn.SWITCH($J22, 1, _xlpm.DI_town, 2, _xlpm.DI_tm_town, 3, _xlpm.TR_town, 4, _xlpm.TR_tm_town, "Number not Found"))</f>
        <v>NORMAL</v>
      </c>
      <c r="D22" s="96" cm="1">
        <f t="array" ref="D22">_xlfn.LET(_xlpm.DI_date, _xlfn.XLOOKUP(A22, [2]!DOT_Projects[[#All],[Engineering Number]], [2]!DOT_Projects[[#All],[Engineering Approved Design Date]]), _xlpm.DI_tm_date, _xlfn.XLOOKUP(A22, [2]!Table7[[#All],[Eng Number]], [2]!Table7[[#All],[Target
Release Date]]), _xlpm.TR_date, _xlfn.XLOOKUP(A22, [1]!CRA_Projects31213[[#All],[Engineering Number]], [1]!CRA_Projects31213[[#All],[Engineering Approved Design Date]]), _xlpm.TR_tm_date, _xlfn.XLOOKUP(A22, [1]!CRA_Projects312132[[#All],[Engineering Number]], [1]!CRA_Projects312132[[#All],[Engineering Approved Design Date]]), _xlpm.date_lookup, _xlfn.SWITCH($J22, 1, _xlpm.DI_date, 2, _xlpm.DI_tm_date, 3, _xlpm.TR_date, 4, _xlpm.TR_tm_date, "Number not Found"), IFERROR(IF(DAY(_xlpm.date_lookup)&lt;=15, DATE(YEAR(_xlpm.date_lookup), MONTH(_xlpm.date_lookup), 1), DATE(YEAR(_xlpm.date_lookup), MONTH(_xlpm.date_lookup)+1, 1)), "Number not Found"))</f>
        <v>45931</v>
      </c>
      <c r="E22" s="76" t="s">
        <v>67</v>
      </c>
      <c r="F22" s="138">
        <v>63000</v>
      </c>
      <c r="G22" s="122"/>
      <c r="H22" s="122">
        <f t="shared" si="4"/>
        <v>63000</v>
      </c>
      <c r="I22" s="98" t="s">
        <v>444</v>
      </c>
      <c r="J22">
        <f>_xlfn.LET(_xlpm.is_DI_dot, IF(IFERROR(MATCH(A22,'Engineering Numbers Ref'!A:A, 0),0)&gt;0, 1, 0), _xlpm.is_DI_tm, IF(IFERROR(MATCH(A22,'Engineering Numbers Ref'!B:B, 0),0)&gt;0, 2, 0), _xlpm.is_TR_dot, IF(IFERROR(MATCH(A22,'Engineering Numbers Ref'!C:C, 0),0)&gt;0,3,0), _xlpm.is_TR_tm, IF(IFERROR(MATCH(A22,'Engineering Numbers Ref'!D:D, 0),0)&gt;0,4,0), _xlpm.is_DI_dot+_xlpm.is_DI_tm+_xlpm.is_TR_dot+_xlpm.is_TR_tm)</f>
        <v>2</v>
      </c>
    </row>
    <row r="23" spans="1:12" ht="15" customHeight="1" x14ac:dyDescent="0.25">
      <c r="A23" s="169" t="s">
        <v>411</v>
      </c>
      <c r="B23" s="76" t="str" cm="1">
        <f t="array" ref="B23">_xlfn.LET(_xlpm.DI_name, _xlfn.XLOOKUP(A23, [2]!DOT_Projects[[#All],[Engineering Number]], [2]!DOT_Projects[[#All],[Designer Name]], ""), _xlpm.DI_tm_name, _xlfn.XLOOKUP(A23, [2]!Table7[[#All],[Eng Number]], [2]!Table7[[#All],[Designer Name]], ""), _xlpm.TR_name, _xlfn.XLOOKUP(A23, [1]!CRA_Projects31213[[#All],[Engineering Number]], [1]!CRA_Projects31213[[#All],[KH Project Lead]]), _xlpm.TR_tm_name, _xlfn.XLOOKUP(A23, [1]!CRA_Projects312132[[#All],[Engineering Number]], [1]!CRA_Projects312132[[#All],[Designer Supervisor]]), _xlfn.SWITCH($J23, 1, _xlpm.DI_name, 2, _xlpm.DI_tm_name, 3, _xlpm.TR_name, 4, _xlpm.TR_tm_name, "Number not Found"))</f>
        <v>Randy Castellon</v>
      </c>
      <c r="C23" s="78" t="str" cm="1">
        <f t="array" ref="C23">_xlfn.LET(_xlpm.DI_town, _xlfn.XLOOKUP(A23, [2]!DOT_Projects[[#All],[Engineering Number]], [2]!DOT_Projects[[#All],[Town]], ""), _xlpm.DI_tm_town, _xlfn.XLOOKUP(A23, [2]!Table7[[#All],[Eng Number]], [2]!Table7[[#All],[Town]], ""), _xlpm.TR_town, _xlfn.XLOOKUP(A23, [1]!CRA_Projects31213[[#All],[Engineering Number]], [1]!CRA_Projects31213[[#All],[Town]]), _xlpm.TR_tm_town, _xlfn.XLOOKUP(A23, [1]!CRA_Projects312132[[#All],[Engineering Number]], [1]!CRA_Projects312132[[#All],[Town]]),_xlfn.SWITCH($J23, 1, _xlpm.DI_town, 2, _xlpm.DI_tm_town, 3, _xlpm.TR_town, 4, _xlpm.TR_tm_town, "Number not Found"))</f>
        <v>SHERIDAN</v>
      </c>
      <c r="D23" s="96" cm="1">
        <f t="array" ref="D23">_xlfn.LET(_xlpm.DI_date, _xlfn.XLOOKUP(A23, [2]!DOT_Projects[[#All],[Engineering Number]], [2]!DOT_Projects[[#All],[Engineering Approved Design Date]]), _xlpm.DI_tm_date, _xlfn.XLOOKUP(A23, [2]!Table7[[#All],[Eng Number]], [2]!Table7[[#All],[Target
Release Date]]), _xlpm.TR_date, _xlfn.XLOOKUP(A23, [1]!CRA_Projects31213[[#All],[Engineering Number]], [1]!CRA_Projects31213[[#All],[Engineering Approved Design Date]]), _xlpm.TR_tm_date, _xlfn.XLOOKUP(A23, [1]!CRA_Projects312132[[#All],[Engineering Number]], [1]!CRA_Projects312132[[#All],[Engineering Approved Design Date]]), _xlpm.date_lookup, _xlfn.SWITCH($J23, 1, _xlpm.DI_date, 2, _xlpm.DI_tm_date, 3, _xlpm.TR_date, 4, _xlpm.TR_tm_date, "Number not Found"), IFERROR(IF(DAY(_xlpm.date_lookup)&lt;=15, DATE(YEAR(_xlpm.date_lookup), MONTH(_xlpm.date_lookup), 1), DATE(YEAR(_xlpm.date_lookup), MONTH(_xlpm.date_lookup)+1, 1)), "Number not Found"))</f>
        <v>45962</v>
      </c>
      <c r="E23" s="175" t="s">
        <v>454</v>
      </c>
      <c r="F23" s="127" t="s">
        <v>454</v>
      </c>
      <c r="G23" s="122">
        <v>0</v>
      </c>
      <c r="H23" s="122" t="s">
        <v>454</v>
      </c>
      <c r="I23" s="98"/>
      <c r="J23">
        <f>_xlfn.LET(_xlpm.is_DI_dot, IF(IFERROR(MATCH(A23,'Engineering Numbers Ref'!A:A, 0),0)&gt;0, 1, 0), _xlpm.is_DI_tm, IF(IFERROR(MATCH(A23,'Engineering Numbers Ref'!B:B, 0),0)&gt;0, 2, 0), _xlpm.is_TR_dot, IF(IFERROR(MATCH(A23,'Engineering Numbers Ref'!C:C, 0),0)&gt;0,3,0), _xlpm.is_TR_tm, IF(IFERROR(MATCH(A23,'Engineering Numbers Ref'!D:D, 0),0)&gt;0,4,0), _xlpm.is_DI_dot+_xlpm.is_DI_tm+_xlpm.is_TR_dot+_xlpm.is_TR_tm)</f>
        <v>1</v>
      </c>
    </row>
    <row r="24" spans="1:12" x14ac:dyDescent="0.25">
      <c r="A24" s="169" t="s">
        <v>168</v>
      </c>
      <c r="B24" s="76" t="str" cm="1">
        <f t="array" ref="B24">_xlfn.LET(_xlpm.DI_name, _xlfn.XLOOKUP(A24, [2]!DOT_Projects[[#All],[Engineering Number]], [2]!DOT_Projects[[#All],[Designer Name]], ""), _xlpm.DI_tm_name, _xlfn.XLOOKUP(A24, [2]!Table7[[#All],[Eng Number]], [2]!Table7[[#All],[Designer Name]], ""), _xlpm.TR_name, _xlfn.XLOOKUP(A24, [1]!CRA_Projects31213[[#All],[Engineering Number]], [1]!CRA_Projects31213[[#All],[KH Project Lead]]), _xlpm.TR_tm_name, _xlfn.XLOOKUP(A24, [1]!CRA_Projects312132[[#All],[Engineering Number]], [1]!CRA_Projects312132[[#All],[Designer Supervisor]]), _xlfn.SWITCH($J24, 1, _xlpm.DI_name, 2, _xlpm.DI_tm_name, 3, _xlpm.TR_name, 4, _xlpm.TR_tm_name, "Number not Found"))</f>
        <v>Marissa LaPorte</v>
      </c>
      <c r="C24" s="78" t="str" cm="1">
        <f t="array" ref="C24">_xlfn.LET(_xlpm.DI_town, _xlfn.XLOOKUP(A24, [2]!DOT_Projects[[#All],[Engineering Number]], [2]!DOT_Projects[[#All],[Town]], ""), _xlpm.DI_tm_town, _xlfn.XLOOKUP(A24, [2]!Table7[[#All],[Eng Number]], [2]!Table7[[#All],[Town]], ""), _xlpm.TR_town, _xlfn.XLOOKUP(A24, [1]!CRA_Projects31213[[#All],[Engineering Number]], [1]!CRA_Projects31213[[#All],[Town]]), _xlpm.TR_tm_town, _xlfn.XLOOKUP(A24, [1]!CRA_Projects312132[[#All],[Engineering Number]], [1]!CRA_Projects312132[[#All],[Town]]),_xlfn.SWITCH($J24, 1, _xlpm.DI_town, 2, _xlpm.DI_tm_town, 3, _xlpm.TR_town, 4, _xlpm.TR_tm_town, "Number not Found"))</f>
        <v>WHEATLAND TWP</v>
      </c>
      <c r="D24" s="96" cm="1">
        <f t="array" ref="D24">_xlfn.LET(_xlpm.DI_date, _xlfn.XLOOKUP(A24, [2]!DOT_Projects[[#All],[Engineering Number]], [2]!DOT_Projects[[#All],[Engineering Approved Design Date]]), _xlpm.DI_tm_date, _xlfn.XLOOKUP(A24, [2]!Table7[[#All],[Eng Number]], [2]!Table7[[#All],[Target
Release Date]]), _xlpm.TR_date, _xlfn.XLOOKUP(A24, [1]!CRA_Projects31213[[#All],[Engineering Number]], [1]!CRA_Projects31213[[#All],[Engineering Approved Design Date]]), _xlpm.TR_tm_date, _xlfn.XLOOKUP(A24, [1]!CRA_Projects312132[[#All],[Engineering Number]], [1]!CRA_Projects312132[[#All],[Engineering Approved Design Date]]), _xlpm.date_lookup, _xlfn.SWITCH($J24, 1, _xlpm.DI_date, 2, _xlpm.DI_tm_date, 3, _xlpm.TR_date, 4, _xlpm.TR_tm_date, "Number not Found"), IFERROR(IF(DAY(_xlpm.date_lookup)&lt;=15, DATE(YEAR(_xlpm.date_lookup), MONTH(_xlpm.date_lookup), 1), DATE(YEAR(_xlpm.date_lookup), MONTH(_xlpm.date_lookup)+1, 1)), "Number not Found"))</f>
        <v>45962</v>
      </c>
      <c r="E24" s="175"/>
      <c r="F24" s="127">
        <f t="shared" ref="F24:F44" si="5">E24*0.1</f>
        <v>0</v>
      </c>
      <c r="G24" s="122">
        <v>0</v>
      </c>
      <c r="H24" s="122">
        <f t="shared" ref="H24:H44" si="6">F24-G24</f>
        <v>0</v>
      </c>
      <c r="I24" s="98"/>
      <c r="J24">
        <f>_xlfn.LET(_xlpm.is_DI_dot, IF(IFERROR(MATCH(A24,'Engineering Numbers Ref'!A:A, 0),0)&gt;0, 1, 0), _xlpm.is_DI_tm, IF(IFERROR(MATCH(A24,'Engineering Numbers Ref'!B:B, 0),0)&gt;0, 2, 0), _xlpm.is_TR_dot, IF(IFERROR(MATCH(A24,'Engineering Numbers Ref'!C:C, 0),0)&gt;0,3,0), _xlpm.is_TR_tm, IF(IFERROR(MATCH(A24,'Engineering Numbers Ref'!D:D, 0),0)&gt;0,4,0), _xlpm.is_DI_dot+_xlpm.is_DI_tm+_xlpm.is_TR_dot+_xlpm.is_TR_tm)</f>
        <v>1</v>
      </c>
    </row>
    <row r="25" spans="1:12" x14ac:dyDescent="0.25">
      <c r="A25" s="247" t="s">
        <v>413</v>
      </c>
      <c r="B25" s="76" t="str" cm="1">
        <f t="array" ref="B25">_xlfn.LET(_xlpm.DI_name, _xlfn.XLOOKUP(A25, [2]!DOT_Projects[[#All],[Engineering Number]], [2]!DOT_Projects[[#All],[Designer Name]], ""), _xlpm.DI_tm_name, _xlfn.XLOOKUP(A25, [2]!Table7[[#All],[Eng Number]], [2]!Table7[[#All],[Designer Name]], ""), _xlpm.TR_name, _xlfn.XLOOKUP(A25, [1]!CRA_Projects31213[[#All],[Engineering Number]], [1]!CRA_Projects31213[[#All],[KH Project Lead]]), _xlpm.TR_tm_name, _xlfn.XLOOKUP(A25, [1]!CRA_Projects312132[[#All],[Engineering Number]], [1]!CRA_Projects312132[[#All],[Designer Supervisor]]), _xlfn.SWITCH($J25, 1, _xlpm.DI_name, 2, _xlpm.DI_tm_name, 3, _xlpm.TR_name, 4, _xlpm.TR_tm_name, "Number not Found"))</f>
        <v>Camille Corbi</v>
      </c>
      <c r="C25" s="78" t="str" cm="1">
        <f t="array" ref="C25">_xlfn.LET(_xlpm.DI_town, _xlfn.XLOOKUP(A25, [2]!DOT_Projects[[#All],[Engineering Number]], [2]!DOT_Projects[[#All],[Town]], ""), _xlpm.DI_tm_town, _xlfn.XLOOKUP(A25, [2]!Table7[[#All],[Eng Number]], [2]!Table7[[#All],[Town]], ""), _xlpm.TR_town, _xlfn.XLOOKUP(A25, [1]!CRA_Projects31213[[#All],[Engineering Number]], [1]!CRA_Projects31213[[#All],[Town]]), _xlpm.TR_tm_town, _xlfn.XLOOKUP(A25, [1]!CRA_Projects312132[[#All],[Engineering Number]], [1]!CRA_Projects312132[[#All],[Town]]),_xlfn.SWITCH($J25, 1, _xlpm.DI_town, 2, _xlpm.DI_tm_town, 3, _xlpm.TR_town, 4, _xlpm.TR_tm_town, "Number not Found"))</f>
        <v>NEW LENOX</v>
      </c>
      <c r="D25" s="96" cm="1">
        <f t="array" ref="D25">_xlfn.LET(_xlpm.DI_date, _xlfn.XLOOKUP(A25, [2]!DOT_Projects[[#All],[Engineering Number]], [2]!DOT_Projects[[#All],[Engineering Approved Design Date]]), _xlpm.DI_tm_date, _xlfn.XLOOKUP(A25, [2]!Table7[[#All],[Eng Number]], [2]!Table7[[#All],[Target
Release Date]]), _xlpm.TR_date, _xlfn.XLOOKUP(A25, [1]!CRA_Projects31213[[#All],[Engineering Number]], [1]!CRA_Projects31213[[#All],[Engineering Approved Design Date]]), _xlpm.TR_tm_date, _xlfn.XLOOKUP(A25, [1]!CRA_Projects312132[[#All],[Engineering Number]], [1]!CRA_Projects312132[[#All],[Engineering Approved Design Date]]), _xlpm.date_lookup, _xlfn.SWITCH($J25, 1, _xlpm.DI_date, 2, _xlpm.DI_tm_date, 3, _xlpm.TR_date, 4, _xlpm.TR_tm_date, "Number not Found"), IFERROR(IF(DAY(_xlpm.date_lookup)&lt;=15, DATE(YEAR(_xlpm.date_lookup), MONTH(_xlpm.date_lookup), 1), DATE(YEAR(_xlpm.date_lookup), MONTH(_xlpm.date_lookup)+1, 1)), "Number not Found"))</f>
        <v>45992</v>
      </c>
      <c r="E25" s="187">
        <v>800000</v>
      </c>
      <c r="F25" s="127">
        <f t="shared" si="5"/>
        <v>80000</v>
      </c>
      <c r="G25" s="122">
        <v>0</v>
      </c>
      <c r="H25" s="122">
        <f t="shared" si="6"/>
        <v>80000</v>
      </c>
      <c r="I25" s="98"/>
      <c r="J25">
        <f>_xlfn.LET(_xlpm.is_DI_dot, IF(IFERROR(MATCH(A25,'Engineering Numbers Ref'!A:A, 0),0)&gt;0, 1, 0), _xlpm.is_DI_tm, IF(IFERROR(MATCH(A25,'Engineering Numbers Ref'!B:B, 0),0)&gt;0, 2, 0), _xlpm.is_TR_dot, IF(IFERROR(MATCH(A25,'Engineering Numbers Ref'!C:C, 0),0)&gt;0,3,0), _xlpm.is_TR_tm, IF(IFERROR(MATCH(A25,'Engineering Numbers Ref'!D:D, 0),0)&gt;0,4,0), _xlpm.is_DI_dot+_xlpm.is_DI_tm+_xlpm.is_TR_dot+_xlpm.is_TR_tm)</f>
        <v>1</v>
      </c>
    </row>
    <row r="26" spans="1:12" x14ac:dyDescent="0.25">
      <c r="A26" s="169" t="s">
        <v>330</v>
      </c>
      <c r="B26" s="76" t="str" cm="1">
        <f t="array" ref="B26">_xlfn.LET(_xlpm.DI_name, _xlfn.XLOOKUP(A26, [2]!DOT_Projects[[#All],[Engineering Number]], [2]!DOT_Projects[[#All],[Designer Name]], ""), _xlpm.DI_tm_name, _xlfn.XLOOKUP(A26, [2]!Table7[[#All],[Eng Number]], [2]!Table7[[#All],[Designer Name]], ""), _xlpm.TR_name, _xlfn.XLOOKUP(A26, [1]!CRA_Projects31213[[#All],[Engineering Number]], [1]!CRA_Projects31213[[#All],[KH Project Lead]]), _xlpm.TR_tm_name, _xlfn.XLOOKUP(A26, [1]!CRA_Projects312132[[#All],[Engineering Number]], [1]!CRA_Projects312132[[#All],[Designer Supervisor]]), _xlfn.SWITCH($J26, 1, _xlpm.DI_name, 2, _xlpm.DI_tm_name, 3, _xlpm.TR_name, 4, _xlpm.TR_tm_name, "Number not Found"))</f>
        <v>Ethan Ekstrom</v>
      </c>
      <c r="C26" s="78" t="str" cm="1">
        <f t="array" ref="C26">_xlfn.LET(_xlpm.DI_town, _xlfn.XLOOKUP(A26, [2]!DOT_Projects[[#All],[Engineering Number]], [2]!DOT_Projects[[#All],[Town]], ""), _xlpm.DI_tm_town, _xlfn.XLOOKUP(A26, [2]!Table7[[#All],[Eng Number]], [2]!Table7[[#All],[Town]], ""), _xlpm.TR_town, _xlfn.XLOOKUP(A26, [1]!CRA_Projects31213[[#All],[Engineering Number]], [1]!CRA_Projects31213[[#All],[Town]]), _xlpm.TR_tm_town, _xlfn.XLOOKUP(A26, [1]!CRA_Projects312132[[#All],[Engineering Number]], [1]!CRA_Projects312132[[#All],[Town]]),_xlfn.SWITCH($J26, 1, _xlpm.DI_town, 2, _xlpm.DI_tm_town, 3, _xlpm.TR_town, 4, _xlpm.TR_tm_town, "Number not Found"))</f>
        <v>BLOOMINGTON</v>
      </c>
      <c r="D26" s="96" cm="1">
        <f t="array" ref="D26">_xlfn.LET(_xlpm.DI_date, _xlfn.XLOOKUP(A26, [2]!DOT_Projects[[#All],[Engineering Number]], [2]!DOT_Projects[[#All],[Engineering Approved Design Date]]), _xlpm.DI_tm_date, _xlfn.XLOOKUP(A26, [2]!Table7[[#All],[Eng Number]], [2]!Table7[[#All],[Target
Release Date]]), _xlpm.TR_date, _xlfn.XLOOKUP(A26, [1]!CRA_Projects31213[[#All],[Engineering Number]], [1]!CRA_Projects31213[[#All],[Engineering Approved Design Date]]), _xlpm.TR_tm_date, _xlfn.XLOOKUP(A26, [1]!CRA_Projects312132[[#All],[Engineering Number]], [1]!CRA_Projects312132[[#All],[Engineering Approved Design Date]]), _xlpm.date_lookup, _xlfn.SWITCH($J26, 1, _xlpm.DI_date, 2, _xlpm.DI_tm_date, 3, _xlpm.TR_date, 4, _xlpm.TR_tm_date, "Number not Found"), IFERROR(IF(DAY(_xlpm.date_lookup)&lt;=15, DATE(YEAR(_xlpm.date_lookup), MONTH(_xlpm.date_lookup), 1), DATE(YEAR(_xlpm.date_lookup), MONTH(_xlpm.date_lookup)+1, 1)), "Number not Found"))</f>
        <v>45962</v>
      </c>
      <c r="E26" s="175">
        <v>200000</v>
      </c>
      <c r="F26" s="127">
        <f t="shared" si="5"/>
        <v>20000</v>
      </c>
      <c r="G26" s="122">
        <v>0</v>
      </c>
      <c r="H26" s="122">
        <f t="shared" si="6"/>
        <v>20000</v>
      </c>
      <c r="I26" s="148" t="s">
        <v>451</v>
      </c>
      <c r="J26">
        <f>_xlfn.LET(_xlpm.is_DI_dot, IF(IFERROR(MATCH(A26,'Engineering Numbers Ref'!A:A, 0),0)&gt;0, 1, 0), _xlpm.is_DI_tm, IF(IFERROR(MATCH(A26,'Engineering Numbers Ref'!B:B, 0),0)&gt;0, 2, 0), _xlpm.is_TR_dot, IF(IFERROR(MATCH(A26,'Engineering Numbers Ref'!C:C, 0),0)&gt;0,3,0), _xlpm.is_TR_tm, IF(IFERROR(MATCH(A26,'Engineering Numbers Ref'!D:D, 0),0)&gt;0,4,0), _xlpm.is_DI_dot+_xlpm.is_DI_tm+_xlpm.is_TR_dot+_xlpm.is_TR_tm)</f>
        <v>1</v>
      </c>
      <c r="L26" t="s">
        <v>453</v>
      </c>
    </row>
    <row r="27" spans="1:12" ht="45" x14ac:dyDescent="0.25">
      <c r="A27" s="248" t="s">
        <v>439</v>
      </c>
      <c r="B27" s="76" t="str" cm="1">
        <f t="array" ref="B27">_xlfn.LET(_xlpm.DI_name, _xlfn.XLOOKUP(A27, [2]!DOT_Projects[[#All],[Engineering Number]], [2]!DOT_Projects[[#All],[Designer Name]], ""), _xlpm.DI_tm_name, _xlfn.XLOOKUP(A27, [2]!Table7[[#All],[Eng Number]], [2]!Table7[[#All],[Designer Name]], ""), _xlpm.TR_name, _xlfn.XLOOKUP(A27, [1]!CRA_Projects31213[[#All],[Engineering Number]], [1]!CRA_Projects31213[[#All],[KH Project Lead]]), _xlpm.TR_tm_name, _xlfn.XLOOKUP(A27, [1]!CRA_Projects312132[[#All],[Engineering Number]], [1]!CRA_Projects312132[[#All],[Designer Supervisor]]), _xlfn.SWITCH($J27, 1, _xlpm.DI_name, 2, _xlpm.DI_tm_name, 3, _xlpm.TR_name, 4, _xlpm.TR_tm_name, "Number not Found"))</f>
        <v>Ethan Ekstrom</v>
      </c>
      <c r="C27" s="76" t="str" cm="1">
        <f t="array" ref="C27">_xlfn.LET(_xlpm.DI_town, _xlfn.XLOOKUP(A27, [2]!DOT_Projects[[#All],[Engineering Number]], [2]!DOT_Projects[[#All],[Town]], ""), _xlpm.DI_tm_town, _xlfn.XLOOKUP(A27, [2]!Table7[[#All],[Eng Number]], [2]!Table7[[#All],[Town]], ""), _xlpm.TR_town, _xlfn.XLOOKUP(A27, [1]!CRA_Projects31213[[#All],[Engineering Number]], [1]!CRA_Projects31213[[#All],[Town]]), _xlpm.TR_tm_town, _xlfn.XLOOKUP(A27, [1]!CRA_Projects312132[[#All],[Engineering Number]], [1]!CRA_Projects312132[[#All],[Town]]),_xlfn.SWITCH($J27, 1, _xlpm.DI_town, 2, _xlpm.DI_tm_town, 3, _xlpm.TR_town, 4, _xlpm.TR_tm_town, "Number not Found"))</f>
        <v>BLOOMINGTON</v>
      </c>
      <c r="D27" s="96" cm="1">
        <f t="array" ref="D27">_xlfn.LET(_xlpm.DI_date, _xlfn.XLOOKUP(A27, [2]!DOT_Projects[[#All],[Engineering Number]], [2]!DOT_Projects[[#All],[Engineering Approved Design Date]]), _xlpm.DI_tm_date, _xlfn.XLOOKUP(A27, [2]!Table7[[#All],[Eng Number]], [2]!Table7[[#All],[Target
Release Date]]), _xlpm.TR_date, _xlfn.XLOOKUP(A27, [1]!CRA_Projects31213[[#All],[Engineering Number]], [1]!CRA_Projects31213[[#All],[Engineering Approved Design Date]]), _xlpm.TR_tm_date, _xlfn.XLOOKUP(A27, [1]!CRA_Projects312132[[#All],[Engineering Number]], [1]!CRA_Projects312132[[#All],[Engineering Approved Design Date]]), _xlpm.date_lookup, _xlfn.SWITCH($J27, 1, _xlpm.DI_date, 2, _xlpm.DI_tm_date, 3, _xlpm.TR_date, 4, _xlpm.TR_tm_date, "Number not Found"), IFERROR(IF(DAY(_xlpm.date_lookup)&lt;=15, DATE(YEAR(_xlpm.date_lookup), MONTH(_xlpm.date_lookup), 1), DATE(YEAR(_xlpm.date_lookup), MONTH(_xlpm.date_lookup)+1, 1)), "Number not Found"))</f>
        <v>45962</v>
      </c>
      <c r="E27" s="175">
        <v>500000</v>
      </c>
      <c r="F27" s="127">
        <f t="shared" si="5"/>
        <v>50000</v>
      </c>
      <c r="G27" s="122">
        <v>0</v>
      </c>
      <c r="H27" s="122">
        <f t="shared" si="6"/>
        <v>50000</v>
      </c>
      <c r="I27" s="98" t="s">
        <v>452</v>
      </c>
      <c r="J27">
        <f>_xlfn.LET(_xlpm.is_DI_dot, IF(IFERROR(MATCH(A27,'Engineering Numbers Ref'!A:A, 0),0)&gt;0, 1, 0), _xlpm.is_DI_tm, IF(IFERROR(MATCH(A27,'Engineering Numbers Ref'!B:B, 0),0)&gt;0, 2, 0), _xlpm.is_TR_dot, IF(IFERROR(MATCH(A27,'Engineering Numbers Ref'!C:C, 0),0)&gt;0,3,0), _xlpm.is_TR_tm, IF(IFERROR(MATCH(A27,'Engineering Numbers Ref'!D:D, 0),0)&gt;0,4,0), _xlpm.is_DI_dot+_xlpm.is_DI_tm+_xlpm.is_TR_dot+_xlpm.is_TR_tm)</f>
        <v>1</v>
      </c>
    </row>
    <row r="28" spans="1:12" x14ac:dyDescent="0.25">
      <c r="A28" s="169" t="s">
        <v>415</v>
      </c>
      <c r="B28" s="76" t="str" cm="1">
        <f t="array" ref="B28">_xlfn.LET(_xlpm.DI_name, _xlfn.XLOOKUP(A28, [2]!DOT_Projects[[#All],[Engineering Number]], [2]!DOT_Projects[[#All],[Designer Name]], ""), _xlpm.DI_tm_name, _xlfn.XLOOKUP(A28, [2]!Table7[[#All],[Eng Number]], [2]!Table7[[#All],[Designer Name]], ""), _xlpm.TR_name, _xlfn.XLOOKUP(A28, [1]!CRA_Projects31213[[#All],[Engineering Number]], [1]!CRA_Projects31213[[#All],[KH Project Lead]]), _xlpm.TR_tm_name, _xlfn.XLOOKUP(A28, [1]!CRA_Projects312132[[#All],[Engineering Number]], [1]!CRA_Projects312132[[#All],[Designer Supervisor]]), _xlfn.SWITCH($J28, 1, _xlpm.DI_name, 2, _xlpm.DI_tm_name, 3, _xlpm.TR_name, 4, _xlpm.TR_tm_name, "Number not Found"))</f>
        <v>Camille Corbi</v>
      </c>
      <c r="C28" s="78" t="str" cm="1">
        <f t="array" ref="C28">_xlfn.LET(_xlpm.DI_town, _xlfn.XLOOKUP(A28, [2]!DOT_Projects[[#All],[Engineering Number]], [2]!DOT_Projects[[#All],[Town]], ""), _xlpm.DI_tm_town, _xlfn.XLOOKUP(A28, [2]!Table7[[#All],[Eng Number]], [2]!Table7[[#All],[Town]], ""), _xlpm.TR_town, _xlfn.XLOOKUP(A28, [1]!CRA_Projects31213[[#All],[Engineering Number]], [1]!CRA_Projects31213[[#All],[Town]]), _xlpm.TR_tm_town, _xlfn.XLOOKUP(A28, [1]!CRA_Projects312132[[#All],[Engineering Number]], [1]!CRA_Projects312132[[#All],[Town]]),_xlfn.SWITCH($J28, 1, _xlpm.DI_town, 2, _xlpm.DI_tm_town, 3, _xlpm.TR_town, 4, _xlpm.TR_tm_town, "Number not Found"))</f>
        <v>NEW LENOX</v>
      </c>
      <c r="D28" s="96" cm="1">
        <f t="array" ref="D28">_xlfn.LET(_xlpm.DI_date, _xlfn.XLOOKUP(A28, [2]!DOT_Projects[[#All],[Engineering Number]], [2]!DOT_Projects[[#All],[Engineering Approved Design Date]]), _xlpm.DI_tm_date, _xlfn.XLOOKUP(A28, [2]!Table7[[#All],[Eng Number]], [2]!Table7[[#All],[Target
Release Date]]), _xlpm.TR_date, _xlfn.XLOOKUP(A28, [1]!CRA_Projects31213[[#All],[Engineering Number]], [1]!CRA_Projects31213[[#All],[Engineering Approved Design Date]]), _xlpm.TR_tm_date, _xlfn.XLOOKUP(A28, [1]!CRA_Projects312132[[#All],[Engineering Number]], [1]!CRA_Projects312132[[#All],[Engineering Approved Design Date]]), _xlpm.date_lookup, _xlfn.SWITCH($J28, 1, _xlpm.DI_date, 2, _xlpm.DI_tm_date, 3, _xlpm.TR_date, 4, _xlpm.TR_tm_date, "Number not Found"), IFERROR(IF(DAY(_xlpm.date_lookup)&lt;=15, DATE(YEAR(_xlpm.date_lookup), MONTH(_xlpm.date_lookup), 1), DATE(YEAR(_xlpm.date_lookup), MONTH(_xlpm.date_lookup)+1, 1)), "Number not Found"))</f>
        <v>45992</v>
      </c>
      <c r="E28" s="175">
        <v>800000</v>
      </c>
      <c r="F28" s="127">
        <f t="shared" si="5"/>
        <v>80000</v>
      </c>
      <c r="G28" s="122">
        <v>0</v>
      </c>
      <c r="H28" s="122">
        <f t="shared" si="6"/>
        <v>80000</v>
      </c>
      <c r="I28" s="147"/>
      <c r="J28">
        <f>_xlfn.LET(_xlpm.is_DI_dot, IF(IFERROR(MATCH(A28,'Engineering Numbers Ref'!A:A, 0),0)&gt;0, 1, 0), _xlpm.is_DI_tm, IF(IFERROR(MATCH(A28,'Engineering Numbers Ref'!B:B, 0),0)&gt;0, 2, 0), _xlpm.is_TR_dot, IF(IFERROR(MATCH(A28,'Engineering Numbers Ref'!C:C, 0),0)&gt;0,3,0), _xlpm.is_TR_tm, IF(IFERROR(MATCH(A28,'Engineering Numbers Ref'!D:D, 0),0)&gt;0,4,0), _xlpm.is_DI_dot+_xlpm.is_DI_tm+_xlpm.is_TR_dot+_xlpm.is_TR_tm)</f>
        <v>1</v>
      </c>
    </row>
    <row r="29" spans="1:12" x14ac:dyDescent="0.25">
      <c r="A29" s="169" t="s">
        <v>333</v>
      </c>
      <c r="B29" s="76" t="str" cm="1">
        <f t="array" ref="B29">_xlfn.LET(_xlpm.DI_name, _xlfn.XLOOKUP(A29, [2]!DOT_Projects[[#All],[Engineering Number]], [2]!DOT_Projects[[#All],[Designer Name]], ""), _xlpm.DI_tm_name, _xlfn.XLOOKUP(A29, [2]!Table7[[#All],[Eng Number]], [2]!Table7[[#All],[Designer Name]], ""), _xlpm.TR_name, _xlfn.XLOOKUP(A29, [1]!CRA_Projects31213[[#All],[Engineering Number]], [1]!CRA_Projects31213[[#All],[KH Project Lead]]), _xlpm.TR_tm_name, _xlfn.XLOOKUP(A29, [1]!CRA_Projects312132[[#All],[Engineering Number]], [1]!CRA_Projects312132[[#All],[Designer Supervisor]]), _xlfn.SWITCH($J29, 1, _xlpm.DI_name, 2, _xlpm.DI_tm_name, 3, _xlpm.TR_name, 4, _xlpm.TR_tm_name, "Number not Found"))</f>
        <v>Caroline Kulach</v>
      </c>
      <c r="C29" s="78" t="str" cm="1">
        <f t="array" ref="C29">_xlfn.LET(_xlpm.DI_town, _xlfn.XLOOKUP(A29, [2]!DOT_Projects[[#All],[Engineering Number]], [2]!DOT_Projects[[#All],[Town]], ""), _xlpm.DI_tm_town, _xlfn.XLOOKUP(A29, [2]!Table7[[#All],[Eng Number]], [2]!Table7[[#All],[Town]], ""), _xlpm.TR_town, _xlfn.XLOOKUP(A29, [1]!CRA_Projects31213[[#All],[Engineering Number]], [1]!CRA_Projects31213[[#All],[Town]]), _xlpm.TR_tm_town, _xlfn.XLOOKUP(A29, [1]!CRA_Projects312132[[#All],[Engineering Number]], [1]!CRA_Projects312132[[#All],[Town]]),_xlfn.SWITCH($J29, 1, _xlpm.DI_town, 2, _xlpm.DI_tm_town, 3, _xlpm.TR_town, 4, _xlpm.TR_tm_town, "Number not Found"))</f>
        <v>FORD HEIGHTS</v>
      </c>
      <c r="D29" s="96" cm="1">
        <f t="array" ref="D29">_xlfn.LET(_xlpm.DI_date, _xlfn.XLOOKUP(A29, [2]!DOT_Projects[[#All],[Engineering Number]], [2]!DOT_Projects[[#All],[Engineering Approved Design Date]]), _xlpm.DI_tm_date, _xlfn.XLOOKUP(A29, [2]!Table7[[#All],[Eng Number]], [2]!Table7[[#All],[Target
Release Date]]), _xlpm.TR_date, _xlfn.XLOOKUP(A29, [1]!CRA_Projects31213[[#All],[Engineering Number]], [1]!CRA_Projects31213[[#All],[Engineering Approved Design Date]]), _xlpm.TR_tm_date, _xlfn.XLOOKUP(A29, [1]!CRA_Projects312132[[#All],[Engineering Number]], [1]!CRA_Projects312132[[#All],[Engineering Approved Design Date]]), _xlpm.date_lookup, _xlfn.SWITCH($J29, 1, _xlpm.DI_date, 2, _xlpm.DI_tm_date, 3, _xlpm.TR_date, 4, _xlpm.TR_tm_date, "Number not Found"), IFERROR(IF(DAY(_xlpm.date_lookup)&lt;=15, DATE(YEAR(_xlpm.date_lookup), MONTH(_xlpm.date_lookup), 1), DATE(YEAR(_xlpm.date_lookup), MONTH(_xlpm.date_lookup)+1, 1)), "Number not Found"))</f>
        <v>45962</v>
      </c>
      <c r="E29" s="187">
        <v>400000</v>
      </c>
      <c r="F29" s="127">
        <f t="shared" si="5"/>
        <v>40000</v>
      </c>
      <c r="G29" s="122">
        <v>0</v>
      </c>
      <c r="H29" s="122">
        <f t="shared" si="6"/>
        <v>40000</v>
      </c>
      <c r="I29" s="98" t="s">
        <v>445</v>
      </c>
      <c r="J29">
        <f>_xlfn.LET(_xlpm.is_DI_dot, IF(IFERROR(MATCH(A29,'Engineering Numbers Ref'!A:A, 0),0)&gt;0, 1, 0), _xlpm.is_DI_tm, IF(IFERROR(MATCH(A29,'Engineering Numbers Ref'!B:B, 0),0)&gt;0, 2, 0), _xlpm.is_TR_dot, IF(IFERROR(MATCH(A29,'Engineering Numbers Ref'!C:C, 0),0)&gt;0,3,0), _xlpm.is_TR_tm, IF(IFERROR(MATCH(A29,'Engineering Numbers Ref'!D:D, 0),0)&gt;0,4,0), _xlpm.is_DI_dot+_xlpm.is_DI_tm+_xlpm.is_TR_dot+_xlpm.is_TR_tm)</f>
        <v>1</v>
      </c>
    </row>
    <row r="30" spans="1:12" ht="45" x14ac:dyDescent="0.25">
      <c r="A30" s="169" t="s">
        <v>335</v>
      </c>
      <c r="B30" s="76" t="str" cm="1">
        <f t="array" ref="B30">_xlfn.LET(_xlpm.DI_name, _xlfn.XLOOKUP(A30, [2]!DOT_Projects[[#All],[Engineering Number]], [2]!DOT_Projects[[#All],[Designer Name]], ""), _xlpm.DI_tm_name, _xlfn.XLOOKUP(A30, [2]!Table7[[#All],[Eng Number]], [2]!Table7[[#All],[Designer Name]], ""), _xlpm.TR_name, _xlfn.XLOOKUP(A30, [1]!CRA_Projects31213[[#All],[Engineering Number]], [1]!CRA_Projects31213[[#All],[KH Project Lead]]), _xlpm.TR_tm_name, _xlfn.XLOOKUP(A30, [1]!CRA_Projects312132[[#All],[Engineering Number]], [1]!CRA_Projects312132[[#All],[Designer Supervisor]]), _xlfn.SWITCH($J30, 1, _xlpm.DI_name, 2, _xlpm.DI_tm_name, 3, _xlpm.TR_name, 4, _xlpm.TR_tm_name, "Number not Found"))</f>
        <v>Taylor Lierow</v>
      </c>
      <c r="C30" s="78" t="str" cm="1">
        <f t="array" ref="C30">_xlfn.LET(_xlpm.DI_town, _xlfn.XLOOKUP(A30, [2]!DOT_Projects[[#All],[Engineering Number]], [2]!DOT_Projects[[#All],[Town]], ""), _xlpm.DI_tm_town, _xlfn.XLOOKUP(A30, [2]!Table7[[#All],[Eng Number]], [2]!Table7[[#All],[Town]], ""), _xlpm.TR_town, _xlfn.XLOOKUP(A30, [1]!CRA_Projects31213[[#All],[Engineering Number]], [1]!CRA_Projects31213[[#All],[Town]]), _xlpm.TR_tm_town, _xlfn.XLOOKUP(A30, [1]!CRA_Projects312132[[#All],[Engineering Number]], [1]!CRA_Projects312132[[#All],[Town]]),_xlfn.SWITCH($J30, 1, _xlpm.DI_town, 2, _xlpm.DI_tm_town, 3, _xlpm.TR_town, 4, _xlpm.TR_tm_town, "Number not Found"))</f>
        <v>WESTMONT</v>
      </c>
      <c r="D30" s="96" cm="1">
        <f t="array" ref="D30">_xlfn.LET(_xlpm.DI_date, _xlfn.XLOOKUP(A30, [2]!DOT_Projects[[#All],[Engineering Number]], [2]!DOT_Projects[[#All],[Engineering Approved Design Date]]), _xlpm.DI_tm_date, _xlfn.XLOOKUP(A30, [2]!Table7[[#All],[Eng Number]], [2]!Table7[[#All],[Target
Release Date]]), _xlpm.TR_date, _xlfn.XLOOKUP(A30, [1]!CRA_Projects31213[[#All],[Engineering Number]], [1]!CRA_Projects31213[[#All],[Engineering Approved Design Date]]), _xlpm.TR_tm_date, _xlfn.XLOOKUP(A30, [1]!CRA_Projects312132[[#All],[Engineering Number]], [1]!CRA_Projects312132[[#All],[Engineering Approved Design Date]]), _xlpm.date_lookup, _xlfn.SWITCH($J30, 1, _xlpm.DI_date, 2, _xlpm.DI_tm_date, 3, _xlpm.TR_date, 4, _xlpm.TR_tm_date, "Number not Found"), IFERROR(IF(DAY(_xlpm.date_lookup)&lt;=15, DATE(YEAR(_xlpm.date_lookup), MONTH(_xlpm.date_lookup), 1), DATE(YEAR(_xlpm.date_lookup), MONTH(_xlpm.date_lookup)+1, 1)), "Number not Found"))</f>
        <v>45962</v>
      </c>
      <c r="E30" s="175">
        <v>600000</v>
      </c>
      <c r="F30" s="127">
        <f t="shared" si="5"/>
        <v>60000</v>
      </c>
      <c r="G30" s="122">
        <v>0</v>
      </c>
      <c r="H30" s="122">
        <f t="shared" si="6"/>
        <v>60000</v>
      </c>
      <c r="I30" s="98" t="s">
        <v>448</v>
      </c>
      <c r="J30">
        <f>_xlfn.LET(_xlpm.is_DI_dot, IF(IFERROR(MATCH(A30,'Engineering Numbers Ref'!A:A, 0),0)&gt;0, 1, 0), _xlpm.is_DI_tm, IF(IFERROR(MATCH(A30,'Engineering Numbers Ref'!B:B, 0),0)&gt;0, 2, 0), _xlpm.is_TR_dot, IF(IFERROR(MATCH(A30,'Engineering Numbers Ref'!C:C, 0),0)&gt;0,3,0), _xlpm.is_TR_tm, IF(IFERROR(MATCH(A30,'Engineering Numbers Ref'!D:D, 0),0)&gt;0,4,0), _xlpm.is_DI_dot+_xlpm.is_DI_tm+_xlpm.is_TR_dot+_xlpm.is_TR_tm)</f>
        <v>1</v>
      </c>
    </row>
    <row r="31" spans="1:12" x14ac:dyDescent="0.25">
      <c r="A31" s="173" t="s">
        <v>295</v>
      </c>
      <c r="B31" s="76" t="str" cm="1">
        <f t="array" ref="B31">_xlfn.LET(_xlpm.DI_name, _xlfn.XLOOKUP(A31, [2]!DOT_Projects[[#All],[Engineering Number]], [2]!DOT_Projects[[#All],[Designer Name]], ""), _xlpm.DI_tm_name, _xlfn.XLOOKUP(A31, [2]!Table7[[#All],[Eng Number]], [2]!Table7[[#All],[Designer Name]], ""), _xlpm.TR_name, _xlfn.XLOOKUP(A31, [1]!CRA_Projects31213[[#All],[Engineering Number]], [1]!CRA_Projects31213[[#All],[KH Project Lead]]), _xlpm.TR_tm_name, _xlfn.XLOOKUP(A31, [1]!CRA_Projects312132[[#All],[Engineering Number]], [1]!CRA_Projects312132[[#All],[Designer Supervisor]]), _xlfn.SWITCH($J31, 1, _xlpm.DI_name, 2, _xlpm.DI_tm_name, 3, _xlpm.TR_name, 4, _xlpm.TR_tm_name, "Number not Found"))</f>
        <v>Camille Corbi
(Caroline Kulach)</v>
      </c>
      <c r="C31" s="78" t="str" cm="1">
        <f t="array" ref="C31">_xlfn.LET(_xlpm.DI_town, _xlfn.XLOOKUP(A31, [2]!DOT_Projects[[#All],[Engineering Number]], [2]!DOT_Projects[[#All],[Town]], ""), _xlpm.DI_tm_town, _xlfn.XLOOKUP(A31, [2]!Table7[[#All],[Eng Number]], [2]!Table7[[#All],[Town]], ""), _xlpm.TR_town, _xlfn.XLOOKUP(A31, [1]!CRA_Projects31213[[#All],[Engineering Number]], [1]!CRA_Projects31213[[#All],[Town]]), _xlpm.TR_tm_town, _xlfn.XLOOKUP(A31, [1]!CRA_Projects312132[[#All],[Engineering Number]], [1]!CRA_Projects312132[[#All],[Town]]),_xlfn.SWITCH($J31, 1, _xlpm.DI_town, 2, _xlpm.DI_tm_town, 3, _xlpm.TR_town, 4, _xlpm.TR_tm_town, "Number not Found"))</f>
        <v>GILMAN</v>
      </c>
      <c r="D31" s="96" cm="1">
        <f t="array" ref="D31">_xlfn.LET(_xlpm.DI_date, _xlfn.XLOOKUP(A31, [2]!DOT_Projects[[#All],[Engineering Number]], [2]!DOT_Projects[[#All],[Engineering Approved Design Date]]), _xlpm.DI_tm_date, _xlfn.XLOOKUP(A31, [2]!Table7[[#All],[Eng Number]], [2]!Table7[[#All],[Target
Release Date]]), _xlpm.TR_date, _xlfn.XLOOKUP(A31, [1]!CRA_Projects31213[[#All],[Engineering Number]], [1]!CRA_Projects31213[[#All],[Engineering Approved Design Date]]), _xlpm.TR_tm_date, _xlfn.XLOOKUP(A31, [1]!CRA_Projects312132[[#All],[Engineering Number]], [1]!CRA_Projects312132[[#All],[Engineering Approved Design Date]]), _xlpm.date_lookup, _xlfn.SWITCH($J31, 1, _xlpm.DI_date, 2, _xlpm.DI_tm_date, 3, _xlpm.TR_date, 4, _xlpm.TR_tm_date, "Number not Found"), IFERROR(IF(DAY(_xlpm.date_lookup)&lt;=15, DATE(YEAR(_xlpm.date_lookup), MONTH(_xlpm.date_lookup), 1), DATE(YEAR(_xlpm.date_lookup), MONTH(_xlpm.date_lookup)+1, 1)), "Number not Found"))</f>
        <v>45992</v>
      </c>
      <c r="E31" s="187">
        <v>150000</v>
      </c>
      <c r="F31" s="127">
        <f t="shared" si="5"/>
        <v>15000</v>
      </c>
      <c r="G31" s="122">
        <v>0</v>
      </c>
      <c r="H31" s="122">
        <f t="shared" si="6"/>
        <v>15000</v>
      </c>
      <c r="I31" s="98" t="s">
        <v>444</v>
      </c>
      <c r="J31">
        <f>_xlfn.LET(_xlpm.is_DI_dot, IF(IFERROR(MATCH(A31,'Engineering Numbers Ref'!A:A, 0),0)&gt;0, 1, 0), _xlpm.is_DI_tm, IF(IFERROR(MATCH(A31,'Engineering Numbers Ref'!B:B, 0),0)&gt;0, 2, 0), _xlpm.is_TR_dot, IF(IFERROR(MATCH(A31,'Engineering Numbers Ref'!C:C, 0),0)&gt;0,3,0), _xlpm.is_TR_tm, IF(IFERROR(MATCH(A31,'Engineering Numbers Ref'!D:D, 0),0)&gt;0,4,0), _xlpm.is_DI_dot+_xlpm.is_DI_tm+_xlpm.is_TR_dot+_xlpm.is_TR_tm)</f>
        <v>1</v>
      </c>
    </row>
    <row r="32" spans="1:12" ht="30" x14ac:dyDescent="0.25">
      <c r="A32" s="249" t="s">
        <v>366</v>
      </c>
      <c r="B32" s="76" t="str" cm="1">
        <f t="array" ref="B32">_xlfn.LET(_xlpm.DI_name, _xlfn.XLOOKUP(A32, [2]!DOT_Projects[[#All],[Engineering Number]], [2]!DOT_Projects[[#All],[Designer Name]], ""), _xlpm.DI_tm_name, _xlfn.XLOOKUP(A32, [2]!Table7[[#All],[Eng Number]], [2]!Table7[[#All],[Designer Name]], ""), _xlpm.TR_name, _xlfn.XLOOKUP(A32, [1]!CRA_Projects31213[[#All],[Engineering Number]], [1]!CRA_Projects31213[[#All],[KH Project Lead]]), _xlpm.TR_tm_name, _xlfn.XLOOKUP(A32, [1]!CRA_Projects312132[[#All],[Engineering Number]], [1]!CRA_Projects312132[[#All],[Designer Supervisor]]), _xlfn.SWITCH($J32, 1, _xlpm.DI_name, 2, _xlpm.DI_tm_name, 3, _xlpm.TR_name, 4, _xlpm.TR_tm_name, "Number not Found"))</f>
        <v>Mark Stanley</v>
      </c>
      <c r="C32" s="78" t="str" cm="1">
        <f t="array" ref="C32">_xlfn.LET(_xlpm.DI_town, _xlfn.XLOOKUP(A32, [2]!DOT_Projects[[#All],[Engineering Number]], [2]!DOT_Projects[[#All],[Town]], ""), _xlpm.DI_tm_town, _xlfn.XLOOKUP(A32, [2]!Table7[[#All],[Eng Number]], [2]!Table7[[#All],[Town]], ""), _xlpm.TR_town, _xlfn.XLOOKUP(A32, [1]!CRA_Projects31213[[#All],[Engineering Number]], [1]!CRA_Projects31213[[#All],[Town]]), _xlpm.TR_tm_town, _xlfn.XLOOKUP(A32, [1]!CRA_Projects312132[[#All],[Engineering Number]], [1]!CRA_Projects312132[[#All],[Town]]),_xlfn.SWITCH($J32, 1, _xlpm.DI_town, 2, _xlpm.DI_tm_town, 3, _xlpm.TR_town, 4, _xlpm.TR_tm_town, "Number not Found"))</f>
        <v>PONTIAC</v>
      </c>
      <c r="D32" s="96" cm="1">
        <f t="array" ref="D32">_xlfn.LET(_xlpm.DI_date, _xlfn.XLOOKUP(A32, [2]!DOT_Projects[[#All],[Engineering Number]], [2]!DOT_Projects[[#All],[Engineering Approved Design Date]]), _xlpm.DI_tm_date, _xlfn.XLOOKUP(A32, [2]!Table7[[#All],[Eng Number]], [2]!Table7[[#All],[Target
Release Date]]), _xlpm.TR_date, _xlfn.XLOOKUP(A32, [1]!CRA_Projects31213[[#All],[Engineering Number]], [1]!CRA_Projects31213[[#All],[Engineering Approved Design Date]]), _xlpm.TR_tm_date, _xlfn.XLOOKUP(A32, [1]!CRA_Projects312132[[#All],[Engineering Number]], [1]!CRA_Projects312132[[#All],[Engineering Approved Design Date]]), _xlpm.date_lookup, _xlfn.SWITCH($J32, 1, _xlpm.DI_date, 2, _xlpm.DI_tm_date, 3, _xlpm.TR_date, 4, _xlpm.TR_tm_date, "Number not Found"), IFERROR(IF(DAY(_xlpm.date_lookup)&lt;=15, DATE(YEAR(_xlpm.date_lookup), MONTH(_xlpm.date_lookup), 1), DATE(YEAR(_xlpm.date_lookup), MONTH(_xlpm.date_lookup)+1, 1)), "Number not Found"))</f>
        <v>45962</v>
      </c>
      <c r="E32" s="175">
        <v>340000</v>
      </c>
      <c r="F32" s="127">
        <f t="shared" si="5"/>
        <v>34000</v>
      </c>
      <c r="G32" s="122">
        <v>0</v>
      </c>
      <c r="H32" s="122">
        <f t="shared" si="6"/>
        <v>34000</v>
      </c>
      <c r="I32" s="98" t="s">
        <v>450</v>
      </c>
      <c r="J32">
        <f>_xlfn.LET(_xlpm.is_DI_dot, IF(IFERROR(MATCH(A32,'Engineering Numbers Ref'!A:A, 0),0)&gt;0, 1, 0), _xlpm.is_DI_tm, IF(IFERROR(MATCH(A32,'Engineering Numbers Ref'!B:B, 0),0)&gt;0, 2, 0), _xlpm.is_TR_dot, IF(IFERROR(MATCH(A32,'Engineering Numbers Ref'!C:C, 0),0)&gt;0,3,0), _xlpm.is_TR_tm, IF(IFERROR(MATCH(A32,'Engineering Numbers Ref'!D:D, 0),0)&gt;0,4,0), _xlpm.is_DI_dot+_xlpm.is_DI_tm+_xlpm.is_TR_dot+_xlpm.is_TR_tm)</f>
        <v>1</v>
      </c>
    </row>
    <row r="33" spans="1:14" hidden="1" x14ac:dyDescent="0.25">
      <c r="A33" s="160"/>
      <c r="B33" s="76" t="str" cm="1">
        <f t="array" ref="B33">_xlfn.LET(_xlpm.DI_name, _xlfn.XLOOKUP(A33, [2]!DOT_Projects[[#All],[Engineering Number]], [2]!DOT_Projects[[#All],[Designer Name]], ""), _xlpm.DI_tm_name, _xlfn.XLOOKUP(A33, [2]!Table7[[#All],[Eng Number]], [2]!Table7[[#All],[Designer Name]], ""), _xlpm.TR_name, _xlfn.XLOOKUP(A33, [1]!CRA_Projects31213[[#All],[Engineering Number]], [1]!CRA_Projects31213[[#All],[KH Project Lead]]), _xlpm.TR_tm_name, _xlfn.XLOOKUP(A33, [1]!CRA_Projects312132[[#All],[Engineering Number]], [1]!CRA_Projects312132[[#All],[Designer Supervisor]]), _xlfn.SWITCH($J33, 1, _xlpm.DI_name, 2, _xlpm.DI_tm_name, 3, _xlpm.TR_name, 4, _xlpm.TR_tm_name, "Number not Found"))</f>
        <v>Number not Found</v>
      </c>
      <c r="C33" s="78" t="str" cm="1">
        <f t="array" ref="C33">_xlfn.LET(_xlpm.DI_town, _xlfn.XLOOKUP(A33, [2]!DOT_Projects[[#All],[Engineering Number]], [2]!DOT_Projects[[#All],[Town]], ""), _xlpm.DI_tm_town, _xlfn.XLOOKUP(A33, [2]!Table7[[#All],[Eng Number]], [2]!Table7[[#All],[Town]], ""), _xlpm.TR_town, _xlfn.XLOOKUP(A33, [1]!CRA_Projects31213[[#All],[Engineering Number]], [1]!CRA_Projects31213[[#All],[Town]]), _xlpm.TR_tm_town, _xlfn.XLOOKUP(A33, [1]!CRA_Projects312132[[#All],[Engineering Number]], [1]!CRA_Projects312132[[#All],[Town]]),_xlfn.SWITCH($J33, 1, _xlpm.DI_town, 2, _xlpm.DI_tm_town, 3, _xlpm.TR_town, 4, _xlpm.TR_tm_town, "Number not Found"))</f>
        <v>Number not Found</v>
      </c>
      <c r="D33" s="96" t="str" cm="1">
        <f t="array" ref="D33">_xlfn.LET(_xlpm.DI_date, _xlfn.XLOOKUP(A33, [2]!DOT_Projects[[#All],[Engineering Number]], [2]!DOT_Projects[[#All],[Engineering Approved Design Date]]), _xlpm.DI_tm_date, _xlfn.XLOOKUP(A33, [2]!Table7[[#All],[Eng Number]], [2]!Table7[[#All],[Target
Release Date]]), _xlpm.TR_date, _xlfn.XLOOKUP(A33, [1]!CRA_Projects31213[[#All],[Engineering Number]], [1]!CRA_Projects31213[[#All],[Engineering Approved Design Date]]), _xlpm.TR_tm_date, _xlfn.XLOOKUP(A33, [1]!CRA_Projects312132[[#All],[Engineering Number]], [1]!CRA_Projects312132[[#All],[Engineering Approved Design Date]]), _xlpm.date_lookup, _xlfn.SWITCH($J33, 1, _xlpm.DI_date, 2, _xlpm.DI_tm_date, 3, _xlpm.TR_date, 4, _xlpm.TR_tm_date, "Number not Found"), IFERROR(IF(DAY(_xlpm.date_lookup)&lt;=15, DATE(YEAR(_xlpm.date_lookup), MONTH(_xlpm.date_lookup), 1), DATE(YEAR(_xlpm.date_lookup), MONTH(_xlpm.date_lookup)+1, 1)), "Number not Found"))</f>
        <v>Number not Found</v>
      </c>
      <c r="E33" s="251"/>
      <c r="F33" s="127">
        <f t="shared" si="5"/>
        <v>0</v>
      </c>
      <c r="G33" s="122">
        <v>0</v>
      </c>
      <c r="H33" s="122">
        <f t="shared" si="6"/>
        <v>0</v>
      </c>
      <c r="I33" s="98"/>
      <c r="J33">
        <f>_xlfn.LET(_xlpm.is_DI_dot, IF(IFERROR(MATCH(A33,'Engineering Numbers Ref'!A:A, 0),0)&gt;0, 1, 0), _xlpm.is_DI_tm, IF(IFERROR(MATCH(A33,'Engineering Numbers Ref'!B:B, 0),0)&gt;0, 2, 0), _xlpm.is_TR_dot, IF(IFERROR(MATCH(A33,'Engineering Numbers Ref'!C:C, 0),0)&gt;0,3,0), _xlpm.is_TR_tm, IF(IFERROR(MATCH(A33,'Engineering Numbers Ref'!D:D, 0),0)&gt;0,4,0), _xlpm.is_DI_dot+_xlpm.is_DI_tm+_xlpm.is_TR_dot+_xlpm.is_TR_tm)</f>
        <v>0</v>
      </c>
    </row>
    <row r="34" spans="1:14" hidden="1" x14ac:dyDescent="0.25">
      <c r="A34" s="160"/>
      <c r="B34" s="76" t="str" cm="1">
        <f t="array" ref="B34">_xlfn.LET(_xlpm.DI_name, _xlfn.XLOOKUP(A34, [2]!DOT_Projects[[#All],[Engineering Number]], [2]!DOT_Projects[[#All],[Designer Name]], ""), _xlpm.DI_tm_name, _xlfn.XLOOKUP(A34, [2]!Table7[[#All],[Eng Number]], [2]!Table7[[#All],[Designer Name]], ""), _xlpm.TR_name, _xlfn.XLOOKUP(A34, [1]!CRA_Projects31213[[#All],[Engineering Number]], [1]!CRA_Projects31213[[#All],[KH Project Lead]]), _xlpm.TR_tm_name, _xlfn.XLOOKUP(A34, [1]!CRA_Projects312132[[#All],[Engineering Number]], [1]!CRA_Projects312132[[#All],[Designer Supervisor]]), _xlfn.SWITCH($J34, 1, _xlpm.DI_name, 2, _xlpm.DI_tm_name, 3, _xlpm.TR_name, 4, _xlpm.TR_tm_name, "Number not Found"))</f>
        <v>Number not Found</v>
      </c>
      <c r="C34" s="78" t="str" cm="1">
        <f t="array" ref="C34">_xlfn.LET(_xlpm.DI_town, _xlfn.XLOOKUP(A34, [2]!DOT_Projects[[#All],[Engineering Number]], [2]!DOT_Projects[[#All],[Town]], ""), _xlpm.DI_tm_town, _xlfn.XLOOKUP(A34, [2]!Table7[[#All],[Eng Number]], [2]!Table7[[#All],[Town]], ""), _xlpm.TR_town, _xlfn.XLOOKUP(A34, [1]!CRA_Projects31213[[#All],[Engineering Number]], [1]!CRA_Projects31213[[#All],[Town]]), _xlpm.TR_tm_town, _xlfn.XLOOKUP(A34, [1]!CRA_Projects312132[[#All],[Engineering Number]], [1]!CRA_Projects312132[[#All],[Town]]),_xlfn.SWITCH($J34, 1, _xlpm.DI_town, 2, _xlpm.DI_tm_town, 3, _xlpm.TR_town, 4, _xlpm.TR_tm_town, "Number not Found"))</f>
        <v>Number not Found</v>
      </c>
      <c r="D34" s="96" t="str" cm="1">
        <f t="array" ref="D34">_xlfn.LET(_xlpm.DI_date, _xlfn.XLOOKUP(A34, [2]!DOT_Projects[[#All],[Engineering Number]], [2]!DOT_Projects[[#All],[Engineering Approved Design Date]]), _xlpm.DI_tm_date, _xlfn.XLOOKUP(A34, [2]!Table7[[#All],[Eng Number]], [2]!Table7[[#All],[Target
Release Date]]), _xlpm.TR_date, _xlfn.XLOOKUP(A34, [1]!CRA_Projects31213[[#All],[Engineering Number]], [1]!CRA_Projects31213[[#All],[Engineering Approved Design Date]]), _xlpm.TR_tm_date, _xlfn.XLOOKUP(A34, [1]!CRA_Projects312132[[#All],[Engineering Number]], [1]!CRA_Projects312132[[#All],[Engineering Approved Design Date]]), _xlpm.date_lookup, _xlfn.SWITCH($J34, 1, _xlpm.DI_date, 2, _xlpm.DI_tm_date, 3, _xlpm.TR_date, 4, _xlpm.TR_tm_date, "Number not Found"), IFERROR(IF(DAY(_xlpm.date_lookup)&lt;=15, DATE(YEAR(_xlpm.date_lookup), MONTH(_xlpm.date_lookup), 1), DATE(YEAR(_xlpm.date_lookup), MONTH(_xlpm.date_lookup)+1, 1)), "Number not Found"))</f>
        <v>Number not Found</v>
      </c>
      <c r="E34" s="251"/>
      <c r="F34" s="127">
        <f t="shared" si="5"/>
        <v>0</v>
      </c>
      <c r="G34" s="122">
        <v>0</v>
      </c>
      <c r="H34" s="122">
        <f t="shared" si="6"/>
        <v>0</v>
      </c>
      <c r="I34" s="98"/>
      <c r="J34">
        <f>_xlfn.LET(_xlpm.is_DI_dot, IF(IFERROR(MATCH(A34,'Engineering Numbers Ref'!A:A, 0),0)&gt;0, 1, 0), _xlpm.is_DI_tm, IF(IFERROR(MATCH(A34,'Engineering Numbers Ref'!B:B, 0),0)&gt;0, 2, 0), _xlpm.is_TR_dot, IF(IFERROR(MATCH(A34,'Engineering Numbers Ref'!C:C, 0),0)&gt;0,3,0), _xlpm.is_TR_tm, IF(IFERROR(MATCH(A34,'Engineering Numbers Ref'!D:D, 0),0)&gt;0,4,0), _xlpm.is_DI_dot+_xlpm.is_DI_tm+_xlpm.is_TR_dot+_xlpm.is_TR_tm)</f>
        <v>0</v>
      </c>
    </row>
    <row r="35" spans="1:14" hidden="1" x14ac:dyDescent="0.25">
      <c r="A35" s="160"/>
      <c r="B35" s="76" t="str" cm="1">
        <f t="array" ref="B35">_xlfn.LET(_xlpm.DI_name, _xlfn.XLOOKUP(A35, [2]!DOT_Projects[[#All],[Engineering Number]], [2]!DOT_Projects[[#All],[Designer Name]], ""), _xlpm.DI_tm_name, _xlfn.XLOOKUP(A35, [2]!Table7[[#All],[Eng Number]], [2]!Table7[[#All],[Designer Name]], ""), _xlpm.TR_name, _xlfn.XLOOKUP(A35, [1]!CRA_Projects31213[[#All],[Engineering Number]], [1]!CRA_Projects31213[[#All],[KH Project Lead]]), _xlpm.TR_tm_name, _xlfn.XLOOKUP(A35, [1]!CRA_Projects312132[[#All],[Engineering Number]], [1]!CRA_Projects312132[[#All],[Designer Supervisor]]), _xlfn.SWITCH($J35, 1, _xlpm.DI_name, 2, _xlpm.DI_tm_name, 3, _xlpm.TR_name, 4, _xlpm.TR_tm_name, "Number not Found"))</f>
        <v>Number not Found</v>
      </c>
      <c r="C35" s="78" t="str" cm="1">
        <f t="array" ref="C35">_xlfn.LET(_xlpm.DI_town, _xlfn.XLOOKUP(A35, [2]!DOT_Projects[[#All],[Engineering Number]], [2]!DOT_Projects[[#All],[Town]], ""), _xlpm.DI_tm_town, _xlfn.XLOOKUP(A35, [2]!Table7[[#All],[Eng Number]], [2]!Table7[[#All],[Town]], ""), _xlpm.TR_town, _xlfn.XLOOKUP(A35, [1]!CRA_Projects31213[[#All],[Engineering Number]], [1]!CRA_Projects31213[[#All],[Town]]), _xlpm.TR_tm_town, _xlfn.XLOOKUP(A35, [1]!CRA_Projects312132[[#All],[Engineering Number]], [1]!CRA_Projects312132[[#All],[Town]]),_xlfn.SWITCH($J35, 1, _xlpm.DI_town, 2, _xlpm.DI_tm_town, 3, _xlpm.TR_town, 4, _xlpm.TR_tm_town, "Number not Found"))</f>
        <v>Number not Found</v>
      </c>
      <c r="D35" s="96" t="str" cm="1">
        <f t="array" ref="D35">_xlfn.LET(_xlpm.DI_date, _xlfn.XLOOKUP(A35, [2]!DOT_Projects[[#All],[Engineering Number]], [2]!DOT_Projects[[#All],[Engineering Approved Design Date]]), _xlpm.DI_tm_date, _xlfn.XLOOKUP(A35, [2]!Table7[[#All],[Eng Number]], [2]!Table7[[#All],[Target
Release Date]]), _xlpm.TR_date, _xlfn.XLOOKUP(A35, [1]!CRA_Projects31213[[#All],[Engineering Number]], [1]!CRA_Projects31213[[#All],[Engineering Approved Design Date]]), _xlpm.TR_tm_date, _xlfn.XLOOKUP(A35, [1]!CRA_Projects312132[[#All],[Engineering Number]], [1]!CRA_Projects312132[[#All],[Engineering Approved Design Date]]), _xlpm.date_lookup, _xlfn.SWITCH($J35, 1, _xlpm.DI_date, 2, _xlpm.DI_tm_date, 3, _xlpm.TR_date, 4, _xlpm.TR_tm_date, "Number not Found"), IFERROR(IF(DAY(_xlpm.date_lookup)&lt;=15, DATE(YEAR(_xlpm.date_lookup), MONTH(_xlpm.date_lookup), 1), DATE(YEAR(_xlpm.date_lookup), MONTH(_xlpm.date_lookup)+1, 1)), "Number not Found"))</f>
        <v>Number not Found</v>
      </c>
      <c r="E35" s="251"/>
      <c r="F35" s="127">
        <f t="shared" si="5"/>
        <v>0</v>
      </c>
      <c r="G35" s="122">
        <v>0</v>
      </c>
      <c r="H35" s="122">
        <f t="shared" si="6"/>
        <v>0</v>
      </c>
      <c r="I35" s="147"/>
      <c r="J35">
        <f>_xlfn.LET(_xlpm.is_DI_dot, IF(IFERROR(MATCH(A35,'Engineering Numbers Ref'!A:A, 0),0)&gt;0, 1, 0), _xlpm.is_DI_tm, IF(IFERROR(MATCH(A35,'Engineering Numbers Ref'!B:B, 0),0)&gt;0, 2, 0), _xlpm.is_TR_dot, IF(IFERROR(MATCH(A35,'Engineering Numbers Ref'!C:C, 0),0)&gt;0,3,0), _xlpm.is_TR_tm, IF(IFERROR(MATCH(A35,'Engineering Numbers Ref'!D:D, 0),0)&gt;0,4,0), _xlpm.is_DI_dot+_xlpm.is_DI_tm+_xlpm.is_TR_dot+_xlpm.is_TR_tm)</f>
        <v>0</v>
      </c>
    </row>
    <row r="36" spans="1:14" hidden="1" x14ac:dyDescent="0.25">
      <c r="A36" s="160"/>
      <c r="B36" s="76" t="str" cm="1">
        <f t="array" ref="B36">_xlfn.LET(_xlpm.DI_name, _xlfn.XLOOKUP(A36, [2]!DOT_Projects[[#All],[Engineering Number]], [2]!DOT_Projects[[#All],[Designer Name]], ""), _xlpm.DI_tm_name, _xlfn.XLOOKUP(A36, [2]!Table7[[#All],[Eng Number]], [2]!Table7[[#All],[Designer Name]], ""), _xlpm.TR_name, _xlfn.XLOOKUP(A36, [1]!CRA_Projects31213[[#All],[Engineering Number]], [1]!CRA_Projects31213[[#All],[KH Project Lead]]), _xlpm.TR_tm_name, _xlfn.XLOOKUP(A36, [1]!CRA_Projects312132[[#All],[Engineering Number]], [1]!CRA_Projects312132[[#All],[Designer Supervisor]]), _xlfn.SWITCH($J36, 1, _xlpm.DI_name, 2, _xlpm.DI_tm_name, 3, _xlpm.TR_name, 4, _xlpm.TR_tm_name, "Number not Found"))</f>
        <v>Number not Found</v>
      </c>
      <c r="C36" s="78" t="str" cm="1">
        <f t="array" ref="C36">_xlfn.LET(_xlpm.DI_town, _xlfn.XLOOKUP(A36, [2]!DOT_Projects[[#All],[Engineering Number]], [2]!DOT_Projects[[#All],[Town]], ""), _xlpm.DI_tm_town, _xlfn.XLOOKUP(A36, [2]!Table7[[#All],[Eng Number]], [2]!Table7[[#All],[Town]], ""), _xlpm.TR_town, _xlfn.XLOOKUP(A36, [1]!CRA_Projects31213[[#All],[Engineering Number]], [1]!CRA_Projects31213[[#All],[Town]]), _xlpm.TR_tm_town, _xlfn.XLOOKUP(A36, [1]!CRA_Projects312132[[#All],[Engineering Number]], [1]!CRA_Projects312132[[#All],[Town]]),_xlfn.SWITCH($J36, 1, _xlpm.DI_town, 2, _xlpm.DI_tm_town, 3, _xlpm.TR_town, 4, _xlpm.TR_tm_town, "Number not Found"))</f>
        <v>Number not Found</v>
      </c>
      <c r="D36" s="96" t="str" cm="1">
        <f t="array" ref="D36">_xlfn.LET(_xlpm.DI_date, _xlfn.XLOOKUP(A36, [2]!DOT_Projects[[#All],[Engineering Number]], [2]!DOT_Projects[[#All],[Engineering Approved Design Date]]), _xlpm.DI_tm_date, _xlfn.XLOOKUP(A36, [2]!Table7[[#All],[Eng Number]], [2]!Table7[[#All],[Target
Release Date]]), _xlpm.TR_date, _xlfn.XLOOKUP(A36, [1]!CRA_Projects31213[[#All],[Engineering Number]], [1]!CRA_Projects31213[[#All],[Engineering Approved Design Date]]), _xlpm.TR_tm_date, _xlfn.XLOOKUP(A36, [1]!CRA_Projects312132[[#All],[Engineering Number]], [1]!CRA_Projects312132[[#All],[Engineering Approved Design Date]]), _xlpm.date_lookup, _xlfn.SWITCH($J36, 1, _xlpm.DI_date, 2, _xlpm.DI_tm_date, 3, _xlpm.TR_date, 4, _xlpm.TR_tm_date, "Number not Found"), IFERROR(IF(DAY(_xlpm.date_lookup)&lt;=15, DATE(YEAR(_xlpm.date_lookup), MONTH(_xlpm.date_lookup), 1), DATE(YEAR(_xlpm.date_lookup), MONTH(_xlpm.date_lookup)+1, 1)), "Number not Found"))</f>
        <v>Number not Found</v>
      </c>
      <c r="E36" s="251"/>
      <c r="F36" s="127">
        <f t="shared" si="5"/>
        <v>0</v>
      </c>
      <c r="G36" s="122">
        <v>0</v>
      </c>
      <c r="H36" s="122">
        <f t="shared" si="6"/>
        <v>0</v>
      </c>
      <c r="I36" s="98"/>
      <c r="J36">
        <f>_xlfn.LET(_xlpm.is_DI_dot, IF(IFERROR(MATCH(A36,'Engineering Numbers Ref'!A:A, 0),0)&gt;0, 1, 0), _xlpm.is_DI_tm, IF(IFERROR(MATCH(A36,'Engineering Numbers Ref'!B:B, 0),0)&gt;0, 2, 0), _xlpm.is_TR_dot, IF(IFERROR(MATCH(A36,'Engineering Numbers Ref'!C:C, 0),0)&gt;0,3,0), _xlpm.is_TR_tm, IF(IFERROR(MATCH(A36,'Engineering Numbers Ref'!D:D, 0),0)&gt;0,4,0), _xlpm.is_DI_dot+_xlpm.is_DI_tm+_xlpm.is_TR_dot+_xlpm.is_TR_tm)</f>
        <v>0</v>
      </c>
    </row>
    <row r="37" spans="1:14" hidden="1" x14ac:dyDescent="0.25">
      <c r="A37" s="160"/>
      <c r="B37" s="76" t="str" cm="1">
        <f t="array" ref="B37">_xlfn.LET(_xlpm.DI_name, _xlfn.XLOOKUP(A37, [2]!DOT_Projects[[#All],[Engineering Number]], [2]!DOT_Projects[[#All],[Designer Name]], ""), _xlpm.DI_tm_name, _xlfn.XLOOKUP(A37, [2]!Table7[[#All],[Eng Number]], [2]!Table7[[#All],[Designer Name]], ""), _xlpm.TR_name, _xlfn.XLOOKUP(A37, [1]!CRA_Projects31213[[#All],[Engineering Number]], [1]!CRA_Projects31213[[#All],[KH Project Lead]]), _xlpm.TR_tm_name, _xlfn.XLOOKUP(A37, [1]!CRA_Projects312132[[#All],[Engineering Number]], [1]!CRA_Projects312132[[#All],[Designer Supervisor]]), _xlfn.SWITCH($J37, 1, _xlpm.DI_name, 2, _xlpm.DI_tm_name, 3, _xlpm.TR_name, 4, _xlpm.TR_tm_name, "Number not Found"))</f>
        <v>Number not Found</v>
      </c>
      <c r="C37" s="78" t="str" cm="1">
        <f t="array" ref="C37">_xlfn.LET(_xlpm.DI_town, _xlfn.XLOOKUP(A37, [2]!DOT_Projects[[#All],[Engineering Number]], [2]!DOT_Projects[[#All],[Town]], ""), _xlpm.DI_tm_town, _xlfn.XLOOKUP(A37, [2]!Table7[[#All],[Eng Number]], [2]!Table7[[#All],[Town]], ""), _xlpm.TR_town, _xlfn.XLOOKUP(A37, [1]!CRA_Projects31213[[#All],[Engineering Number]], [1]!CRA_Projects31213[[#All],[Town]]), _xlpm.TR_tm_town, _xlfn.XLOOKUP(A37, [1]!CRA_Projects312132[[#All],[Engineering Number]], [1]!CRA_Projects312132[[#All],[Town]]),_xlfn.SWITCH($J37, 1, _xlpm.DI_town, 2, _xlpm.DI_tm_town, 3, _xlpm.TR_town, 4, _xlpm.TR_tm_town, "Number not Found"))</f>
        <v>Number not Found</v>
      </c>
      <c r="D37" s="96" t="str" cm="1">
        <f t="array" ref="D37">_xlfn.LET(_xlpm.DI_date, _xlfn.XLOOKUP(A37, [2]!DOT_Projects[[#All],[Engineering Number]], [2]!DOT_Projects[[#All],[Engineering Approved Design Date]]), _xlpm.DI_tm_date, _xlfn.XLOOKUP(A37, [2]!Table7[[#All],[Eng Number]], [2]!Table7[[#All],[Target
Release Date]]), _xlpm.TR_date, _xlfn.XLOOKUP(A37, [1]!CRA_Projects31213[[#All],[Engineering Number]], [1]!CRA_Projects31213[[#All],[Engineering Approved Design Date]]), _xlpm.TR_tm_date, _xlfn.XLOOKUP(A37, [1]!CRA_Projects312132[[#All],[Engineering Number]], [1]!CRA_Projects312132[[#All],[Engineering Approved Design Date]]), _xlpm.date_lookup, _xlfn.SWITCH($J37, 1, _xlpm.DI_date, 2, _xlpm.DI_tm_date, 3, _xlpm.TR_date, 4, _xlpm.TR_tm_date, "Number not Found"), IFERROR(IF(DAY(_xlpm.date_lookup)&lt;=15, DATE(YEAR(_xlpm.date_lookup), MONTH(_xlpm.date_lookup), 1), DATE(YEAR(_xlpm.date_lookup), MONTH(_xlpm.date_lookup)+1, 1)), "Number not Found"))</f>
        <v>Number not Found</v>
      </c>
      <c r="E37" s="251"/>
      <c r="F37" s="127">
        <f t="shared" si="5"/>
        <v>0</v>
      </c>
      <c r="G37" s="122">
        <v>0</v>
      </c>
      <c r="H37" s="122">
        <f t="shared" si="6"/>
        <v>0</v>
      </c>
      <c r="I37" s="98"/>
      <c r="J37">
        <f>_xlfn.LET(_xlpm.is_DI_dot, IF(IFERROR(MATCH(A37,'Engineering Numbers Ref'!A:A, 0),0)&gt;0, 1, 0), _xlpm.is_DI_tm, IF(IFERROR(MATCH(A37,'Engineering Numbers Ref'!B:B, 0),0)&gt;0, 2, 0), _xlpm.is_TR_dot, IF(IFERROR(MATCH(A37,'Engineering Numbers Ref'!C:C, 0),0)&gt;0,3,0), _xlpm.is_TR_tm, IF(IFERROR(MATCH(A37,'Engineering Numbers Ref'!D:D, 0),0)&gt;0,4,0), _xlpm.is_DI_dot+_xlpm.is_DI_tm+_xlpm.is_TR_dot+_xlpm.is_TR_tm)</f>
        <v>0</v>
      </c>
    </row>
    <row r="38" spans="1:14" hidden="1" x14ac:dyDescent="0.25">
      <c r="A38" s="160"/>
      <c r="B38" s="76" t="str" cm="1">
        <f t="array" ref="B38">_xlfn.LET(_xlpm.DI_name, _xlfn.XLOOKUP(A38, [2]!DOT_Projects[[#All],[Engineering Number]], [2]!DOT_Projects[[#All],[Designer Name]], ""), _xlpm.DI_tm_name, _xlfn.XLOOKUP(A38, [2]!Table7[[#All],[Eng Number]], [2]!Table7[[#All],[Designer Name]], ""), _xlpm.TR_name, _xlfn.XLOOKUP(A38, [1]!CRA_Projects31213[[#All],[Engineering Number]], [1]!CRA_Projects31213[[#All],[KH Project Lead]]), _xlpm.TR_tm_name, _xlfn.XLOOKUP(A38, [1]!CRA_Projects312132[[#All],[Engineering Number]], [1]!CRA_Projects312132[[#All],[Designer Supervisor]]), _xlfn.SWITCH($J38, 1, _xlpm.DI_name, 2, _xlpm.DI_tm_name, 3, _xlpm.TR_name, 4, _xlpm.TR_tm_name, "Number not Found"))</f>
        <v>Number not Found</v>
      </c>
      <c r="C38" s="78" t="str" cm="1">
        <f t="array" ref="C38">_xlfn.LET(_xlpm.DI_town, _xlfn.XLOOKUP(A38, [2]!DOT_Projects[[#All],[Engineering Number]], [2]!DOT_Projects[[#All],[Town]], ""), _xlpm.DI_tm_town, _xlfn.XLOOKUP(A38, [2]!Table7[[#All],[Eng Number]], [2]!Table7[[#All],[Town]], ""), _xlpm.TR_town, _xlfn.XLOOKUP(A38, [1]!CRA_Projects31213[[#All],[Engineering Number]], [1]!CRA_Projects31213[[#All],[Town]]), _xlpm.TR_tm_town, _xlfn.XLOOKUP(A38, [1]!CRA_Projects312132[[#All],[Engineering Number]], [1]!CRA_Projects312132[[#All],[Town]]),_xlfn.SWITCH($J38, 1, _xlpm.DI_town, 2, _xlpm.DI_tm_town, 3, _xlpm.TR_town, 4, _xlpm.TR_tm_town, "Number not Found"))</f>
        <v>Number not Found</v>
      </c>
      <c r="D38" s="96" t="str" cm="1">
        <f t="array" ref="D38">_xlfn.LET(_xlpm.DI_date, _xlfn.XLOOKUP(A38, [2]!DOT_Projects[[#All],[Engineering Number]], [2]!DOT_Projects[[#All],[Engineering Approved Design Date]]), _xlpm.DI_tm_date, _xlfn.XLOOKUP(A38, [2]!Table7[[#All],[Eng Number]], [2]!Table7[[#All],[Target
Release Date]]), _xlpm.TR_date, _xlfn.XLOOKUP(A38, [1]!CRA_Projects31213[[#All],[Engineering Number]], [1]!CRA_Projects31213[[#All],[Engineering Approved Design Date]]), _xlpm.TR_tm_date, _xlfn.XLOOKUP(A38, [1]!CRA_Projects312132[[#All],[Engineering Number]], [1]!CRA_Projects312132[[#All],[Engineering Approved Design Date]]), _xlpm.date_lookup, _xlfn.SWITCH($J38, 1, _xlpm.DI_date, 2, _xlpm.DI_tm_date, 3, _xlpm.TR_date, 4, _xlpm.TR_tm_date, "Number not Found"), IFERROR(IF(DAY(_xlpm.date_lookup)&lt;=15, DATE(YEAR(_xlpm.date_lookup), MONTH(_xlpm.date_lookup), 1), DATE(YEAR(_xlpm.date_lookup), MONTH(_xlpm.date_lookup)+1, 1)), "Number not Found"))</f>
        <v>Number not Found</v>
      </c>
      <c r="E38" s="251"/>
      <c r="F38" s="127">
        <f t="shared" si="5"/>
        <v>0</v>
      </c>
      <c r="G38" s="122">
        <v>0</v>
      </c>
      <c r="H38" s="122">
        <f t="shared" si="6"/>
        <v>0</v>
      </c>
      <c r="I38" s="98"/>
      <c r="J38">
        <f>_xlfn.LET(_xlpm.is_DI_dot, IF(IFERROR(MATCH(A38,'Engineering Numbers Ref'!A:A, 0),0)&gt;0, 1, 0), _xlpm.is_DI_tm, IF(IFERROR(MATCH(A38,'Engineering Numbers Ref'!B:B, 0),0)&gt;0, 2, 0), _xlpm.is_TR_dot, IF(IFERROR(MATCH(A38,'Engineering Numbers Ref'!C:C, 0),0)&gt;0,3,0), _xlpm.is_TR_tm, IF(IFERROR(MATCH(A38,'Engineering Numbers Ref'!D:D, 0),0)&gt;0,4,0), _xlpm.is_DI_dot+_xlpm.is_DI_tm+_xlpm.is_TR_dot+_xlpm.is_TR_tm)</f>
        <v>0</v>
      </c>
    </row>
    <row r="39" spans="1:14" hidden="1" x14ac:dyDescent="0.25">
      <c r="A39" s="160"/>
      <c r="B39" s="76" t="str" cm="1">
        <f t="array" ref="B39">_xlfn.LET(_xlpm.DI_name, _xlfn.XLOOKUP(A39, [2]!DOT_Projects[[#All],[Engineering Number]], [2]!DOT_Projects[[#All],[Designer Name]], ""), _xlpm.DI_tm_name, _xlfn.XLOOKUP(A39, [2]!Table7[[#All],[Eng Number]], [2]!Table7[[#All],[Designer Name]], ""), _xlpm.TR_name, _xlfn.XLOOKUP(A39, [1]!CRA_Projects31213[[#All],[Engineering Number]], [1]!CRA_Projects31213[[#All],[KH Project Lead]]), _xlpm.TR_tm_name, _xlfn.XLOOKUP(A39, [1]!CRA_Projects312132[[#All],[Engineering Number]], [1]!CRA_Projects312132[[#All],[Designer Supervisor]]), _xlfn.SWITCH($J39, 1, _xlpm.DI_name, 2, _xlpm.DI_tm_name, 3, _xlpm.TR_name, 4, _xlpm.TR_tm_name, "Number not Found"))</f>
        <v>Number not Found</v>
      </c>
      <c r="C39" s="78" t="str" cm="1">
        <f t="array" ref="C39">_xlfn.LET(_xlpm.DI_town, _xlfn.XLOOKUP(A39, [2]!DOT_Projects[[#All],[Engineering Number]], [2]!DOT_Projects[[#All],[Town]], ""), _xlpm.DI_tm_town, _xlfn.XLOOKUP(A39, [2]!Table7[[#All],[Eng Number]], [2]!Table7[[#All],[Town]], ""), _xlpm.TR_town, _xlfn.XLOOKUP(A39, [1]!CRA_Projects31213[[#All],[Engineering Number]], [1]!CRA_Projects31213[[#All],[Town]]), _xlpm.TR_tm_town, _xlfn.XLOOKUP(A39, [1]!CRA_Projects312132[[#All],[Engineering Number]], [1]!CRA_Projects312132[[#All],[Town]]),_xlfn.SWITCH($J39, 1, _xlpm.DI_town, 2, _xlpm.DI_tm_town, 3, _xlpm.TR_town, 4, _xlpm.TR_tm_town, "Number not Found"))</f>
        <v>Number not Found</v>
      </c>
      <c r="D39" s="96" t="str" cm="1">
        <f t="array" ref="D39">_xlfn.LET(_xlpm.DI_date, _xlfn.XLOOKUP(A39, [2]!DOT_Projects[[#All],[Engineering Number]], [2]!DOT_Projects[[#All],[Engineering Approved Design Date]]), _xlpm.DI_tm_date, _xlfn.XLOOKUP(A39, [2]!Table7[[#All],[Eng Number]], [2]!Table7[[#All],[Target
Release Date]]), _xlpm.TR_date, _xlfn.XLOOKUP(A39, [1]!CRA_Projects31213[[#All],[Engineering Number]], [1]!CRA_Projects31213[[#All],[Engineering Approved Design Date]]), _xlpm.TR_tm_date, _xlfn.XLOOKUP(A39, [1]!CRA_Projects312132[[#All],[Engineering Number]], [1]!CRA_Projects312132[[#All],[Engineering Approved Design Date]]), _xlpm.date_lookup, _xlfn.SWITCH($J39, 1, _xlpm.DI_date, 2, _xlpm.DI_tm_date, 3, _xlpm.TR_date, 4, _xlpm.TR_tm_date, "Number not Found"), IFERROR(IF(DAY(_xlpm.date_lookup)&lt;=15, DATE(YEAR(_xlpm.date_lookup), MONTH(_xlpm.date_lookup), 1), DATE(YEAR(_xlpm.date_lookup), MONTH(_xlpm.date_lookup)+1, 1)), "Number not Found"))</f>
        <v>Number not Found</v>
      </c>
      <c r="E39" s="251"/>
      <c r="F39" s="127">
        <f t="shared" si="5"/>
        <v>0</v>
      </c>
      <c r="G39" s="122">
        <v>0</v>
      </c>
      <c r="H39" s="122">
        <f t="shared" si="6"/>
        <v>0</v>
      </c>
      <c r="I39" s="98"/>
      <c r="J39">
        <f>_xlfn.LET(_xlpm.is_DI_dot, IF(IFERROR(MATCH(A39,'Engineering Numbers Ref'!A:A, 0),0)&gt;0, 1, 0), _xlpm.is_DI_tm, IF(IFERROR(MATCH(A39,'Engineering Numbers Ref'!B:B, 0),0)&gt;0, 2, 0), _xlpm.is_TR_dot, IF(IFERROR(MATCH(A39,'Engineering Numbers Ref'!C:C, 0),0)&gt;0,3,0), _xlpm.is_TR_tm, IF(IFERROR(MATCH(A39,'Engineering Numbers Ref'!D:D, 0),0)&gt;0,4,0), _xlpm.is_DI_dot+_xlpm.is_DI_tm+_xlpm.is_TR_dot+_xlpm.is_TR_tm)</f>
        <v>0</v>
      </c>
    </row>
    <row r="40" spans="1:14" hidden="1" x14ac:dyDescent="0.25">
      <c r="A40" s="160"/>
      <c r="B40" s="76" t="str" cm="1">
        <f t="array" ref="B40">_xlfn.LET(_xlpm.DI_name, _xlfn.XLOOKUP(A40, [2]!DOT_Projects[[#All],[Engineering Number]], [2]!DOT_Projects[[#All],[Designer Name]], ""), _xlpm.DI_tm_name, _xlfn.XLOOKUP(A40, [2]!Table7[[#All],[Eng Number]], [2]!Table7[[#All],[Designer Name]], ""), _xlpm.TR_name, _xlfn.XLOOKUP(A40, [1]!CRA_Projects31213[[#All],[Engineering Number]], [1]!CRA_Projects31213[[#All],[KH Project Lead]]), _xlpm.TR_tm_name, _xlfn.XLOOKUP(A40, [1]!CRA_Projects312132[[#All],[Engineering Number]], [1]!CRA_Projects312132[[#All],[Designer Supervisor]]), _xlfn.SWITCH($J40, 1, _xlpm.DI_name, 2, _xlpm.DI_tm_name, 3, _xlpm.TR_name, 4, _xlpm.TR_tm_name, "Number not Found"))</f>
        <v>Number not Found</v>
      </c>
      <c r="C40" s="78" t="str" cm="1">
        <f t="array" ref="C40">_xlfn.LET(_xlpm.DI_town, _xlfn.XLOOKUP(A40, [2]!DOT_Projects[[#All],[Engineering Number]], [2]!DOT_Projects[[#All],[Town]], ""), _xlpm.DI_tm_town, _xlfn.XLOOKUP(A40, [2]!Table7[[#All],[Eng Number]], [2]!Table7[[#All],[Town]], ""), _xlpm.TR_town, _xlfn.XLOOKUP(A40, [1]!CRA_Projects31213[[#All],[Engineering Number]], [1]!CRA_Projects31213[[#All],[Town]]), _xlpm.TR_tm_town, _xlfn.XLOOKUP(A40, [1]!CRA_Projects312132[[#All],[Engineering Number]], [1]!CRA_Projects312132[[#All],[Town]]),_xlfn.SWITCH($J40, 1, _xlpm.DI_town, 2, _xlpm.DI_tm_town, 3, _xlpm.TR_town, 4, _xlpm.TR_tm_town, "Number not Found"))</f>
        <v>Number not Found</v>
      </c>
      <c r="D40" s="96" t="str" cm="1">
        <f t="array" ref="D40">_xlfn.LET(_xlpm.DI_date, _xlfn.XLOOKUP(A40, [2]!DOT_Projects[[#All],[Engineering Number]], [2]!DOT_Projects[[#All],[Engineering Approved Design Date]]), _xlpm.DI_tm_date, _xlfn.XLOOKUP(A40, [2]!Table7[[#All],[Eng Number]], [2]!Table7[[#All],[Target
Release Date]]), _xlpm.TR_date, _xlfn.XLOOKUP(A40, [1]!CRA_Projects31213[[#All],[Engineering Number]], [1]!CRA_Projects31213[[#All],[Engineering Approved Design Date]]), _xlpm.TR_tm_date, _xlfn.XLOOKUP(A40, [1]!CRA_Projects312132[[#All],[Engineering Number]], [1]!CRA_Projects312132[[#All],[Engineering Approved Design Date]]), _xlpm.date_lookup, _xlfn.SWITCH($J40, 1, _xlpm.DI_date, 2, _xlpm.DI_tm_date, 3, _xlpm.TR_date, 4, _xlpm.TR_tm_date, "Number not Found"), IFERROR(IF(DAY(_xlpm.date_lookup)&lt;=15, DATE(YEAR(_xlpm.date_lookup), MONTH(_xlpm.date_lookup), 1), DATE(YEAR(_xlpm.date_lookup), MONTH(_xlpm.date_lookup)+1, 1)), "Number not Found"))</f>
        <v>Number not Found</v>
      </c>
      <c r="E40" s="251"/>
      <c r="F40" s="127">
        <f t="shared" si="5"/>
        <v>0</v>
      </c>
      <c r="G40" s="122">
        <v>0</v>
      </c>
      <c r="H40" s="122">
        <f t="shared" si="6"/>
        <v>0</v>
      </c>
      <c r="I40" s="98"/>
      <c r="J40">
        <f>_xlfn.LET(_xlpm.is_DI_dot, IF(IFERROR(MATCH(A40,'Engineering Numbers Ref'!A:A, 0),0)&gt;0, 1, 0), _xlpm.is_DI_tm, IF(IFERROR(MATCH(A40,'Engineering Numbers Ref'!B:B, 0),0)&gt;0, 2, 0), _xlpm.is_TR_dot, IF(IFERROR(MATCH(A40,'Engineering Numbers Ref'!C:C, 0),0)&gt;0,3,0), _xlpm.is_TR_tm, IF(IFERROR(MATCH(A40,'Engineering Numbers Ref'!D:D, 0),0)&gt;0,4,0), _xlpm.is_DI_dot+_xlpm.is_DI_tm+_xlpm.is_TR_dot+_xlpm.is_TR_tm)</f>
        <v>0</v>
      </c>
    </row>
    <row r="41" spans="1:14" hidden="1" x14ac:dyDescent="0.25">
      <c r="A41" s="160"/>
      <c r="B41" s="76" t="str" cm="1">
        <f t="array" ref="B41">_xlfn.LET(_xlpm.DI_name, _xlfn.XLOOKUP(A41, [2]!DOT_Projects[[#All],[Engineering Number]], [2]!DOT_Projects[[#All],[Designer Name]], ""), _xlpm.DI_tm_name, _xlfn.XLOOKUP(A41, [2]!Table7[[#All],[Eng Number]], [2]!Table7[[#All],[Designer Name]], ""), _xlpm.TR_name, _xlfn.XLOOKUP(A41, [1]!CRA_Projects31213[[#All],[Engineering Number]], [1]!CRA_Projects31213[[#All],[KH Project Lead]]), _xlpm.TR_tm_name, _xlfn.XLOOKUP(A41, [1]!CRA_Projects312132[[#All],[Engineering Number]], [1]!CRA_Projects312132[[#All],[Designer Supervisor]]), _xlfn.SWITCH($J41, 1, _xlpm.DI_name, 2, _xlpm.DI_tm_name, 3, _xlpm.TR_name, 4, _xlpm.TR_tm_name, "Number not Found"))</f>
        <v>Number not Found</v>
      </c>
      <c r="C41" s="78" t="str" cm="1">
        <f t="array" ref="C41">_xlfn.LET(_xlpm.DI_town, _xlfn.XLOOKUP(A41, [2]!DOT_Projects[[#All],[Engineering Number]], [2]!DOT_Projects[[#All],[Town]], ""), _xlpm.DI_tm_town, _xlfn.XLOOKUP(A41, [2]!Table7[[#All],[Eng Number]], [2]!Table7[[#All],[Town]], ""), _xlpm.TR_town, _xlfn.XLOOKUP(A41, [1]!CRA_Projects31213[[#All],[Engineering Number]], [1]!CRA_Projects31213[[#All],[Town]]), _xlpm.TR_tm_town, _xlfn.XLOOKUP(A41, [1]!CRA_Projects312132[[#All],[Engineering Number]], [1]!CRA_Projects312132[[#All],[Town]]),_xlfn.SWITCH($J41, 1, _xlpm.DI_town, 2, _xlpm.DI_tm_town, 3, _xlpm.TR_town, 4, _xlpm.TR_tm_town, "Number not Found"))</f>
        <v>Number not Found</v>
      </c>
      <c r="D41" s="96" t="str" cm="1">
        <f t="array" ref="D41">_xlfn.LET(_xlpm.DI_date, _xlfn.XLOOKUP(A41, [2]!DOT_Projects[[#All],[Engineering Number]], [2]!DOT_Projects[[#All],[Engineering Approved Design Date]]), _xlpm.DI_tm_date, _xlfn.XLOOKUP(A41, [2]!Table7[[#All],[Eng Number]], [2]!Table7[[#All],[Target
Release Date]]), _xlpm.TR_date, _xlfn.XLOOKUP(A41, [1]!CRA_Projects31213[[#All],[Engineering Number]], [1]!CRA_Projects31213[[#All],[Engineering Approved Design Date]]), _xlpm.TR_tm_date, _xlfn.XLOOKUP(A41, [1]!CRA_Projects312132[[#All],[Engineering Number]], [1]!CRA_Projects312132[[#All],[Engineering Approved Design Date]]), _xlpm.date_lookup, _xlfn.SWITCH($J41, 1, _xlpm.DI_date, 2, _xlpm.DI_tm_date, 3, _xlpm.TR_date, 4, _xlpm.TR_tm_date, "Number not Found"), IFERROR(IF(DAY(_xlpm.date_lookup)&lt;=15, DATE(YEAR(_xlpm.date_lookup), MONTH(_xlpm.date_lookup), 1), DATE(YEAR(_xlpm.date_lookup), MONTH(_xlpm.date_lookup)+1, 1)), "Number not Found"))</f>
        <v>Number not Found</v>
      </c>
      <c r="E41" s="251"/>
      <c r="F41" s="127">
        <f t="shared" si="5"/>
        <v>0</v>
      </c>
      <c r="G41" s="122">
        <v>0</v>
      </c>
      <c r="H41" s="122">
        <f t="shared" si="6"/>
        <v>0</v>
      </c>
      <c r="I41" s="147"/>
      <c r="J41">
        <f>_xlfn.LET(_xlpm.is_DI_dot, IF(IFERROR(MATCH(A41,'Engineering Numbers Ref'!A:A, 0),0)&gt;0, 1, 0), _xlpm.is_DI_tm, IF(IFERROR(MATCH(A41,'Engineering Numbers Ref'!B:B, 0),0)&gt;0, 2, 0), _xlpm.is_TR_dot, IF(IFERROR(MATCH(A41,'Engineering Numbers Ref'!C:C, 0),0)&gt;0,3,0), _xlpm.is_TR_tm, IF(IFERROR(MATCH(A41,'Engineering Numbers Ref'!D:D, 0),0)&gt;0,4,0), _xlpm.is_DI_dot+_xlpm.is_DI_tm+_xlpm.is_TR_dot+_xlpm.is_TR_tm)</f>
        <v>0</v>
      </c>
    </row>
    <row r="42" spans="1:14" hidden="1" x14ac:dyDescent="0.25">
      <c r="A42" s="160"/>
      <c r="B42" s="76" t="str" cm="1">
        <f t="array" ref="B42">_xlfn.LET(_xlpm.DI_name, _xlfn.XLOOKUP(A42, [2]!DOT_Projects[[#All],[Engineering Number]], [2]!DOT_Projects[[#All],[Designer Name]], ""), _xlpm.DI_tm_name, _xlfn.XLOOKUP(A42, [2]!Table7[[#All],[Eng Number]], [2]!Table7[[#All],[Designer Name]], ""), _xlpm.TR_name, _xlfn.XLOOKUP(A42, [1]!CRA_Projects31213[[#All],[Engineering Number]], [1]!CRA_Projects31213[[#All],[KH Project Lead]]), _xlpm.TR_tm_name, _xlfn.XLOOKUP(A42, [1]!CRA_Projects312132[[#All],[Engineering Number]], [1]!CRA_Projects312132[[#All],[Designer Supervisor]]), _xlfn.SWITCH($J42, 1, _xlpm.DI_name, 2, _xlpm.DI_tm_name, 3, _xlpm.TR_name, 4, _xlpm.TR_tm_name, "Number not Found"))</f>
        <v>Number not Found</v>
      </c>
      <c r="C42" s="78" t="str" cm="1">
        <f t="array" ref="C42">_xlfn.LET(_xlpm.DI_town, _xlfn.XLOOKUP(A42, [2]!DOT_Projects[[#All],[Engineering Number]], [2]!DOT_Projects[[#All],[Town]], ""), _xlpm.DI_tm_town, _xlfn.XLOOKUP(A42, [2]!Table7[[#All],[Eng Number]], [2]!Table7[[#All],[Town]], ""), _xlpm.TR_town, _xlfn.XLOOKUP(A42, [1]!CRA_Projects31213[[#All],[Engineering Number]], [1]!CRA_Projects31213[[#All],[Town]]), _xlpm.TR_tm_town, _xlfn.XLOOKUP(A42, [1]!CRA_Projects312132[[#All],[Engineering Number]], [1]!CRA_Projects312132[[#All],[Town]]),_xlfn.SWITCH($J42, 1, _xlpm.DI_town, 2, _xlpm.DI_tm_town, 3, _xlpm.TR_town, 4, _xlpm.TR_tm_town, "Number not Found"))</f>
        <v>Number not Found</v>
      </c>
      <c r="D42" s="96" t="str" cm="1">
        <f t="array" ref="D42">_xlfn.LET(_xlpm.DI_date, _xlfn.XLOOKUP(A42, [2]!DOT_Projects[[#All],[Engineering Number]], [2]!DOT_Projects[[#All],[Engineering Approved Design Date]]), _xlpm.DI_tm_date, _xlfn.XLOOKUP(A42, [2]!Table7[[#All],[Eng Number]], [2]!Table7[[#All],[Target
Release Date]]), _xlpm.TR_date, _xlfn.XLOOKUP(A42, [1]!CRA_Projects31213[[#All],[Engineering Number]], [1]!CRA_Projects31213[[#All],[Engineering Approved Design Date]]), _xlpm.TR_tm_date, _xlfn.XLOOKUP(A42, [1]!CRA_Projects312132[[#All],[Engineering Number]], [1]!CRA_Projects312132[[#All],[Engineering Approved Design Date]]), _xlpm.date_lookup, _xlfn.SWITCH($J42, 1, _xlpm.DI_date, 2, _xlpm.DI_tm_date, 3, _xlpm.TR_date, 4, _xlpm.TR_tm_date, "Number not Found"), IFERROR(IF(DAY(_xlpm.date_lookup)&lt;=15, DATE(YEAR(_xlpm.date_lookup), MONTH(_xlpm.date_lookup), 1), DATE(YEAR(_xlpm.date_lookup), MONTH(_xlpm.date_lookup)+1, 1)), "Number not Found"))</f>
        <v>Number not Found</v>
      </c>
      <c r="E42" s="251"/>
      <c r="F42" s="127">
        <f t="shared" si="5"/>
        <v>0</v>
      </c>
      <c r="G42" s="122">
        <v>0</v>
      </c>
      <c r="H42" s="122">
        <f t="shared" si="6"/>
        <v>0</v>
      </c>
      <c r="I42" s="98"/>
      <c r="J42">
        <f>_xlfn.LET(_xlpm.is_DI_dot, IF(IFERROR(MATCH(A42,'Engineering Numbers Ref'!A:A, 0),0)&gt;0, 1, 0), _xlpm.is_DI_tm, IF(IFERROR(MATCH(A42,'Engineering Numbers Ref'!B:B, 0),0)&gt;0, 2, 0), _xlpm.is_TR_dot, IF(IFERROR(MATCH(A42,'Engineering Numbers Ref'!C:C, 0),0)&gt;0,3,0), _xlpm.is_TR_tm, IF(IFERROR(MATCH(A42,'Engineering Numbers Ref'!D:D, 0),0)&gt;0,4,0), _xlpm.is_DI_dot+_xlpm.is_DI_tm+_xlpm.is_TR_dot+_xlpm.is_TR_tm)</f>
        <v>0</v>
      </c>
    </row>
    <row r="43" spans="1:14" hidden="1" x14ac:dyDescent="0.25">
      <c r="A43" s="160"/>
      <c r="B43" s="76" t="str" cm="1">
        <f t="array" ref="B43">_xlfn.LET(_xlpm.DI_name, _xlfn.XLOOKUP(A43, [2]!DOT_Projects[[#All],[Engineering Number]], [2]!DOT_Projects[[#All],[Designer Name]], ""), _xlpm.DI_tm_name, _xlfn.XLOOKUP(A43, [2]!Table7[[#All],[Eng Number]], [2]!Table7[[#All],[Designer Name]], ""), _xlpm.TR_name, _xlfn.XLOOKUP(A43, [1]!CRA_Projects31213[[#All],[Engineering Number]], [1]!CRA_Projects31213[[#All],[KH Project Lead]]), _xlpm.TR_tm_name, _xlfn.XLOOKUP(A43, [1]!CRA_Projects312132[[#All],[Engineering Number]], [1]!CRA_Projects312132[[#All],[Designer Supervisor]]), _xlfn.SWITCH($J43, 1, _xlpm.DI_name, 2, _xlpm.DI_tm_name, 3, _xlpm.TR_name, 4, _xlpm.TR_tm_name, "Number not Found"))</f>
        <v>Number not Found</v>
      </c>
      <c r="C43" s="78" t="str" cm="1">
        <f t="array" ref="C43">_xlfn.LET(_xlpm.DI_town, _xlfn.XLOOKUP(A43, [2]!DOT_Projects[[#All],[Engineering Number]], [2]!DOT_Projects[[#All],[Town]], ""), _xlpm.DI_tm_town, _xlfn.XLOOKUP(A43, [2]!Table7[[#All],[Eng Number]], [2]!Table7[[#All],[Town]], ""), _xlpm.TR_town, _xlfn.XLOOKUP(A43, [1]!CRA_Projects31213[[#All],[Engineering Number]], [1]!CRA_Projects31213[[#All],[Town]]), _xlpm.TR_tm_town, _xlfn.XLOOKUP(A43, [1]!CRA_Projects312132[[#All],[Engineering Number]], [1]!CRA_Projects312132[[#All],[Town]]),_xlfn.SWITCH($J43, 1, _xlpm.DI_town, 2, _xlpm.DI_tm_town, 3, _xlpm.TR_town, 4, _xlpm.TR_tm_town, "Number not Found"))</f>
        <v>Number not Found</v>
      </c>
      <c r="D43" s="96" t="str" cm="1">
        <f t="array" ref="D43">_xlfn.LET(_xlpm.DI_date, _xlfn.XLOOKUP(A43, [2]!DOT_Projects[[#All],[Engineering Number]], [2]!DOT_Projects[[#All],[Engineering Approved Design Date]]), _xlpm.DI_tm_date, _xlfn.XLOOKUP(A43, [2]!Table7[[#All],[Eng Number]], [2]!Table7[[#All],[Target
Release Date]]), _xlpm.TR_date, _xlfn.XLOOKUP(A43, [1]!CRA_Projects31213[[#All],[Engineering Number]], [1]!CRA_Projects31213[[#All],[Engineering Approved Design Date]]), _xlpm.TR_tm_date, _xlfn.XLOOKUP(A43, [1]!CRA_Projects312132[[#All],[Engineering Number]], [1]!CRA_Projects312132[[#All],[Engineering Approved Design Date]]), _xlpm.date_lookup, _xlfn.SWITCH($J43, 1, _xlpm.DI_date, 2, _xlpm.DI_tm_date, 3, _xlpm.TR_date, 4, _xlpm.TR_tm_date, "Number not Found"), IFERROR(IF(DAY(_xlpm.date_lookup)&lt;=15, DATE(YEAR(_xlpm.date_lookup), MONTH(_xlpm.date_lookup), 1), DATE(YEAR(_xlpm.date_lookup), MONTH(_xlpm.date_lookup)+1, 1)), "Number not Found"))</f>
        <v>Number not Found</v>
      </c>
      <c r="E43" s="251"/>
      <c r="F43" s="127">
        <f t="shared" si="5"/>
        <v>0</v>
      </c>
      <c r="G43" s="122">
        <v>0</v>
      </c>
      <c r="H43" s="122">
        <f t="shared" si="6"/>
        <v>0</v>
      </c>
      <c r="I43" s="98"/>
      <c r="J43">
        <f>_xlfn.LET(_xlpm.is_DI_dot, IF(IFERROR(MATCH(A43,'Engineering Numbers Ref'!A:A, 0),0)&gt;0, 1, 0), _xlpm.is_DI_tm, IF(IFERROR(MATCH(A43,'Engineering Numbers Ref'!B:B, 0),0)&gt;0, 2, 0), _xlpm.is_TR_dot, IF(IFERROR(MATCH(A43,'Engineering Numbers Ref'!C:C, 0),0)&gt;0,3,0), _xlpm.is_TR_tm, IF(IFERROR(MATCH(A43,'Engineering Numbers Ref'!D:D, 0),0)&gt;0,4,0), _xlpm.is_DI_dot+_xlpm.is_DI_tm+_xlpm.is_TR_dot+_xlpm.is_TR_tm)</f>
        <v>0</v>
      </c>
    </row>
    <row r="44" spans="1:14" hidden="1" x14ac:dyDescent="0.25">
      <c r="A44" s="160"/>
      <c r="B44" s="76" t="str" cm="1">
        <f t="array" ref="B44">_xlfn.LET(_xlpm.DI_name, _xlfn.XLOOKUP(A44, [2]!DOT_Projects[[#All],[Engineering Number]], [2]!DOT_Projects[[#All],[Designer Name]], ""), _xlpm.DI_tm_name, _xlfn.XLOOKUP(A44, [2]!Table7[[#All],[Eng Number]], [2]!Table7[[#All],[Designer Name]], ""), _xlpm.TR_name, _xlfn.XLOOKUP(A44, [1]!CRA_Projects31213[[#All],[Engineering Number]], [1]!CRA_Projects31213[[#All],[KH Project Lead]]), _xlpm.TR_tm_name, _xlfn.XLOOKUP(A44, [1]!CRA_Projects312132[[#All],[Engineering Number]], [1]!CRA_Projects312132[[#All],[Designer Supervisor]]), _xlfn.SWITCH($J44, 1, _xlpm.DI_name, 2, _xlpm.DI_tm_name, 3, _xlpm.TR_name, 4, _xlpm.TR_tm_name, "Number not Found"))</f>
        <v>Number not Found</v>
      </c>
      <c r="C44" s="78" t="str" cm="1">
        <f t="array" ref="C44">_xlfn.LET(_xlpm.DI_town, _xlfn.XLOOKUP(A44, [2]!DOT_Projects[[#All],[Engineering Number]], [2]!DOT_Projects[[#All],[Town]], ""), _xlpm.DI_tm_town, _xlfn.XLOOKUP(A44, [2]!Table7[[#All],[Eng Number]], [2]!Table7[[#All],[Town]], ""), _xlpm.TR_town, _xlfn.XLOOKUP(A44, [1]!CRA_Projects31213[[#All],[Engineering Number]], [1]!CRA_Projects31213[[#All],[Town]]), _xlpm.TR_tm_town, _xlfn.XLOOKUP(A44, [1]!CRA_Projects312132[[#All],[Engineering Number]], [1]!CRA_Projects312132[[#All],[Town]]),_xlfn.SWITCH($J44, 1, _xlpm.DI_town, 2, _xlpm.DI_tm_town, 3, _xlpm.TR_town, 4, _xlpm.TR_tm_town, "Number not Found"))</f>
        <v>Number not Found</v>
      </c>
      <c r="D44" s="96" t="str" cm="1">
        <f t="array" ref="D44">_xlfn.LET(_xlpm.DI_date, _xlfn.XLOOKUP(A44, [2]!DOT_Projects[[#All],[Engineering Number]], [2]!DOT_Projects[[#All],[Engineering Approved Design Date]]), _xlpm.DI_tm_date, _xlfn.XLOOKUP(A44, [2]!Table7[[#All],[Eng Number]], [2]!Table7[[#All],[Target
Release Date]]), _xlpm.TR_date, _xlfn.XLOOKUP(A44, [1]!CRA_Projects31213[[#All],[Engineering Number]], [1]!CRA_Projects31213[[#All],[Engineering Approved Design Date]]), _xlpm.TR_tm_date, _xlfn.XLOOKUP(A44, [1]!CRA_Projects312132[[#All],[Engineering Number]], [1]!CRA_Projects312132[[#All],[Engineering Approved Design Date]]), _xlpm.date_lookup, _xlfn.SWITCH($J44, 1, _xlpm.DI_date, 2, _xlpm.DI_tm_date, 3, _xlpm.TR_date, 4, _xlpm.TR_tm_date, "Number not Found"), IFERROR(IF(DAY(_xlpm.date_lookup)&lt;=15, DATE(YEAR(_xlpm.date_lookup), MONTH(_xlpm.date_lookup), 1), DATE(YEAR(_xlpm.date_lookup), MONTH(_xlpm.date_lookup)+1, 1)), "Number not Found"))</f>
        <v>Number not Found</v>
      </c>
      <c r="E44" s="251"/>
      <c r="F44" s="127">
        <f t="shared" si="5"/>
        <v>0</v>
      </c>
      <c r="G44" s="122">
        <v>0</v>
      </c>
      <c r="H44" s="122">
        <f t="shared" si="6"/>
        <v>0</v>
      </c>
      <c r="I44" s="98"/>
      <c r="J44">
        <f>_xlfn.LET(_xlpm.is_DI_dot, IF(IFERROR(MATCH(A44,'Engineering Numbers Ref'!A:A, 0),0)&gt;0, 1, 0), _xlpm.is_DI_tm, IF(IFERROR(MATCH(A44,'Engineering Numbers Ref'!B:B, 0),0)&gt;0, 2, 0), _xlpm.is_TR_dot, IF(IFERROR(MATCH(A44,'Engineering Numbers Ref'!C:C, 0),0)&gt;0,3,0), _xlpm.is_TR_tm, IF(IFERROR(MATCH(A44,'Engineering Numbers Ref'!D:D, 0),0)&gt;0,4,0), _xlpm.is_DI_dot+_xlpm.is_DI_tm+_xlpm.is_TR_dot+_xlpm.is_TR_tm)</f>
        <v>0</v>
      </c>
    </row>
    <row r="45" spans="1:14" ht="15.75" thickBot="1" x14ac:dyDescent="0.3">
      <c r="A45"/>
      <c r="G45" s="122"/>
    </row>
    <row r="46" spans="1:14" x14ac:dyDescent="0.25">
      <c r="A46"/>
      <c r="L46" s="255" t="s">
        <v>443</v>
      </c>
      <c r="M46" s="256"/>
      <c r="N46" s="257"/>
    </row>
    <row r="47" spans="1:14" ht="30" x14ac:dyDescent="0.25">
      <c r="A47"/>
      <c r="L47" s="223" t="s">
        <v>215</v>
      </c>
      <c r="M47" s="133" t="s">
        <v>5</v>
      </c>
      <c r="N47" s="224" t="s">
        <v>216</v>
      </c>
    </row>
    <row r="48" spans="1:14" x14ac:dyDescent="0.25">
      <c r="A48"/>
      <c r="L48" s="218">
        <v>45870</v>
      </c>
      <c r="M48" s="34">
        <f>SUMIF(D:D,"8/1/2025",F:F)</f>
        <v>0</v>
      </c>
      <c r="N48" s="219">
        <f>SUMIF(D:D,"8/1/2025",H:H)</f>
        <v>0</v>
      </c>
    </row>
    <row r="49" spans="1:14" x14ac:dyDescent="0.25">
      <c r="A49"/>
      <c r="L49" s="225">
        <v>45901</v>
      </c>
      <c r="M49" s="34">
        <f>SUMIF(D:D,"9/1/2025",F:F)</f>
        <v>0</v>
      </c>
      <c r="N49" s="219">
        <f>SUMIF(D:D,"9/1/2025",H:H)</f>
        <v>0</v>
      </c>
    </row>
    <row r="50" spans="1:14" x14ac:dyDescent="0.25">
      <c r="A50"/>
      <c r="L50" s="225">
        <v>45931</v>
      </c>
      <c r="M50" s="34">
        <f>SUMIF(D:D,"10/1/2025",F:F)</f>
        <v>195500</v>
      </c>
      <c r="N50" s="219">
        <f>SUMIF(D:D,"10/1/2025",H:H)</f>
        <v>195500</v>
      </c>
    </row>
    <row r="51" spans="1:14" x14ac:dyDescent="0.25">
      <c r="A51"/>
      <c r="L51" s="218">
        <v>45962</v>
      </c>
      <c r="M51" s="34">
        <f>SUMIF(D:D,"11/1/2025",F:F)</f>
        <v>414500</v>
      </c>
      <c r="N51" s="219">
        <f>SUMIF(D:D,"11/1/2025",H:H)</f>
        <v>414500</v>
      </c>
    </row>
    <row r="52" spans="1:14" ht="15.75" thickBot="1" x14ac:dyDescent="0.3">
      <c r="A52"/>
      <c r="L52" s="220">
        <v>45992</v>
      </c>
      <c r="M52" s="221">
        <f>SUMIF(D:D,"12/1/2025",F:F)</f>
        <v>685000</v>
      </c>
      <c r="N52" s="222">
        <f>SUMIF(D:D,"12/1/2025",H:H)</f>
        <v>685000</v>
      </c>
    </row>
    <row r="53" spans="1:14" x14ac:dyDescent="0.25">
      <c r="A53"/>
    </row>
    <row r="54" spans="1:14" x14ac:dyDescent="0.25">
      <c r="A54" s="132"/>
      <c r="B54" s="133"/>
      <c r="C54" s="133"/>
      <c r="D54" s="134"/>
    </row>
    <row r="55" spans="1:14" x14ac:dyDescent="0.25">
      <c r="A55" s="135"/>
      <c r="B55" s="34"/>
      <c r="C55" s="34"/>
      <c r="D55" s="34"/>
    </row>
    <row r="56" spans="1:14" x14ac:dyDescent="0.25">
      <c r="A56" s="135"/>
      <c r="B56" s="34"/>
      <c r="C56" s="34"/>
      <c r="D56" s="34"/>
    </row>
    <row r="57" spans="1:14" x14ac:dyDescent="0.25">
      <c r="A57" s="135"/>
      <c r="B57" s="34"/>
      <c r="C57" s="34"/>
      <c r="D57" s="34"/>
    </row>
    <row r="58" spans="1:14" x14ac:dyDescent="0.25">
      <c r="A58" s="135"/>
      <c r="B58" s="34"/>
      <c r="C58" s="34"/>
      <c r="D58" s="34"/>
    </row>
    <row r="59" spans="1:14" x14ac:dyDescent="0.25">
      <c r="A59" s="146"/>
      <c r="B59" s="34"/>
      <c r="C59" s="34"/>
      <c r="D59" s="34"/>
    </row>
    <row r="60" spans="1:14" x14ac:dyDescent="0.25">
      <c r="A60" s="146"/>
      <c r="B60" s="34"/>
      <c r="C60" s="34"/>
      <c r="D60" s="34"/>
    </row>
  </sheetData>
  <autoFilter ref="A1:J49" xr:uid="{87267334-FB0F-4B5C-9926-8B490E0A53C3}">
    <sortState xmlns:xlrd2="http://schemas.microsoft.com/office/spreadsheetml/2017/richdata2" ref="A3:J23">
      <sortCondition ref="E1:E49"/>
    </sortState>
  </autoFilter>
  <mergeCells count="1">
    <mergeCell ref="L46:N46"/>
  </mergeCells>
  <conditionalFormatting sqref="B2:I44">
    <cfRule type="expression" dxfId="2" priority="1">
      <formula>_xlfn.ISFORMULA(B2)</formula>
    </cfRule>
  </conditionalFormatting>
  <conditionalFormatting sqref="G45">
    <cfRule type="expression" dxfId="1" priority="2">
      <formula>_xlfn.ISFORMULA(G45)</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9D977-6316-4D44-BD56-5F34FCD8EF9D}">
  <sheetPr codeName="Sheet18">
    <tabColor theme="0" tint="-0.499984740745262"/>
  </sheetPr>
  <dimension ref="A1:R60"/>
  <sheetViews>
    <sheetView workbookViewId="0">
      <selection activeCell="A2" sqref="A2"/>
    </sheetView>
  </sheetViews>
  <sheetFormatPr defaultRowHeight="15" x14ac:dyDescent="0.25"/>
  <cols>
    <col min="1" max="1" width="18.140625" style="32" customWidth="1"/>
    <col min="2" max="3" width="20" customWidth="1"/>
    <col min="4" max="4" width="21" customWidth="1"/>
    <col min="5" max="5" width="16.28515625" customWidth="1"/>
    <col min="6" max="6" width="18.28515625" bestFit="1" customWidth="1"/>
    <col min="7" max="8" width="17.85546875" customWidth="1"/>
    <col min="9" max="9" width="44.140625" customWidth="1"/>
    <col min="10" max="10" width="24.140625" hidden="1" customWidth="1"/>
    <col min="12" max="12" width="9.5703125" bestFit="1" customWidth="1"/>
    <col min="13" max="13" width="14.85546875" bestFit="1" customWidth="1"/>
    <col min="16" max="16" width="14.85546875" bestFit="1" customWidth="1"/>
  </cols>
  <sheetData>
    <row r="1" spans="1:18" ht="30" x14ac:dyDescent="0.25">
      <c r="A1" s="162" t="s">
        <v>0</v>
      </c>
      <c r="B1" s="163" t="s">
        <v>1</v>
      </c>
      <c r="C1" s="163" t="s">
        <v>2</v>
      </c>
      <c r="D1" s="164" t="s">
        <v>54</v>
      </c>
      <c r="E1" s="165" t="s">
        <v>4</v>
      </c>
      <c r="F1" s="163" t="s">
        <v>5</v>
      </c>
      <c r="G1" s="163" t="s">
        <v>186</v>
      </c>
      <c r="H1" s="163" t="s">
        <v>187</v>
      </c>
      <c r="I1" s="166" t="s">
        <v>230</v>
      </c>
      <c r="J1" s="2" t="s">
        <v>356</v>
      </c>
    </row>
    <row r="2" spans="1:18" ht="15" customHeight="1" x14ac:dyDescent="0.25">
      <c r="A2" s="157"/>
      <c r="B2" s="76" t="str" cm="1">
        <f t="array" ref="B2">_xlfn.LET(_xlpm.DI_name, _xlfn.XLOOKUP(A2, [2]!DOT_Projects[[#All],[Engineering Number]], [2]!DOT_Projects[[#All],[Designer Name]], ""), _xlpm.DI_tm_name, _xlfn.XLOOKUP(A2, [2]!Table7[[#All],[Eng Number]], [2]!Table7[[#All],[Designer Name]], ""), _xlpm.TR_name, _xlfn.XLOOKUP(A2, [1]!CRA_Projects31213[[#All],[Engineering Number]], [1]!CRA_Projects31213[[#All],[KH Project Lead]]), _xlpm.TR_tm_name, _xlfn.XLOOKUP(A2, [1]!CRA_Projects312132[[#All],[Engineering Number]], [1]!CRA_Projects312132[[#All],[Designer Supervisor]]), _xlfn.SWITCH($J2, 1, _xlpm.DI_name, 2, _xlpm.DI_tm_name, 3, _xlpm.TR_name, 4, _xlpm.TR_tm_name, "Number not Found"))</f>
        <v>Number not Found</v>
      </c>
      <c r="C2" s="78" t="str" cm="1">
        <f t="array" ref="C2">_xlfn.LET(_xlpm.DI_town, _xlfn.XLOOKUP(A2, [2]!DOT_Projects[[#All],[Engineering Number]], [2]!DOT_Projects[[#All],[Town]], ""), _xlpm.DI_tm_town, _xlfn.XLOOKUP(A2, [2]!Table7[[#All],[Eng Number]], [2]!Table7[[#All],[Town]], ""), _xlpm.TR_town, _xlfn.XLOOKUP(A2, [1]!CRA_Projects31213[[#All],[Engineering Number]], [1]!CRA_Projects31213[[#All],[Town]]), _xlpm.TR_tm_town, _xlfn.XLOOKUP(A2, [1]!CRA_Projects312132[[#All],[Engineering Number]], [1]!CRA_Projects312132[[#All],[Town]]),_xlfn.SWITCH($J2, 1, _xlpm.DI_town, 2, _xlpm.DI_tm_town, 3, _xlpm.TR_town, 4, _xlpm.TR_tm_town, "Number not Found"))</f>
        <v>Number not Found</v>
      </c>
      <c r="D2" s="96" t="str" cm="1">
        <f t="array" ref="D2">_xlfn.LET(_xlpm.DI_date, _xlfn.XLOOKUP(A2, [2]!DOT_Projects[[#All],[Engineering Number]], [2]!DOT_Projects[[#All],[Engineering Approved Design Date]]), _xlpm.DI_tm_date, _xlfn.XLOOKUP(A2, [2]!Table7[[#All],[Eng Number]], [2]!Table7[[#All],[Target
Release Date]]), _xlpm.TR_date, _xlfn.XLOOKUP(A2, [1]!CRA_Projects31213[[#All],[Engineering Number]], [1]!CRA_Projects31213[[#All],[Engineering Approved Design Date]]), _xlpm.TR_tm_date, _xlfn.XLOOKUP(A2, [1]!CRA_Projects312132[[#All],[Engineering Number]], [1]!CRA_Projects312132[[#All],[Engineering Approved Design Date]]), _xlpm.date_lookup, _xlfn.SWITCH($J2, 1, _xlpm.DI_date, 2, _xlpm.DI_tm_date, 3, _xlpm.TR_date, 4, _xlpm.TR_tm_date, "Number not Found"), IFERROR(IF(DAY(_xlpm.date_lookup)&lt;=15, DATE(YEAR(_xlpm.date_lookup), MONTH(_xlpm.date_lookup), 1), DATE(YEAR(_xlpm.date_lookup), MONTH(_xlpm.date_lookup)+1, 1)), "Number not Found"))</f>
        <v>Number not Found</v>
      </c>
      <c r="E2" s="97"/>
      <c r="F2" s="127"/>
      <c r="G2" s="122"/>
      <c r="H2" s="122">
        <f t="shared" ref="H2:H42" si="0">F2-G2</f>
        <v>0</v>
      </c>
      <c r="I2" s="98"/>
      <c r="J2">
        <f>_xlfn.LET(_xlpm.is_DI_dot, IF(IFERROR(MATCH(A2,'Engineering Numbers Ref'!A:A, 0),0)&gt;0, 1, 0), _xlpm.is_DI_tm, IF(IFERROR(MATCH(A2,'Engineering Numbers Ref'!B:B, 0),0)&gt;0, 2, 0), _xlpm.is_TR_dot, IF(IFERROR(MATCH(A2,'Engineering Numbers Ref'!C:C, 0),0)&gt;0,3,0), _xlpm.is_TR_tm, IF(IFERROR(MATCH(A2,'Engineering Numbers Ref'!D:D, 0),0)&gt;0,4,0), _xlpm.is_DI_dot+_xlpm.is_DI_tm+_xlpm.is_TR_dot+_xlpm.is_TR_tm)</f>
        <v>0</v>
      </c>
      <c r="K2" s="9"/>
      <c r="L2" s="74"/>
      <c r="M2" s="67"/>
      <c r="N2" s="4"/>
      <c r="O2" s="5"/>
      <c r="P2" s="6"/>
      <c r="Q2" s="6"/>
      <c r="R2" s="6"/>
    </row>
    <row r="3" spans="1:18" ht="15" customHeight="1" x14ac:dyDescent="0.25">
      <c r="A3" s="157"/>
      <c r="B3" s="76" t="str" cm="1">
        <f t="array" ref="B3">_xlfn.LET(_xlpm.DI_name, _xlfn.XLOOKUP(A3, [2]!DOT_Projects[[#All],[Engineering Number]], [2]!DOT_Projects[[#All],[Designer Name]], ""), _xlpm.DI_tm_name, _xlfn.XLOOKUP(A3, [2]!Table7[[#All],[Eng Number]], [2]!Table7[[#All],[Designer Name]], ""), _xlpm.TR_name, _xlfn.XLOOKUP(A3, [1]!CRA_Projects31213[[#All],[Engineering Number]], [1]!CRA_Projects31213[[#All],[KH Project Lead]]), _xlpm.TR_tm_name, _xlfn.XLOOKUP(A3, [1]!CRA_Projects312132[[#All],[Engineering Number]], [1]!CRA_Projects312132[[#All],[Designer Supervisor]]), _xlfn.SWITCH($J3, 1, _xlpm.DI_name, 2, _xlpm.DI_tm_name, 3, _xlpm.TR_name, 4, _xlpm.TR_tm_name, "Number not Found"))</f>
        <v>Number not Found</v>
      </c>
      <c r="C3" s="78" t="str" cm="1">
        <f t="array" ref="C3">_xlfn.LET(_xlpm.DI_town, _xlfn.XLOOKUP(A3, [2]!DOT_Projects[[#All],[Engineering Number]], [2]!DOT_Projects[[#All],[Town]], ""), _xlpm.DI_tm_town, _xlfn.XLOOKUP(A3, [2]!Table7[[#All],[Eng Number]], [2]!Table7[[#All],[Town]], ""), _xlpm.TR_town, _xlfn.XLOOKUP(A3, [1]!CRA_Projects31213[[#All],[Engineering Number]], [1]!CRA_Projects31213[[#All],[Town]]), _xlpm.TR_tm_town, _xlfn.XLOOKUP(A3, [1]!CRA_Projects312132[[#All],[Engineering Number]], [1]!CRA_Projects312132[[#All],[Town]]),_xlfn.SWITCH($J3, 1, _xlpm.DI_town, 2, _xlpm.DI_tm_town, 3, _xlpm.TR_town, 4, _xlpm.TR_tm_town, "Number not Found"))</f>
        <v>Number not Found</v>
      </c>
      <c r="D3" s="96" t="str" cm="1">
        <f t="array" ref="D3">_xlfn.LET(_xlpm.DI_date, _xlfn.XLOOKUP(A3, [2]!DOT_Projects[[#All],[Engineering Number]], [2]!DOT_Projects[[#All],[Engineering Approved Design Date]]), _xlpm.DI_tm_date, _xlfn.XLOOKUP(A3, [2]!Table7[[#All],[Eng Number]], [2]!Table7[[#All],[Target
Release Date]]), _xlpm.TR_date, _xlfn.XLOOKUP(A3, [1]!CRA_Projects31213[[#All],[Engineering Number]], [1]!CRA_Projects31213[[#All],[Engineering Approved Design Date]]), _xlpm.TR_tm_date, _xlfn.XLOOKUP(A3, [1]!CRA_Projects312132[[#All],[Engineering Number]], [1]!CRA_Projects312132[[#All],[Engineering Approved Design Date]]), _xlpm.date_lookup, _xlfn.SWITCH($J3, 1, _xlpm.DI_date, 2, _xlpm.DI_tm_date, 3, _xlpm.TR_date, 4, _xlpm.TR_tm_date, "Number not Found"), IFERROR(IF(DAY(_xlpm.date_lookup)&lt;=15, DATE(YEAR(_xlpm.date_lookup), MONTH(_xlpm.date_lookup), 1), DATE(YEAR(_xlpm.date_lookup), MONTH(_xlpm.date_lookup)+1, 1)), "Number not Found"))</f>
        <v>Number not Found</v>
      </c>
      <c r="E3" s="76"/>
      <c r="F3" s="122"/>
      <c r="G3" s="122"/>
      <c r="H3" s="122">
        <f t="shared" si="0"/>
        <v>0</v>
      </c>
      <c r="I3" s="147"/>
      <c r="J3">
        <f>_xlfn.LET(_xlpm.is_DI_dot, IF(IFERROR(MATCH(A3,'Engineering Numbers Ref'!A:A, 0),0)&gt;0, 1, 0), _xlpm.is_DI_tm, IF(IFERROR(MATCH(A3,'Engineering Numbers Ref'!B:B, 0),0)&gt;0, 2, 0), _xlpm.is_TR_dot, IF(IFERROR(MATCH(A3,'Engineering Numbers Ref'!C:C, 0),0)&gt;0,3,0), _xlpm.is_TR_tm, IF(IFERROR(MATCH(A3,'Engineering Numbers Ref'!D:D, 0),0)&gt;0,4,0), _xlpm.is_DI_dot+_xlpm.is_DI_tm+_xlpm.is_TR_dot+_xlpm.is_TR_tm)</f>
        <v>0</v>
      </c>
      <c r="K3" s="38"/>
      <c r="L3" s="38"/>
      <c r="M3" s="77"/>
      <c r="N3" s="4"/>
      <c r="O3" s="5"/>
      <c r="P3" s="6"/>
      <c r="Q3" s="6"/>
      <c r="R3" s="6"/>
    </row>
    <row r="4" spans="1:18" ht="15" customHeight="1" x14ac:dyDescent="0.25">
      <c r="A4" s="157"/>
      <c r="B4" s="76" t="str" cm="1">
        <f t="array" ref="B4">_xlfn.LET(_xlpm.DI_name, _xlfn.XLOOKUP(A4, [2]!DOT_Projects[[#All],[Engineering Number]], [2]!DOT_Projects[[#All],[Designer Name]], ""), _xlpm.DI_tm_name, _xlfn.XLOOKUP(A4, [2]!Table7[[#All],[Eng Number]], [2]!Table7[[#All],[Designer Name]], ""), _xlpm.TR_name, _xlfn.XLOOKUP(A4, [1]!CRA_Projects31213[[#All],[Engineering Number]], [1]!CRA_Projects31213[[#All],[KH Project Lead]]), _xlpm.TR_tm_name, _xlfn.XLOOKUP(A4, [1]!CRA_Projects312132[[#All],[Engineering Number]], [1]!CRA_Projects312132[[#All],[Designer Supervisor]]), _xlfn.SWITCH($J4, 1, _xlpm.DI_name, 2, _xlpm.DI_tm_name, 3, _xlpm.TR_name, 4, _xlpm.TR_tm_name, "Number not Found"))</f>
        <v>Number not Found</v>
      </c>
      <c r="C4" s="78" t="str" cm="1">
        <f t="array" ref="C4">_xlfn.LET(_xlpm.DI_town, _xlfn.XLOOKUP(A4, [2]!DOT_Projects[[#All],[Engineering Number]], [2]!DOT_Projects[[#All],[Town]], ""), _xlpm.DI_tm_town, _xlfn.XLOOKUP(A4, [2]!Table7[[#All],[Eng Number]], [2]!Table7[[#All],[Town]], ""), _xlpm.TR_town, _xlfn.XLOOKUP(A4, [1]!CRA_Projects31213[[#All],[Engineering Number]], [1]!CRA_Projects31213[[#All],[Town]]), _xlpm.TR_tm_town, _xlfn.XLOOKUP(A4, [1]!CRA_Projects312132[[#All],[Engineering Number]], [1]!CRA_Projects312132[[#All],[Town]]),_xlfn.SWITCH($J4, 1, _xlpm.DI_town, 2, _xlpm.DI_tm_town, 3, _xlpm.TR_town, 4, _xlpm.TR_tm_town, "Number not Found"))</f>
        <v>Number not Found</v>
      </c>
      <c r="D4" s="96" t="str" cm="1">
        <f t="array" ref="D4">_xlfn.LET(_xlpm.DI_date, _xlfn.XLOOKUP(A4, [2]!DOT_Projects[[#All],[Engineering Number]], [2]!DOT_Projects[[#All],[Engineering Approved Design Date]]), _xlpm.DI_tm_date, _xlfn.XLOOKUP(A4, [2]!Table7[[#All],[Eng Number]], [2]!Table7[[#All],[Target
Release Date]]), _xlpm.TR_date, _xlfn.XLOOKUP(A4, [1]!CRA_Projects31213[[#All],[Engineering Number]], [1]!CRA_Projects31213[[#All],[Engineering Approved Design Date]]), _xlpm.TR_tm_date, _xlfn.XLOOKUP(A4, [1]!CRA_Projects312132[[#All],[Engineering Number]], [1]!CRA_Projects312132[[#All],[Engineering Approved Design Date]]), _xlpm.date_lookup, _xlfn.SWITCH($J4, 1, _xlpm.DI_date, 2, _xlpm.DI_tm_date, 3, _xlpm.TR_date, 4, _xlpm.TR_tm_date, "Number not Found"), IFERROR(IF(DAY(_xlpm.date_lookup)&lt;=15, DATE(YEAR(_xlpm.date_lookup), MONTH(_xlpm.date_lookup), 1), DATE(YEAR(_xlpm.date_lookup), MONTH(_xlpm.date_lookup)+1, 1)), "Number not Found"))</f>
        <v>Number not Found</v>
      </c>
      <c r="E4" s="97"/>
      <c r="F4" s="122"/>
      <c r="G4" s="122"/>
      <c r="H4" s="122">
        <f t="shared" si="0"/>
        <v>0</v>
      </c>
      <c r="I4" s="98"/>
      <c r="J4">
        <f>_xlfn.LET(_xlpm.is_DI_dot, IF(IFERROR(MATCH(A4,'Engineering Numbers Ref'!A:A, 0),0)&gt;0, 1, 0), _xlpm.is_DI_tm, IF(IFERROR(MATCH(A4,'Engineering Numbers Ref'!B:B, 0),0)&gt;0, 2, 0), _xlpm.is_TR_dot, IF(IFERROR(MATCH(A4,'Engineering Numbers Ref'!C:C, 0),0)&gt;0,3,0), _xlpm.is_TR_tm, IF(IFERROR(MATCH(A4,'Engineering Numbers Ref'!D:D, 0),0)&gt;0,4,0), _xlpm.is_DI_dot+_xlpm.is_DI_tm+_xlpm.is_TR_dot+_xlpm.is_TR_tm)</f>
        <v>0</v>
      </c>
      <c r="K4" s="9"/>
      <c r="L4" s="9"/>
      <c r="M4" s="67"/>
      <c r="N4" s="4"/>
      <c r="O4" s="5"/>
      <c r="P4" s="6"/>
      <c r="Q4" s="6"/>
      <c r="R4" s="6"/>
    </row>
    <row r="5" spans="1:18" ht="15" customHeight="1" x14ac:dyDescent="0.25">
      <c r="A5" s="157"/>
      <c r="B5" s="76" t="str" cm="1">
        <f t="array" ref="B5">_xlfn.LET(_xlpm.DI_name, _xlfn.XLOOKUP(A5, [2]!DOT_Projects[[#All],[Engineering Number]], [2]!DOT_Projects[[#All],[Designer Name]], ""), _xlpm.DI_tm_name, _xlfn.XLOOKUP(A5, [2]!Table7[[#All],[Eng Number]], [2]!Table7[[#All],[Designer Name]], ""), _xlpm.TR_name, _xlfn.XLOOKUP(A5, [1]!CRA_Projects31213[[#All],[Engineering Number]], [1]!CRA_Projects31213[[#All],[KH Project Lead]]), _xlpm.TR_tm_name, _xlfn.XLOOKUP(A5, [1]!CRA_Projects312132[[#All],[Engineering Number]], [1]!CRA_Projects312132[[#All],[Designer Supervisor]]), _xlfn.SWITCH($J5, 1, _xlpm.DI_name, 2, _xlpm.DI_tm_name, 3, _xlpm.TR_name, 4, _xlpm.TR_tm_name, "Number not Found"))</f>
        <v>Number not Found</v>
      </c>
      <c r="C5" s="78" t="str" cm="1">
        <f t="array" ref="C5">_xlfn.LET(_xlpm.DI_town, _xlfn.XLOOKUP(A5, [2]!DOT_Projects[[#All],[Engineering Number]], [2]!DOT_Projects[[#All],[Town]], ""), _xlpm.DI_tm_town, _xlfn.XLOOKUP(A5, [2]!Table7[[#All],[Eng Number]], [2]!Table7[[#All],[Town]], ""), _xlpm.TR_town, _xlfn.XLOOKUP(A5, [1]!CRA_Projects31213[[#All],[Engineering Number]], [1]!CRA_Projects31213[[#All],[Town]]), _xlpm.TR_tm_town, _xlfn.XLOOKUP(A5, [1]!CRA_Projects312132[[#All],[Engineering Number]], [1]!CRA_Projects312132[[#All],[Town]]),_xlfn.SWITCH($J5, 1, _xlpm.DI_town, 2, _xlpm.DI_tm_town, 3, _xlpm.TR_town, 4, _xlpm.TR_tm_town, "Number not Found"))</f>
        <v>Number not Found</v>
      </c>
      <c r="D5" s="96" t="str" cm="1">
        <f t="array" ref="D5">_xlfn.LET(_xlpm.DI_date, _xlfn.XLOOKUP(A5, [2]!DOT_Projects[[#All],[Engineering Number]], [2]!DOT_Projects[[#All],[Engineering Approved Design Date]]), _xlpm.DI_tm_date, _xlfn.XLOOKUP(A5, [2]!Table7[[#All],[Eng Number]], [2]!Table7[[#All],[Target
Release Date]]), _xlpm.TR_date, _xlfn.XLOOKUP(A5, [1]!CRA_Projects31213[[#All],[Engineering Number]], [1]!CRA_Projects31213[[#All],[Engineering Approved Design Date]]), _xlpm.TR_tm_date, _xlfn.XLOOKUP(A5, [1]!CRA_Projects312132[[#All],[Engineering Number]], [1]!CRA_Projects312132[[#All],[Engineering Approved Design Date]]), _xlpm.date_lookup, _xlfn.SWITCH($J5, 1, _xlpm.DI_date, 2, _xlpm.DI_tm_date, 3, _xlpm.TR_date, 4, _xlpm.TR_tm_date, "Number not Found"), IFERROR(IF(DAY(_xlpm.date_lookup)&lt;=15, DATE(YEAR(_xlpm.date_lookup), MONTH(_xlpm.date_lookup), 1), DATE(YEAR(_xlpm.date_lookup), MONTH(_xlpm.date_lookup)+1, 1)), "Number not Found"))</f>
        <v>Number not Found</v>
      </c>
      <c r="E5" s="97"/>
      <c r="F5" s="122"/>
      <c r="G5" s="122"/>
      <c r="H5" s="122">
        <f t="shared" si="0"/>
        <v>0</v>
      </c>
      <c r="I5" s="98"/>
      <c r="J5">
        <f>_xlfn.LET(_xlpm.is_DI_dot, IF(IFERROR(MATCH(A5,'Engineering Numbers Ref'!A:A, 0),0)&gt;0, 1, 0), _xlpm.is_DI_tm, IF(IFERROR(MATCH(A5,'Engineering Numbers Ref'!B:B, 0),0)&gt;0, 2, 0), _xlpm.is_TR_dot, IF(IFERROR(MATCH(A5,'Engineering Numbers Ref'!C:C, 0),0)&gt;0,3,0), _xlpm.is_TR_tm, IF(IFERROR(MATCH(A5,'Engineering Numbers Ref'!D:D, 0),0)&gt;0,4,0), _xlpm.is_DI_dot+_xlpm.is_DI_tm+_xlpm.is_TR_dot+_xlpm.is_TR_tm)</f>
        <v>0</v>
      </c>
      <c r="K5" s="9"/>
      <c r="L5" s="129"/>
      <c r="M5" s="130"/>
      <c r="N5" s="4"/>
      <c r="O5" s="5"/>
      <c r="P5" s="6"/>
      <c r="Q5" s="6"/>
      <c r="R5" s="6"/>
    </row>
    <row r="6" spans="1:18" ht="15" customHeight="1" x14ac:dyDescent="0.25">
      <c r="A6" s="157"/>
      <c r="B6" s="76" t="str" cm="1">
        <f t="array" ref="B6">_xlfn.LET(_xlpm.DI_name, _xlfn.XLOOKUP(A6, [2]!DOT_Projects[[#All],[Engineering Number]], [2]!DOT_Projects[[#All],[Designer Name]], ""), _xlpm.DI_tm_name, _xlfn.XLOOKUP(A6, [2]!Table7[[#All],[Eng Number]], [2]!Table7[[#All],[Designer Name]], ""), _xlpm.TR_name, _xlfn.XLOOKUP(A6, [1]!CRA_Projects31213[[#All],[Engineering Number]], [1]!CRA_Projects31213[[#All],[KH Project Lead]]), _xlpm.TR_tm_name, _xlfn.XLOOKUP(A6, [1]!CRA_Projects312132[[#All],[Engineering Number]], [1]!CRA_Projects312132[[#All],[Designer Supervisor]]), _xlfn.SWITCH($J6, 1, _xlpm.DI_name, 2, _xlpm.DI_tm_name, 3, _xlpm.TR_name, 4, _xlpm.TR_tm_name, "Number not Found"))</f>
        <v>Number not Found</v>
      </c>
      <c r="C6" s="78" t="str" cm="1">
        <f t="array" ref="C6">_xlfn.LET(_xlpm.DI_town, _xlfn.XLOOKUP(A6, [2]!DOT_Projects[[#All],[Engineering Number]], [2]!DOT_Projects[[#All],[Town]], ""), _xlpm.DI_tm_town, _xlfn.XLOOKUP(A6, [2]!Table7[[#All],[Eng Number]], [2]!Table7[[#All],[Town]], ""), _xlpm.TR_town, _xlfn.XLOOKUP(A6, [1]!CRA_Projects31213[[#All],[Engineering Number]], [1]!CRA_Projects31213[[#All],[Town]]), _xlpm.TR_tm_town, _xlfn.XLOOKUP(A6, [1]!CRA_Projects312132[[#All],[Engineering Number]], [1]!CRA_Projects312132[[#All],[Town]]),_xlfn.SWITCH($J6, 1, _xlpm.DI_town, 2, _xlpm.DI_tm_town, 3, _xlpm.TR_town, 4, _xlpm.TR_tm_town, "Number not Found"))</f>
        <v>Number not Found</v>
      </c>
      <c r="D6" s="96" t="str" cm="1">
        <f t="array" ref="D6">_xlfn.LET(_xlpm.DI_date, _xlfn.XLOOKUP(A6, [2]!DOT_Projects[[#All],[Engineering Number]], [2]!DOT_Projects[[#All],[Engineering Approved Design Date]]), _xlpm.DI_tm_date, _xlfn.XLOOKUP(A6, [2]!Table7[[#All],[Eng Number]], [2]!Table7[[#All],[Target
Release Date]]), _xlpm.TR_date, _xlfn.XLOOKUP(A6, [1]!CRA_Projects31213[[#All],[Engineering Number]], [1]!CRA_Projects31213[[#All],[Engineering Approved Design Date]]), _xlpm.TR_tm_date, _xlfn.XLOOKUP(A6, [1]!CRA_Projects312132[[#All],[Engineering Number]], [1]!CRA_Projects312132[[#All],[Engineering Approved Design Date]]), _xlpm.date_lookup, _xlfn.SWITCH($J6, 1, _xlpm.DI_date, 2, _xlpm.DI_tm_date, 3, _xlpm.TR_date, 4, _xlpm.TR_tm_date, "Number not Found"), IFERROR(IF(DAY(_xlpm.date_lookup)&lt;=15, DATE(YEAR(_xlpm.date_lookup), MONTH(_xlpm.date_lookup), 1), DATE(YEAR(_xlpm.date_lookup), MONTH(_xlpm.date_lookup)+1, 1)), "Number not Found"))</f>
        <v>Number not Found</v>
      </c>
      <c r="E6" s="76"/>
      <c r="F6" s="122"/>
      <c r="G6" s="122"/>
      <c r="H6" s="122">
        <f t="shared" si="0"/>
        <v>0</v>
      </c>
      <c r="I6" s="98"/>
      <c r="J6">
        <f>_xlfn.LET(_xlpm.is_DI_dot, IF(IFERROR(MATCH(A6,'Engineering Numbers Ref'!A:A, 0),0)&gt;0, 1, 0), _xlpm.is_DI_tm, IF(IFERROR(MATCH(A6,'Engineering Numbers Ref'!B:B, 0),0)&gt;0, 2, 0), _xlpm.is_TR_dot, IF(IFERROR(MATCH(A6,'Engineering Numbers Ref'!C:C, 0),0)&gt;0,3,0), _xlpm.is_TR_tm, IF(IFERROR(MATCH(A6,'Engineering Numbers Ref'!D:D, 0),0)&gt;0,4,0), _xlpm.is_DI_dot+_xlpm.is_DI_tm+_xlpm.is_TR_dot+_xlpm.is_TR_tm)</f>
        <v>0</v>
      </c>
      <c r="K6" s="9"/>
      <c r="L6" s="9"/>
      <c r="M6" s="9"/>
      <c r="N6" s="4"/>
      <c r="O6" s="5"/>
      <c r="P6" s="6"/>
      <c r="Q6" s="6"/>
      <c r="R6" s="6"/>
    </row>
    <row r="7" spans="1:18" ht="15" customHeight="1" x14ac:dyDescent="0.25">
      <c r="A7" s="158"/>
      <c r="B7" s="76" t="str" cm="1">
        <f t="array" ref="B7">_xlfn.LET(_xlpm.DI_name, _xlfn.XLOOKUP(A7, [2]!DOT_Projects[[#All],[Engineering Number]], [2]!DOT_Projects[[#All],[Designer Name]], ""), _xlpm.DI_tm_name, _xlfn.XLOOKUP(A7, [2]!Table7[[#All],[Eng Number]], [2]!Table7[[#All],[Designer Name]], ""), _xlpm.TR_name, _xlfn.XLOOKUP(A7, [1]!CRA_Projects31213[[#All],[Engineering Number]], [1]!CRA_Projects31213[[#All],[KH Project Lead]]), _xlpm.TR_tm_name, _xlfn.XLOOKUP(A7, [1]!CRA_Projects312132[[#All],[Engineering Number]], [1]!CRA_Projects312132[[#All],[Designer Supervisor]]), _xlfn.SWITCH($J7, 1, _xlpm.DI_name, 2, _xlpm.DI_tm_name, 3, _xlpm.TR_name, 4, _xlpm.TR_tm_name, "Number not Found"))</f>
        <v>Number not Found</v>
      </c>
      <c r="C7" s="78" t="str" cm="1">
        <f t="array" ref="C7">_xlfn.LET(_xlpm.DI_town, _xlfn.XLOOKUP(A7, [2]!DOT_Projects[[#All],[Engineering Number]], [2]!DOT_Projects[[#All],[Town]], ""), _xlpm.DI_tm_town, _xlfn.XLOOKUP(A7, [2]!Table7[[#All],[Eng Number]], [2]!Table7[[#All],[Town]], ""), _xlpm.TR_town, _xlfn.XLOOKUP(A7, [1]!CRA_Projects31213[[#All],[Engineering Number]], [1]!CRA_Projects31213[[#All],[Town]]), _xlpm.TR_tm_town, _xlfn.XLOOKUP(A7, [1]!CRA_Projects312132[[#All],[Engineering Number]], [1]!CRA_Projects312132[[#All],[Town]]),_xlfn.SWITCH($J7, 1, _xlpm.DI_town, 2, _xlpm.DI_tm_town, 3, _xlpm.TR_town, 4, _xlpm.TR_tm_town, "Number not Found"))</f>
        <v>Number not Found</v>
      </c>
      <c r="D7" s="96" t="str" cm="1">
        <f t="array" ref="D7">_xlfn.LET(_xlpm.DI_date, _xlfn.XLOOKUP(A7, [2]!DOT_Projects[[#All],[Engineering Number]], [2]!DOT_Projects[[#All],[Engineering Approved Design Date]]), _xlpm.DI_tm_date, _xlfn.XLOOKUP(A7, [2]!Table7[[#All],[Eng Number]], [2]!Table7[[#All],[Target
Release Date]]), _xlpm.TR_date, _xlfn.XLOOKUP(A7, [1]!CRA_Projects31213[[#All],[Engineering Number]], [1]!CRA_Projects31213[[#All],[Engineering Approved Design Date]]), _xlpm.TR_tm_date, _xlfn.XLOOKUP(A7, [1]!CRA_Projects312132[[#All],[Engineering Number]], [1]!CRA_Projects312132[[#All],[Engineering Approved Design Date]]), _xlpm.date_lookup, _xlfn.SWITCH($J7, 1, _xlpm.DI_date, 2, _xlpm.DI_tm_date, 3, _xlpm.TR_date, 4, _xlpm.TR_tm_date, "Number not Found"), IFERROR(IF(DAY(_xlpm.date_lookup)&lt;=15, DATE(YEAR(_xlpm.date_lookup), MONTH(_xlpm.date_lookup), 1), DATE(YEAR(_xlpm.date_lookup), MONTH(_xlpm.date_lookup)+1, 1)), "Number not Found"))</f>
        <v>Number not Found</v>
      </c>
      <c r="E7" s="97"/>
      <c r="F7" s="122"/>
      <c r="G7" s="122"/>
      <c r="H7" s="122">
        <f t="shared" si="0"/>
        <v>0</v>
      </c>
      <c r="I7" s="98"/>
      <c r="J7">
        <f>_xlfn.LET(_xlpm.is_DI_dot, IF(IFERROR(MATCH(A7,'Engineering Numbers Ref'!A:A, 0),0)&gt;0, 1, 0), _xlpm.is_DI_tm, IF(IFERROR(MATCH(A7,'Engineering Numbers Ref'!B:B, 0),0)&gt;0, 2, 0), _xlpm.is_TR_dot, IF(IFERROR(MATCH(A7,'Engineering Numbers Ref'!C:C, 0),0)&gt;0,3,0), _xlpm.is_TR_tm, IF(IFERROR(MATCH(A7,'Engineering Numbers Ref'!D:D, 0),0)&gt;0,4,0), _xlpm.is_DI_dot+_xlpm.is_DI_tm+_xlpm.is_TR_dot+_xlpm.is_TR_tm)</f>
        <v>0</v>
      </c>
      <c r="K7" s="9"/>
      <c r="L7" s="9"/>
      <c r="M7" s="67"/>
      <c r="N7" s="4"/>
      <c r="O7" s="5"/>
      <c r="P7" s="6"/>
      <c r="Q7" s="6"/>
      <c r="R7" s="6"/>
    </row>
    <row r="8" spans="1:18" ht="15" customHeight="1" x14ac:dyDescent="0.25">
      <c r="A8" s="157"/>
      <c r="B8" s="76" t="str" cm="1">
        <f t="array" ref="B8">_xlfn.LET(_xlpm.DI_name, _xlfn.XLOOKUP(A8, [2]!DOT_Projects[[#All],[Engineering Number]], [2]!DOT_Projects[[#All],[Designer Name]], ""), _xlpm.DI_tm_name, _xlfn.XLOOKUP(A8, [2]!Table7[[#All],[Eng Number]], [2]!Table7[[#All],[Designer Name]], ""), _xlpm.TR_name, _xlfn.XLOOKUP(A8, [1]!CRA_Projects31213[[#All],[Engineering Number]], [1]!CRA_Projects31213[[#All],[KH Project Lead]]), _xlpm.TR_tm_name, _xlfn.XLOOKUP(A8, [1]!CRA_Projects312132[[#All],[Engineering Number]], [1]!CRA_Projects312132[[#All],[Designer Supervisor]]), _xlfn.SWITCH($J8, 1, _xlpm.DI_name, 2, _xlpm.DI_tm_name, 3, _xlpm.TR_name, 4, _xlpm.TR_tm_name, "Number not Found"))</f>
        <v>Number not Found</v>
      </c>
      <c r="C8" s="78" t="str" cm="1">
        <f t="array" ref="C8">_xlfn.LET(_xlpm.DI_town, _xlfn.XLOOKUP(A8, [2]!DOT_Projects[[#All],[Engineering Number]], [2]!DOT_Projects[[#All],[Town]], ""), _xlpm.DI_tm_town, _xlfn.XLOOKUP(A8, [2]!Table7[[#All],[Eng Number]], [2]!Table7[[#All],[Town]], ""), _xlpm.TR_town, _xlfn.XLOOKUP(A8, [1]!CRA_Projects31213[[#All],[Engineering Number]], [1]!CRA_Projects31213[[#All],[Town]]), _xlpm.TR_tm_town, _xlfn.XLOOKUP(A8, [1]!CRA_Projects312132[[#All],[Engineering Number]], [1]!CRA_Projects312132[[#All],[Town]]),_xlfn.SWITCH($J8, 1, _xlpm.DI_town, 2, _xlpm.DI_tm_town, 3, _xlpm.TR_town, 4, _xlpm.TR_tm_town, "Number not Found"))</f>
        <v>Number not Found</v>
      </c>
      <c r="D8" s="96" t="str" cm="1">
        <f t="array" ref="D8">_xlfn.LET(_xlpm.DI_date, _xlfn.XLOOKUP(A8, [2]!DOT_Projects[[#All],[Engineering Number]], [2]!DOT_Projects[[#All],[Engineering Approved Design Date]]), _xlpm.DI_tm_date, _xlfn.XLOOKUP(A8, [2]!Table7[[#All],[Eng Number]], [2]!Table7[[#All],[Target
Release Date]]), _xlpm.TR_date, _xlfn.XLOOKUP(A8, [1]!CRA_Projects31213[[#All],[Engineering Number]], [1]!CRA_Projects31213[[#All],[Engineering Approved Design Date]]), _xlpm.TR_tm_date, _xlfn.XLOOKUP(A8, [1]!CRA_Projects312132[[#All],[Engineering Number]], [1]!CRA_Projects312132[[#All],[Engineering Approved Design Date]]), _xlpm.date_lookup, _xlfn.SWITCH($J8, 1, _xlpm.DI_date, 2, _xlpm.DI_tm_date, 3, _xlpm.TR_date, 4, _xlpm.TR_tm_date, "Number not Found"), IFERROR(IF(DAY(_xlpm.date_lookup)&lt;=15, DATE(YEAR(_xlpm.date_lookup), MONTH(_xlpm.date_lookup), 1), DATE(YEAR(_xlpm.date_lookup), MONTH(_xlpm.date_lookup)+1, 1)), "Number not Found"))</f>
        <v>Number not Found</v>
      </c>
      <c r="E8" s="76"/>
      <c r="F8" s="126"/>
      <c r="G8" s="122"/>
      <c r="H8" s="122">
        <f t="shared" si="0"/>
        <v>0</v>
      </c>
      <c r="I8" s="147"/>
      <c r="J8">
        <f>_xlfn.LET(_xlpm.is_DI_dot, IF(IFERROR(MATCH(A8,'Engineering Numbers Ref'!A:A, 0),0)&gt;0, 1, 0), _xlpm.is_DI_tm, IF(IFERROR(MATCH(A8,'Engineering Numbers Ref'!B:B, 0),0)&gt;0, 2, 0), _xlpm.is_TR_dot, IF(IFERROR(MATCH(A8,'Engineering Numbers Ref'!C:C, 0),0)&gt;0,3,0), _xlpm.is_TR_tm, IF(IFERROR(MATCH(A8,'Engineering Numbers Ref'!D:D, 0),0)&gt;0,4,0), _xlpm.is_DI_dot+_xlpm.is_DI_tm+_xlpm.is_TR_dot+_xlpm.is_TR_tm)</f>
        <v>0</v>
      </c>
      <c r="L8" s="33"/>
      <c r="M8" s="72"/>
      <c r="N8" s="4"/>
      <c r="O8" s="5"/>
      <c r="P8" s="6"/>
      <c r="Q8" s="6"/>
      <c r="R8" s="6"/>
    </row>
    <row r="9" spans="1:18" ht="15" customHeight="1" x14ac:dyDescent="0.25">
      <c r="A9" s="157"/>
      <c r="B9" s="76" t="str" cm="1">
        <f t="array" ref="B9">_xlfn.LET(_xlpm.DI_name, _xlfn.XLOOKUP(A9, [2]!DOT_Projects[[#All],[Engineering Number]], [2]!DOT_Projects[[#All],[Designer Name]], ""), _xlpm.DI_tm_name, _xlfn.XLOOKUP(A9, [2]!Table7[[#All],[Eng Number]], [2]!Table7[[#All],[Designer Name]], ""), _xlpm.TR_name, _xlfn.XLOOKUP(A9, [1]!CRA_Projects31213[[#All],[Engineering Number]], [1]!CRA_Projects31213[[#All],[KH Project Lead]]), _xlpm.TR_tm_name, _xlfn.XLOOKUP(A9, [1]!CRA_Projects312132[[#All],[Engineering Number]], [1]!CRA_Projects312132[[#All],[Designer Supervisor]]), _xlfn.SWITCH($J9, 1, _xlpm.DI_name, 2, _xlpm.DI_tm_name, 3, _xlpm.TR_name, 4, _xlpm.TR_tm_name, "Number not Found"))</f>
        <v>Number not Found</v>
      </c>
      <c r="C9" s="78" t="str" cm="1">
        <f t="array" ref="C9">_xlfn.LET(_xlpm.DI_town, _xlfn.XLOOKUP(A9, [2]!DOT_Projects[[#All],[Engineering Number]], [2]!DOT_Projects[[#All],[Town]], ""), _xlpm.DI_tm_town, _xlfn.XLOOKUP(A9, [2]!Table7[[#All],[Eng Number]], [2]!Table7[[#All],[Town]], ""), _xlpm.TR_town, _xlfn.XLOOKUP(A9, [1]!CRA_Projects31213[[#All],[Engineering Number]], [1]!CRA_Projects31213[[#All],[Town]]), _xlpm.TR_tm_town, _xlfn.XLOOKUP(A9, [1]!CRA_Projects312132[[#All],[Engineering Number]], [1]!CRA_Projects312132[[#All],[Town]]),_xlfn.SWITCH($J9, 1, _xlpm.DI_town, 2, _xlpm.DI_tm_town, 3, _xlpm.TR_town, 4, _xlpm.TR_tm_town, "Number not Found"))</f>
        <v>Number not Found</v>
      </c>
      <c r="D9" s="96" t="str" cm="1">
        <f t="array" ref="D9">_xlfn.LET(_xlpm.DI_date, _xlfn.XLOOKUP(A9, [2]!DOT_Projects[[#All],[Engineering Number]], [2]!DOT_Projects[[#All],[Engineering Approved Design Date]]), _xlpm.DI_tm_date, _xlfn.XLOOKUP(A9, [2]!Table7[[#All],[Eng Number]], [2]!Table7[[#All],[Target
Release Date]]), _xlpm.TR_date, _xlfn.XLOOKUP(A9, [1]!CRA_Projects31213[[#All],[Engineering Number]], [1]!CRA_Projects31213[[#All],[Engineering Approved Design Date]]), _xlpm.TR_tm_date, _xlfn.XLOOKUP(A9, [1]!CRA_Projects312132[[#All],[Engineering Number]], [1]!CRA_Projects312132[[#All],[Engineering Approved Design Date]]), _xlpm.date_lookup, _xlfn.SWITCH($J9, 1, _xlpm.DI_date, 2, _xlpm.DI_tm_date, 3, _xlpm.TR_date, 4, _xlpm.TR_tm_date, "Number not Found"), IFERROR(IF(DAY(_xlpm.date_lookup)&lt;=15, DATE(YEAR(_xlpm.date_lookup), MONTH(_xlpm.date_lookup), 1), DATE(YEAR(_xlpm.date_lookup), MONTH(_xlpm.date_lookup)+1, 1)), "Number not Found"))</f>
        <v>Number not Found</v>
      </c>
      <c r="E9" s="76"/>
      <c r="F9" s="126"/>
      <c r="G9" s="122"/>
      <c r="H9" s="122">
        <f t="shared" si="0"/>
        <v>0</v>
      </c>
      <c r="I9" s="98"/>
      <c r="J9">
        <f>_xlfn.LET(_xlpm.is_DI_dot, IF(IFERROR(MATCH(A9,'Engineering Numbers Ref'!A:A, 0),0)&gt;0, 1, 0), _xlpm.is_DI_tm, IF(IFERROR(MATCH(A9,'Engineering Numbers Ref'!B:B, 0),0)&gt;0, 2, 0), _xlpm.is_TR_dot, IF(IFERROR(MATCH(A9,'Engineering Numbers Ref'!C:C, 0),0)&gt;0,3,0), _xlpm.is_TR_tm, IF(IFERROR(MATCH(A9,'Engineering Numbers Ref'!D:D, 0),0)&gt;0,4,0), _xlpm.is_DI_dot+_xlpm.is_DI_tm+_xlpm.is_TR_dot+_xlpm.is_TR_tm)</f>
        <v>0</v>
      </c>
      <c r="L9" s="33"/>
      <c r="M9" s="72"/>
      <c r="N9" s="4"/>
      <c r="O9" s="5"/>
      <c r="P9" s="6"/>
      <c r="Q9" s="6"/>
      <c r="R9" s="6"/>
    </row>
    <row r="10" spans="1:18" ht="15" customHeight="1" x14ac:dyDescent="0.25">
      <c r="A10" s="159"/>
      <c r="B10" s="76" t="str" cm="1">
        <f t="array" ref="B10">_xlfn.LET(_xlpm.DI_name, _xlfn.XLOOKUP(A10, [2]!DOT_Projects[[#All],[Engineering Number]], [2]!DOT_Projects[[#All],[Designer Name]], ""), _xlpm.DI_tm_name, _xlfn.XLOOKUP(A10, [2]!Table7[[#All],[Eng Number]], [2]!Table7[[#All],[Designer Name]], ""), _xlpm.TR_name, _xlfn.XLOOKUP(A10, [1]!CRA_Projects31213[[#All],[Engineering Number]], [1]!CRA_Projects31213[[#All],[KH Project Lead]]), _xlpm.TR_tm_name, _xlfn.XLOOKUP(A10, [1]!CRA_Projects312132[[#All],[Engineering Number]], [1]!CRA_Projects312132[[#All],[Designer Supervisor]]), _xlfn.SWITCH($J10, 1, _xlpm.DI_name, 2, _xlpm.DI_tm_name, 3, _xlpm.TR_name, 4, _xlpm.TR_tm_name, "Number not Found"))</f>
        <v>Number not Found</v>
      </c>
      <c r="C10" s="78" t="str" cm="1">
        <f t="array" ref="C10">_xlfn.LET(_xlpm.DI_town, _xlfn.XLOOKUP(A10, [2]!DOT_Projects[[#All],[Engineering Number]], [2]!DOT_Projects[[#All],[Town]], ""), _xlpm.DI_tm_town, _xlfn.XLOOKUP(A10, [2]!Table7[[#All],[Eng Number]], [2]!Table7[[#All],[Town]], ""), _xlpm.TR_town, _xlfn.XLOOKUP(A10, [1]!CRA_Projects31213[[#All],[Engineering Number]], [1]!CRA_Projects31213[[#All],[Town]]), _xlpm.TR_tm_town, _xlfn.XLOOKUP(A10, [1]!CRA_Projects312132[[#All],[Engineering Number]], [1]!CRA_Projects312132[[#All],[Town]]),_xlfn.SWITCH($J10, 1, _xlpm.DI_town, 2, _xlpm.DI_tm_town, 3, _xlpm.TR_town, 4, _xlpm.TR_tm_town, "Number not Found"))</f>
        <v>Number not Found</v>
      </c>
      <c r="D10" s="96" t="str" cm="1">
        <f t="array" ref="D10">_xlfn.LET(_xlpm.DI_date, _xlfn.XLOOKUP(A10, [2]!DOT_Projects[[#All],[Engineering Number]], [2]!DOT_Projects[[#All],[Engineering Approved Design Date]]), _xlpm.DI_tm_date, _xlfn.XLOOKUP(A10, [2]!Table7[[#All],[Eng Number]], [2]!Table7[[#All],[Target
Release Date]]), _xlpm.TR_date, _xlfn.XLOOKUP(A10, [1]!CRA_Projects31213[[#All],[Engineering Number]], [1]!CRA_Projects31213[[#All],[Engineering Approved Design Date]]), _xlpm.TR_tm_date, _xlfn.XLOOKUP(A10, [1]!CRA_Projects312132[[#All],[Engineering Number]], [1]!CRA_Projects312132[[#All],[Engineering Approved Design Date]]), _xlpm.date_lookup, _xlfn.SWITCH($J10, 1, _xlpm.DI_date, 2, _xlpm.DI_tm_date, 3, _xlpm.TR_date, 4, _xlpm.TR_tm_date, "Number not Found"), IFERROR(IF(DAY(_xlpm.date_lookup)&lt;=15, DATE(YEAR(_xlpm.date_lookup), MONTH(_xlpm.date_lookup), 1), DATE(YEAR(_xlpm.date_lookup), MONTH(_xlpm.date_lookup)+1, 1)), "Number not Found"))</f>
        <v>Number not Found</v>
      </c>
      <c r="E10" s="76"/>
      <c r="F10" s="126"/>
      <c r="G10" s="122"/>
      <c r="H10" s="122">
        <f t="shared" si="0"/>
        <v>0</v>
      </c>
      <c r="I10" s="98"/>
      <c r="J10">
        <f>_xlfn.LET(_xlpm.is_DI_dot, IF(IFERROR(MATCH(A10,'Engineering Numbers Ref'!A:A, 0),0)&gt;0, 1, 0), _xlpm.is_DI_tm, IF(IFERROR(MATCH(A10,'Engineering Numbers Ref'!B:B, 0),0)&gt;0, 2, 0), _xlpm.is_TR_dot, IF(IFERROR(MATCH(A10,'Engineering Numbers Ref'!C:C, 0),0)&gt;0,3,0), _xlpm.is_TR_tm, IF(IFERROR(MATCH(A10,'Engineering Numbers Ref'!D:D, 0),0)&gt;0,4,0), _xlpm.is_DI_dot+_xlpm.is_DI_tm+_xlpm.is_TR_dot+_xlpm.is_TR_tm)</f>
        <v>0</v>
      </c>
      <c r="L10" s="33"/>
      <c r="M10" s="72"/>
      <c r="N10" s="4"/>
      <c r="O10" s="5"/>
      <c r="P10" s="6"/>
      <c r="Q10" s="6"/>
      <c r="R10" s="6"/>
    </row>
    <row r="11" spans="1:18" ht="15" customHeight="1" x14ac:dyDescent="0.25">
      <c r="A11" s="157"/>
      <c r="B11" s="76" t="str" cm="1">
        <f t="array" ref="B11">_xlfn.LET(_xlpm.DI_name, _xlfn.XLOOKUP(A11, [2]!DOT_Projects[[#All],[Engineering Number]], [2]!DOT_Projects[[#All],[Designer Name]], ""), _xlpm.DI_tm_name, _xlfn.XLOOKUP(A11, [2]!Table7[[#All],[Eng Number]], [2]!Table7[[#All],[Designer Name]], ""), _xlpm.TR_name, _xlfn.XLOOKUP(A11, [1]!CRA_Projects31213[[#All],[Engineering Number]], [1]!CRA_Projects31213[[#All],[KH Project Lead]]), _xlpm.TR_tm_name, _xlfn.XLOOKUP(A11, [1]!CRA_Projects312132[[#All],[Engineering Number]], [1]!CRA_Projects312132[[#All],[Designer Supervisor]]), _xlfn.SWITCH($J11, 1, _xlpm.DI_name, 2, _xlpm.DI_tm_name, 3, _xlpm.TR_name, 4, _xlpm.TR_tm_name, "Number not Found"))</f>
        <v>Number not Found</v>
      </c>
      <c r="C11" s="78" t="str" cm="1">
        <f t="array" ref="C11">_xlfn.LET(_xlpm.DI_town, _xlfn.XLOOKUP(A11, [2]!DOT_Projects[[#All],[Engineering Number]], [2]!DOT_Projects[[#All],[Town]], ""), _xlpm.DI_tm_town, _xlfn.XLOOKUP(A11, [2]!Table7[[#All],[Eng Number]], [2]!Table7[[#All],[Town]], ""), _xlpm.TR_town, _xlfn.XLOOKUP(A11, [1]!CRA_Projects31213[[#All],[Engineering Number]], [1]!CRA_Projects31213[[#All],[Town]]), _xlpm.TR_tm_town, _xlfn.XLOOKUP(A11, [1]!CRA_Projects312132[[#All],[Engineering Number]], [1]!CRA_Projects312132[[#All],[Town]]),_xlfn.SWITCH($J11, 1, _xlpm.DI_town, 2, _xlpm.DI_tm_town, 3, _xlpm.TR_town, 4, _xlpm.TR_tm_town, "Number not Found"))</f>
        <v>Number not Found</v>
      </c>
      <c r="D11" s="96" t="str" cm="1">
        <f t="array" ref="D11">_xlfn.LET(_xlpm.DI_date, _xlfn.XLOOKUP(A11, [2]!DOT_Projects[[#All],[Engineering Number]], [2]!DOT_Projects[[#All],[Engineering Approved Design Date]]), _xlpm.DI_tm_date, _xlfn.XLOOKUP(A11, [2]!Table7[[#All],[Eng Number]], [2]!Table7[[#All],[Target
Release Date]]), _xlpm.TR_date, _xlfn.XLOOKUP(A11, [1]!CRA_Projects31213[[#All],[Engineering Number]], [1]!CRA_Projects31213[[#All],[Engineering Approved Design Date]]), _xlpm.TR_tm_date, _xlfn.XLOOKUP(A11, [1]!CRA_Projects312132[[#All],[Engineering Number]], [1]!CRA_Projects312132[[#All],[Engineering Approved Design Date]]), _xlpm.date_lookup, _xlfn.SWITCH($J11, 1, _xlpm.DI_date, 2, _xlpm.DI_tm_date, 3, _xlpm.TR_date, 4, _xlpm.TR_tm_date, "Number not Found"), IFERROR(IF(DAY(_xlpm.date_lookup)&lt;=15, DATE(YEAR(_xlpm.date_lookup), MONTH(_xlpm.date_lookup), 1), DATE(YEAR(_xlpm.date_lookup), MONTH(_xlpm.date_lookup)+1, 1)), "Number not Found"))</f>
        <v>Number not Found</v>
      </c>
      <c r="E11" s="76"/>
      <c r="F11" s="122"/>
      <c r="G11" s="122"/>
      <c r="H11" s="122">
        <f t="shared" si="0"/>
        <v>0</v>
      </c>
      <c r="I11" s="148"/>
      <c r="J11">
        <f>_xlfn.LET(_xlpm.is_DI_dot, IF(IFERROR(MATCH(A11,'Engineering Numbers Ref'!A:A, 0),0)&gt;0, 1, 0), _xlpm.is_DI_tm, IF(IFERROR(MATCH(A11,'Engineering Numbers Ref'!B:B, 0),0)&gt;0, 2, 0), _xlpm.is_TR_dot, IF(IFERROR(MATCH(A11,'Engineering Numbers Ref'!C:C, 0),0)&gt;0,3,0), _xlpm.is_TR_tm, IF(IFERROR(MATCH(A11,'Engineering Numbers Ref'!D:D, 0),0)&gt;0,4,0), _xlpm.is_DI_dot+_xlpm.is_DI_tm+_xlpm.is_TR_dot+_xlpm.is_TR_tm)</f>
        <v>0</v>
      </c>
    </row>
    <row r="12" spans="1:18" ht="15" customHeight="1" x14ac:dyDescent="0.25">
      <c r="A12" s="157"/>
      <c r="B12" s="76" t="str" cm="1">
        <f t="array" ref="B12">_xlfn.LET(_xlpm.DI_name, _xlfn.XLOOKUP(A12, [2]!DOT_Projects[[#All],[Engineering Number]], [2]!DOT_Projects[[#All],[Designer Name]], ""), _xlpm.DI_tm_name, _xlfn.XLOOKUP(A12, [2]!Table7[[#All],[Eng Number]], [2]!Table7[[#All],[Designer Name]], ""), _xlpm.TR_name, _xlfn.XLOOKUP(A12, [1]!CRA_Projects31213[[#All],[Engineering Number]], [1]!CRA_Projects31213[[#All],[KH Project Lead]]), _xlpm.TR_tm_name, _xlfn.XLOOKUP(A12, [1]!CRA_Projects312132[[#All],[Engineering Number]], [1]!CRA_Projects312132[[#All],[Designer Supervisor]]), _xlfn.SWITCH($J12, 1, _xlpm.DI_name, 2, _xlpm.DI_tm_name, 3, _xlpm.TR_name, 4, _xlpm.TR_tm_name, "Number not Found"))</f>
        <v>Number not Found</v>
      </c>
      <c r="C12" s="78" t="str" cm="1">
        <f t="array" ref="C12">_xlfn.LET(_xlpm.DI_town, _xlfn.XLOOKUP(A12, [2]!DOT_Projects[[#All],[Engineering Number]], [2]!DOT_Projects[[#All],[Town]], ""), _xlpm.DI_tm_town, _xlfn.XLOOKUP(A12, [2]!Table7[[#All],[Eng Number]], [2]!Table7[[#All],[Town]], ""), _xlpm.TR_town, _xlfn.XLOOKUP(A12, [1]!CRA_Projects31213[[#All],[Engineering Number]], [1]!CRA_Projects31213[[#All],[Town]]), _xlpm.TR_tm_town, _xlfn.XLOOKUP(A12, [1]!CRA_Projects312132[[#All],[Engineering Number]], [1]!CRA_Projects312132[[#All],[Town]]),_xlfn.SWITCH($J12, 1, _xlpm.DI_town, 2, _xlpm.DI_tm_town, 3, _xlpm.TR_town, 4, _xlpm.TR_tm_town, "Number not Found"))</f>
        <v>Number not Found</v>
      </c>
      <c r="D12" s="96" t="str" cm="1">
        <f t="array" ref="D12">_xlfn.LET(_xlpm.DI_date, _xlfn.XLOOKUP(A12, [2]!DOT_Projects[[#All],[Engineering Number]], [2]!DOT_Projects[[#All],[Engineering Approved Design Date]]), _xlpm.DI_tm_date, _xlfn.XLOOKUP(A12, [2]!Table7[[#All],[Eng Number]], [2]!Table7[[#All],[Target
Release Date]]), _xlpm.TR_date, _xlfn.XLOOKUP(A12, [1]!CRA_Projects31213[[#All],[Engineering Number]], [1]!CRA_Projects31213[[#All],[Engineering Approved Design Date]]), _xlpm.TR_tm_date, _xlfn.XLOOKUP(A12, [1]!CRA_Projects312132[[#All],[Engineering Number]], [1]!CRA_Projects312132[[#All],[Engineering Approved Design Date]]), _xlpm.date_lookup, _xlfn.SWITCH($J12, 1, _xlpm.DI_date, 2, _xlpm.DI_tm_date, 3, _xlpm.TR_date, 4, _xlpm.TR_tm_date, "Number not Found"), IFERROR(IF(DAY(_xlpm.date_lookup)&lt;=15, DATE(YEAR(_xlpm.date_lookup), MONTH(_xlpm.date_lookup), 1), DATE(YEAR(_xlpm.date_lookup), MONTH(_xlpm.date_lookup)+1, 1)), "Number not Found"))</f>
        <v>Number not Found</v>
      </c>
      <c r="E12" s="76"/>
      <c r="F12" s="122"/>
      <c r="G12" s="122"/>
      <c r="H12" s="122">
        <f t="shared" si="0"/>
        <v>0</v>
      </c>
      <c r="I12" s="98"/>
      <c r="J12">
        <f>_xlfn.LET(_xlpm.is_DI_dot, IF(IFERROR(MATCH(A12,'Engineering Numbers Ref'!A:A, 0),0)&gt;0, 1, 0), _xlpm.is_DI_tm, IF(IFERROR(MATCH(A12,'Engineering Numbers Ref'!B:B, 0),0)&gt;0, 2, 0), _xlpm.is_TR_dot, IF(IFERROR(MATCH(A12,'Engineering Numbers Ref'!C:C, 0),0)&gt;0,3,0), _xlpm.is_TR_tm, IF(IFERROR(MATCH(A12,'Engineering Numbers Ref'!D:D, 0),0)&gt;0,4,0), _xlpm.is_DI_dot+_xlpm.is_DI_tm+_xlpm.is_TR_dot+_xlpm.is_TR_tm)</f>
        <v>0</v>
      </c>
    </row>
    <row r="13" spans="1:18" ht="15" customHeight="1" x14ac:dyDescent="0.25">
      <c r="A13" s="160"/>
      <c r="B13" s="76" t="str" cm="1">
        <f t="array" ref="B13">_xlfn.LET(_xlpm.DI_name, _xlfn.XLOOKUP(A13, [2]!DOT_Projects[[#All],[Engineering Number]], [2]!DOT_Projects[[#All],[Designer Name]], ""), _xlpm.DI_tm_name, _xlfn.XLOOKUP(A13, [2]!Table7[[#All],[Eng Number]], [2]!Table7[[#All],[Designer Name]], ""), _xlpm.TR_name, _xlfn.XLOOKUP(A13, [1]!CRA_Projects31213[[#All],[Engineering Number]], [1]!CRA_Projects31213[[#All],[KH Project Lead]]), _xlpm.TR_tm_name, _xlfn.XLOOKUP(A13, [1]!CRA_Projects312132[[#All],[Engineering Number]], [1]!CRA_Projects312132[[#All],[Designer Supervisor]]), _xlfn.SWITCH($J13, 1, _xlpm.DI_name, 2, _xlpm.DI_tm_name, 3, _xlpm.TR_name, 4, _xlpm.TR_tm_name, "Number not Found"))</f>
        <v>Number not Found</v>
      </c>
      <c r="C13" s="78" t="str" cm="1">
        <f t="array" ref="C13">_xlfn.LET(_xlpm.DI_town, _xlfn.XLOOKUP(A13, [2]!DOT_Projects[[#All],[Engineering Number]], [2]!DOT_Projects[[#All],[Town]], ""), _xlpm.DI_tm_town, _xlfn.XLOOKUP(A13, [2]!Table7[[#All],[Eng Number]], [2]!Table7[[#All],[Town]], ""), _xlpm.TR_town, _xlfn.XLOOKUP(A13, [1]!CRA_Projects31213[[#All],[Engineering Number]], [1]!CRA_Projects31213[[#All],[Town]]), _xlpm.TR_tm_town, _xlfn.XLOOKUP(A13, [1]!CRA_Projects312132[[#All],[Engineering Number]], [1]!CRA_Projects312132[[#All],[Town]]),_xlfn.SWITCH($J13, 1, _xlpm.DI_town, 2, _xlpm.DI_tm_town, 3, _xlpm.TR_town, 4, _xlpm.TR_tm_town, "Number not Found"))</f>
        <v>Number not Found</v>
      </c>
      <c r="D13" s="96" t="str" cm="1">
        <f t="array" ref="D13">_xlfn.LET(_xlpm.DI_date, _xlfn.XLOOKUP(A13, [2]!DOT_Projects[[#All],[Engineering Number]], [2]!DOT_Projects[[#All],[Engineering Approved Design Date]]), _xlpm.DI_tm_date, _xlfn.XLOOKUP(A13, [2]!Table7[[#All],[Eng Number]], [2]!Table7[[#All],[Target
Release Date]]), _xlpm.TR_date, _xlfn.XLOOKUP(A13, [1]!CRA_Projects31213[[#All],[Engineering Number]], [1]!CRA_Projects31213[[#All],[Engineering Approved Design Date]]), _xlpm.TR_tm_date, _xlfn.XLOOKUP(A13, [1]!CRA_Projects312132[[#All],[Engineering Number]], [1]!CRA_Projects312132[[#All],[Engineering Approved Design Date]]), _xlpm.date_lookup, _xlfn.SWITCH($J13, 1, _xlpm.DI_date, 2, _xlpm.DI_tm_date, 3, _xlpm.TR_date, 4, _xlpm.TR_tm_date, "Number not Found"), IFERROR(IF(DAY(_xlpm.date_lookup)&lt;=15, DATE(YEAR(_xlpm.date_lookup), MONTH(_xlpm.date_lookup), 1), DATE(YEAR(_xlpm.date_lookup), MONTH(_xlpm.date_lookup)+1, 1)), "Number not Found"))</f>
        <v>Number not Found</v>
      </c>
      <c r="E13" s="76"/>
      <c r="F13" s="122"/>
      <c r="G13" s="122"/>
      <c r="H13" s="122">
        <f t="shared" si="0"/>
        <v>0</v>
      </c>
      <c r="I13" s="98"/>
      <c r="J13">
        <f>_xlfn.LET(_xlpm.is_DI_dot, IF(IFERROR(MATCH(A13,'Engineering Numbers Ref'!A:A, 0),0)&gt;0, 1, 0), _xlpm.is_DI_tm, IF(IFERROR(MATCH(A13,'Engineering Numbers Ref'!B:B, 0),0)&gt;0, 2, 0), _xlpm.is_TR_dot, IF(IFERROR(MATCH(A13,'Engineering Numbers Ref'!C:C, 0),0)&gt;0,3,0), _xlpm.is_TR_tm, IF(IFERROR(MATCH(A13,'Engineering Numbers Ref'!D:D, 0),0)&gt;0,4,0), _xlpm.is_DI_dot+_xlpm.is_DI_tm+_xlpm.is_TR_dot+_xlpm.is_TR_tm)</f>
        <v>0</v>
      </c>
    </row>
    <row r="14" spans="1:18" ht="15" customHeight="1" x14ac:dyDescent="0.25">
      <c r="A14" s="160"/>
      <c r="B14" s="76" t="str" cm="1">
        <f t="array" ref="B14">_xlfn.LET(_xlpm.DI_name, _xlfn.XLOOKUP(A14, [2]!DOT_Projects[[#All],[Engineering Number]], [2]!DOT_Projects[[#All],[Designer Name]], ""), _xlpm.DI_tm_name, _xlfn.XLOOKUP(A14, [2]!Table7[[#All],[Eng Number]], [2]!Table7[[#All],[Designer Name]], ""), _xlpm.TR_name, _xlfn.XLOOKUP(A14, [1]!CRA_Projects31213[[#All],[Engineering Number]], [1]!CRA_Projects31213[[#All],[KH Project Lead]]), _xlpm.TR_tm_name, _xlfn.XLOOKUP(A14, [1]!CRA_Projects312132[[#All],[Engineering Number]], [1]!CRA_Projects312132[[#All],[Designer Supervisor]]), _xlfn.SWITCH($J14, 1, _xlpm.DI_name, 2, _xlpm.DI_tm_name, 3, _xlpm.TR_name, 4, _xlpm.TR_tm_name, "Number not Found"))</f>
        <v>Number not Found</v>
      </c>
      <c r="C14" s="78" t="str" cm="1">
        <f t="array" ref="C14">_xlfn.LET(_xlpm.DI_town, _xlfn.XLOOKUP(A14, [2]!DOT_Projects[[#All],[Engineering Number]], [2]!DOT_Projects[[#All],[Town]], ""), _xlpm.DI_tm_town, _xlfn.XLOOKUP(A14, [2]!Table7[[#All],[Eng Number]], [2]!Table7[[#All],[Town]], ""), _xlpm.TR_town, _xlfn.XLOOKUP(A14, [1]!CRA_Projects31213[[#All],[Engineering Number]], [1]!CRA_Projects31213[[#All],[Town]]), _xlpm.TR_tm_town, _xlfn.XLOOKUP(A14, [1]!CRA_Projects312132[[#All],[Engineering Number]], [1]!CRA_Projects312132[[#All],[Town]]),_xlfn.SWITCH($J14, 1, _xlpm.DI_town, 2, _xlpm.DI_tm_town, 3, _xlpm.TR_town, 4, _xlpm.TR_tm_town, "Number not Found"))</f>
        <v>Number not Found</v>
      </c>
      <c r="D14" s="96" t="str" cm="1">
        <f t="array" ref="D14">_xlfn.LET(_xlpm.DI_date, _xlfn.XLOOKUP(A14, [2]!DOT_Projects[[#All],[Engineering Number]], [2]!DOT_Projects[[#All],[Engineering Approved Design Date]]), _xlpm.DI_tm_date, _xlfn.XLOOKUP(A14, [2]!Table7[[#All],[Eng Number]], [2]!Table7[[#All],[Target
Release Date]]), _xlpm.TR_date, _xlfn.XLOOKUP(A14, [1]!CRA_Projects31213[[#All],[Engineering Number]], [1]!CRA_Projects31213[[#All],[Engineering Approved Design Date]]), _xlpm.TR_tm_date, _xlfn.XLOOKUP(A14, [1]!CRA_Projects312132[[#All],[Engineering Number]], [1]!CRA_Projects312132[[#All],[Engineering Approved Design Date]]), _xlpm.date_lookup, _xlfn.SWITCH($J14, 1, _xlpm.DI_date, 2, _xlpm.DI_tm_date, 3, _xlpm.TR_date, 4, _xlpm.TR_tm_date, "Number not Found"), IFERROR(IF(DAY(_xlpm.date_lookup)&lt;=15, DATE(YEAR(_xlpm.date_lookup), MONTH(_xlpm.date_lookup), 1), DATE(YEAR(_xlpm.date_lookup), MONTH(_xlpm.date_lookup)+1, 1)), "Number not Found"))</f>
        <v>Number not Found</v>
      </c>
      <c r="E14" s="76"/>
      <c r="F14" s="122"/>
      <c r="G14" s="122"/>
      <c r="H14" s="122">
        <f t="shared" si="0"/>
        <v>0</v>
      </c>
      <c r="I14" s="98"/>
      <c r="J14">
        <f>_xlfn.LET(_xlpm.is_DI_dot, IF(IFERROR(MATCH(A14,'Engineering Numbers Ref'!A:A, 0),0)&gt;0, 1, 0), _xlpm.is_DI_tm, IF(IFERROR(MATCH(A14,'Engineering Numbers Ref'!B:B, 0),0)&gt;0, 2, 0), _xlpm.is_TR_dot, IF(IFERROR(MATCH(A14,'Engineering Numbers Ref'!C:C, 0),0)&gt;0,3,0), _xlpm.is_TR_tm, IF(IFERROR(MATCH(A14,'Engineering Numbers Ref'!D:D, 0),0)&gt;0,4,0), _xlpm.is_DI_dot+_xlpm.is_DI_tm+_xlpm.is_TR_dot+_xlpm.is_TR_tm)</f>
        <v>0</v>
      </c>
    </row>
    <row r="15" spans="1:18" ht="15" customHeight="1" x14ac:dyDescent="0.25">
      <c r="A15" s="160"/>
      <c r="B15" s="76" t="str" cm="1">
        <f t="array" ref="B15">_xlfn.LET(_xlpm.DI_name, _xlfn.XLOOKUP(A15, [2]!DOT_Projects[[#All],[Engineering Number]], [2]!DOT_Projects[[#All],[Designer Name]], ""), _xlpm.DI_tm_name, _xlfn.XLOOKUP(A15, [2]!Table7[[#All],[Eng Number]], [2]!Table7[[#All],[Designer Name]], ""), _xlpm.TR_name, _xlfn.XLOOKUP(A15, [1]!CRA_Projects31213[[#All],[Engineering Number]], [1]!CRA_Projects31213[[#All],[KH Project Lead]]), _xlpm.TR_tm_name, _xlfn.XLOOKUP(A15, [1]!CRA_Projects312132[[#All],[Engineering Number]], [1]!CRA_Projects312132[[#All],[Designer Supervisor]]), _xlfn.SWITCH($J15, 1, _xlpm.DI_name, 2, _xlpm.DI_tm_name, 3, _xlpm.TR_name, 4, _xlpm.TR_tm_name, "Number not Found"))</f>
        <v>Number not Found</v>
      </c>
      <c r="C15" s="78" t="str" cm="1">
        <f t="array" ref="C15">_xlfn.LET(_xlpm.DI_town, _xlfn.XLOOKUP(A15, [2]!DOT_Projects[[#All],[Engineering Number]], [2]!DOT_Projects[[#All],[Town]], ""), _xlpm.DI_tm_town, _xlfn.XLOOKUP(A15, [2]!Table7[[#All],[Eng Number]], [2]!Table7[[#All],[Town]], ""), _xlpm.TR_town, _xlfn.XLOOKUP(A15, [1]!CRA_Projects31213[[#All],[Engineering Number]], [1]!CRA_Projects31213[[#All],[Town]]), _xlpm.TR_tm_town, _xlfn.XLOOKUP(A15, [1]!CRA_Projects312132[[#All],[Engineering Number]], [1]!CRA_Projects312132[[#All],[Town]]),_xlfn.SWITCH($J15, 1, _xlpm.DI_town, 2, _xlpm.DI_tm_town, 3, _xlpm.TR_town, 4, _xlpm.TR_tm_town, "Number not Found"))</f>
        <v>Number not Found</v>
      </c>
      <c r="D15" s="96" t="str" cm="1">
        <f t="array" ref="D15">_xlfn.LET(_xlpm.DI_date, _xlfn.XLOOKUP(A15, [2]!DOT_Projects[[#All],[Engineering Number]], [2]!DOT_Projects[[#All],[Engineering Approved Design Date]]), _xlpm.DI_tm_date, _xlfn.XLOOKUP(A15, [2]!Table7[[#All],[Eng Number]], [2]!Table7[[#All],[Target
Release Date]]), _xlpm.TR_date, _xlfn.XLOOKUP(A15, [1]!CRA_Projects31213[[#All],[Engineering Number]], [1]!CRA_Projects31213[[#All],[Engineering Approved Design Date]]), _xlpm.TR_tm_date, _xlfn.XLOOKUP(A15, [1]!CRA_Projects312132[[#All],[Engineering Number]], [1]!CRA_Projects312132[[#All],[Engineering Approved Design Date]]), _xlpm.date_lookup, _xlfn.SWITCH($J15, 1, _xlpm.DI_date, 2, _xlpm.DI_tm_date, 3, _xlpm.TR_date, 4, _xlpm.TR_tm_date, "Number not Found"), IFERROR(IF(DAY(_xlpm.date_lookup)&lt;=15, DATE(YEAR(_xlpm.date_lookup), MONTH(_xlpm.date_lookup), 1), DATE(YEAR(_xlpm.date_lookup), MONTH(_xlpm.date_lookup)+1, 1)), "Number not Found"))</f>
        <v>Number not Found</v>
      </c>
      <c r="E15" s="76"/>
      <c r="F15" s="122"/>
      <c r="G15" s="122"/>
      <c r="H15" s="122">
        <f t="shared" si="0"/>
        <v>0</v>
      </c>
      <c r="I15" s="147"/>
      <c r="J15">
        <f>_xlfn.LET(_xlpm.is_DI_dot, IF(IFERROR(MATCH(A15,'Engineering Numbers Ref'!A:A, 0),0)&gt;0, 1, 0), _xlpm.is_DI_tm, IF(IFERROR(MATCH(A15,'Engineering Numbers Ref'!B:B, 0),0)&gt;0, 2, 0), _xlpm.is_TR_dot, IF(IFERROR(MATCH(A15,'Engineering Numbers Ref'!C:C, 0),0)&gt;0,3,0), _xlpm.is_TR_tm, IF(IFERROR(MATCH(A15,'Engineering Numbers Ref'!D:D, 0),0)&gt;0,4,0), _xlpm.is_DI_dot+_xlpm.is_DI_tm+_xlpm.is_TR_dot+_xlpm.is_TR_tm)</f>
        <v>0</v>
      </c>
    </row>
    <row r="16" spans="1:18" ht="15" customHeight="1" x14ac:dyDescent="0.25">
      <c r="A16" s="160"/>
      <c r="B16" s="76" t="str" cm="1">
        <f t="array" ref="B16">_xlfn.LET(_xlpm.DI_name, _xlfn.XLOOKUP(A16, [2]!DOT_Projects[[#All],[Engineering Number]], [2]!DOT_Projects[[#All],[Designer Name]], ""), _xlpm.DI_tm_name, _xlfn.XLOOKUP(A16, [2]!Table7[[#All],[Eng Number]], [2]!Table7[[#All],[Designer Name]], ""), _xlpm.TR_name, _xlfn.XLOOKUP(A16, [1]!CRA_Projects31213[[#All],[Engineering Number]], [1]!CRA_Projects31213[[#All],[KH Project Lead]]), _xlpm.TR_tm_name, _xlfn.XLOOKUP(A16, [1]!CRA_Projects312132[[#All],[Engineering Number]], [1]!CRA_Projects312132[[#All],[Designer Supervisor]]), _xlfn.SWITCH($J16, 1, _xlpm.DI_name, 2, _xlpm.DI_tm_name, 3, _xlpm.TR_name, 4, _xlpm.TR_tm_name, "Number not Found"))</f>
        <v>Number not Found</v>
      </c>
      <c r="C16" s="78" t="str" cm="1">
        <f t="array" ref="C16">_xlfn.LET(_xlpm.DI_town, _xlfn.XLOOKUP(A16, [2]!DOT_Projects[[#All],[Engineering Number]], [2]!DOT_Projects[[#All],[Town]], ""), _xlpm.DI_tm_town, _xlfn.XLOOKUP(A16, [2]!Table7[[#All],[Eng Number]], [2]!Table7[[#All],[Town]], ""), _xlpm.TR_town, _xlfn.XLOOKUP(A16, [1]!CRA_Projects31213[[#All],[Engineering Number]], [1]!CRA_Projects31213[[#All],[Town]]), _xlpm.TR_tm_town, _xlfn.XLOOKUP(A16, [1]!CRA_Projects312132[[#All],[Engineering Number]], [1]!CRA_Projects312132[[#All],[Town]]),_xlfn.SWITCH($J16, 1, _xlpm.DI_town, 2, _xlpm.DI_tm_town, 3, _xlpm.TR_town, 4, _xlpm.TR_tm_town, "Number not Found"))</f>
        <v>Number not Found</v>
      </c>
      <c r="D16" s="96" t="str" cm="1">
        <f t="array" ref="D16">_xlfn.LET(_xlpm.DI_date, _xlfn.XLOOKUP(A16, [2]!DOT_Projects[[#All],[Engineering Number]], [2]!DOT_Projects[[#All],[Engineering Approved Design Date]]), _xlpm.DI_tm_date, _xlfn.XLOOKUP(A16, [2]!Table7[[#All],[Eng Number]], [2]!Table7[[#All],[Target
Release Date]]), _xlpm.TR_date, _xlfn.XLOOKUP(A16, [1]!CRA_Projects31213[[#All],[Engineering Number]], [1]!CRA_Projects31213[[#All],[Engineering Approved Design Date]]), _xlpm.TR_tm_date, _xlfn.XLOOKUP(A16, [1]!CRA_Projects312132[[#All],[Engineering Number]], [1]!CRA_Projects312132[[#All],[Engineering Approved Design Date]]), _xlpm.date_lookup, _xlfn.SWITCH($J16, 1, _xlpm.DI_date, 2, _xlpm.DI_tm_date, 3, _xlpm.TR_date, 4, _xlpm.TR_tm_date, "Number not Found"), IFERROR(IF(DAY(_xlpm.date_lookup)&lt;=15, DATE(YEAR(_xlpm.date_lookup), MONTH(_xlpm.date_lookup), 1), DATE(YEAR(_xlpm.date_lookup), MONTH(_xlpm.date_lookup)+1, 1)), "Number not Found"))</f>
        <v>Number not Found</v>
      </c>
      <c r="E16" s="76"/>
      <c r="F16" s="122"/>
      <c r="G16" s="122"/>
      <c r="H16" s="122">
        <f t="shared" si="0"/>
        <v>0</v>
      </c>
      <c r="I16" s="98"/>
      <c r="J16">
        <f>_xlfn.LET(_xlpm.is_DI_dot, IF(IFERROR(MATCH(A16,'Engineering Numbers Ref'!A:A, 0),0)&gt;0, 1, 0), _xlpm.is_DI_tm, IF(IFERROR(MATCH(A16,'Engineering Numbers Ref'!B:B, 0),0)&gt;0, 2, 0), _xlpm.is_TR_dot, IF(IFERROR(MATCH(A16,'Engineering Numbers Ref'!C:C, 0),0)&gt;0,3,0), _xlpm.is_TR_tm, IF(IFERROR(MATCH(A16,'Engineering Numbers Ref'!D:D, 0),0)&gt;0,4,0), _xlpm.is_DI_dot+_xlpm.is_DI_tm+_xlpm.is_TR_dot+_xlpm.is_TR_tm)</f>
        <v>0</v>
      </c>
    </row>
    <row r="17" spans="1:10" ht="15" customHeight="1" x14ac:dyDescent="0.25">
      <c r="A17" s="160"/>
      <c r="B17" s="76" t="str" cm="1">
        <f t="array" ref="B17">_xlfn.LET(_xlpm.DI_name, _xlfn.XLOOKUP(A17, [2]!DOT_Projects[[#All],[Engineering Number]], [2]!DOT_Projects[[#All],[Designer Name]], ""), _xlpm.DI_tm_name, _xlfn.XLOOKUP(A17, [2]!Table7[[#All],[Eng Number]], [2]!Table7[[#All],[Designer Name]], ""), _xlpm.TR_name, _xlfn.XLOOKUP(A17, [1]!CRA_Projects31213[[#All],[Engineering Number]], [1]!CRA_Projects31213[[#All],[KH Project Lead]]), _xlpm.TR_tm_name, _xlfn.XLOOKUP(A17, [1]!CRA_Projects312132[[#All],[Engineering Number]], [1]!CRA_Projects312132[[#All],[Designer Supervisor]]), _xlfn.SWITCH($J17, 1, _xlpm.DI_name, 2, _xlpm.DI_tm_name, 3, _xlpm.TR_name, 4, _xlpm.TR_tm_name, "Number not Found"))</f>
        <v>Number not Found</v>
      </c>
      <c r="C17" s="78" t="str" cm="1">
        <f t="array" ref="C17">_xlfn.LET(_xlpm.DI_town, _xlfn.XLOOKUP(A17, [2]!DOT_Projects[[#All],[Engineering Number]], [2]!DOT_Projects[[#All],[Town]], ""), _xlpm.DI_tm_town, _xlfn.XLOOKUP(A17, [2]!Table7[[#All],[Eng Number]], [2]!Table7[[#All],[Town]], ""), _xlpm.TR_town, _xlfn.XLOOKUP(A17, [1]!CRA_Projects31213[[#All],[Engineering Number]], [1]!CRA_Projects31213[[#All],[Town]]), _xlpm.TR_tm_town, _xlfn.XLOOKUP(A17, [1]!CRA_Projects312132[[#All],[Engineering Number]], [1]!CRA_Projects312132[[#All],[Town]]),_xlfn.SWITCH($J17, 1, _xlpm.DI_town, 2, _xlpm.DI_tm_town, 3, _xlpm.TR_town, 4, _xlpm.TR_tm_town, "Number not Found"))</f>
        <v>Number not Found</v>
      </c>
      <c r="D17" s="96" t="str" cm="1">
        <f t="array" ref="D17">_xlfn.LET(_xlpm.DI_date, _xlfn.XLOOKUP(A17, [2]!DOT_Projects[[#All],[Engineering Number]], [2]!DOT_Projects[[#All],[Engineering Approved Design Date]]), _xlpm.DI_tm_date, _xlfn.XLOOKUP(A17, [2]!Table7[[#All],[Eng Number]], [2]!Table7[[#All],[Target
Release Date]]), _xlpm.TR_date, _xlfn.XLOOKUP(A17, [1]!CRA_Projects31213[[#All],[Engineering Number]], [1]!CRA_Projects31213[[#All],[Engineering Approved Design Date]]), _xlpm.TR_tm_date, _xlfn.XLOOKUP(A17, [1]!CRA_Projects312132[[#All],[Engineering Number]], [1]!CRA_Projects312132[[#All],[Engineering Approved Design Date]]), _xlpm.date_lookup, _xlfn.SWITCH($J17, 1, _xlpm.DI_date, 2, _xlpm.DI_tm_date, 3, _xlpm.TR_date, 4, _xlpm.TR_tm_date, "Number not Found"), IFERROR(IF(DAY(_xlpm.date_lookup)&lt;=15, DATE(YEAR(_xlpm.date_lookup), MONTH(_xlpm.date_lookup), 1), DATE(YEAR(_xlpm.date_lookup), MONTH(_xlpm.date_lookup)+1, 1)), "Number not Found"))</f>
        <v>Number not Found</v>
      </c>
      <c r="E17" s="76"/>
      <c r="F17" s="122"/>
      <c r="G17" s="122"/>
      <c r="H17" s="122">
        <f t="shared" si="0"/>
        <v>0</v>
      </c>
      <c r="I17" s="98"/>
      <c r="J17">
        <f>_xlfn.LET(_xlpm.is_DI_dot, IF(IFERROR(MATCH(A17,'Engineering Numbers Ref'!A:A, 0),0)&gt;0, 1, 0), _xlpm.is_DI_tm, IF(IFERROR(MATCH(A17,'Engineering Numbers Ref'!B:B, 0),0)&gt;0, 2, 0), _xlpm.is_TR_dot, IF(IFERROR(MATCH(A17,'Engineering Numbers Ref'!C:C, 0),0)&gt;0,3,0), _xlpm.is_TR_tm, IF(IFERROR(MATCH(A17,'Engineering Numbers Ref'!D:D, 0),0)&gt;0,4,0), _xlpm.is_DI_dot+_xlpm.is_DI_tm+_xlpm.is_TR_dot+_xlpm.is_TR_tm)</f>
        <v>0</v>
      </c>
    </row>
    <row r="18" spans="1:10" ht="15" customHeight="1" x14ac:dyDescent="0.25">
      <c r="A18" s="160"/>
      <c r="B18" s="76" t="str" cm="1">
        <f t="array" ref="B18">_xlfn.LET(_xlpm.DI_name, _xlfn.XLOOKUP(A18, [2]!DOT_Projects[[#All],[Engineering Number]], [2]!DOT_Projects[[#All],[Designer Name]], ""), _xlpm.DI_tm_name, _xlfn.XLOOKUP(A18, [2]!Table7[[#All],[Eng Number]], [2]!Table7[[#All],[Designer Name]], ""), _xlpm.TR_name, _xlfn.XLOOKUP(A18, [1]!CRA_Projects31213[[#All],[Engineering Number]], [1]!CRA_Projects31213[[#All],[KH Project Lead]]), _xlpm.TR_tm_name, _xlfn.XLOOKUP(A18, [1]!CRA_Projects312132[[#All],[Engineering Number]], [1]!CRA_Projects312132[[#All],[Designer Supervisor]]), _xlfn.SWITCH($J18, 1, _xlpm.DI_name, 2, _xlpm.DI_tm_name, 3, _xlpm.TR_name, 4, _xlpm.TR_tm_name, "Number not Found"))</f>
        <v>Number not Found</v>
      </c>
      <c r="C18" s="78" t="str" cm="1">
        <f t="array" ref="C18">_xlfn.LET(_xlpm.DI_town, _xlfn.XLOOKUP(A18, [2]!DOT_Projects[[#All],[Engineering Number]], [2]!DOT_Projects[[#All],[Town]], ""), _xlpm.DI_tm_town, _xlfn.XLOOKUP(A18, [2]!Table7[[#All],[Eng Number]], [2]!Table7[[#All],[Town]], ""), _xlpm.TR_town, _xlfn.XLOOKUP(A18, [1]!CRA_Projects31213[[#All],[Engineering Number]], [1]!CRA_Projects31213[[#All],[Town]]), _xlpm.TR_tm_town, _xlfn.XLOOKUP(A18, [1]!CRA_Projects312132[[#All],[Engineering Number]], [1]!CRA_Projects312132[[#All],[Town]]),_xlfn.SWITCH($J18, 1, _xlpm.DI_town, 2, _xlpm.DI_tm_town, 3, _xlpm.TR_town, 4, _xlpm.TR_tm_town, "Number not Found"))</f>
        <v>Number not Found</v>
      </c>
      <c r="D18" s="96" t="str" cm="1">
        <f t="array" ref="D18">_xlfn.LET(_xlpm.DI_date, _xlfn.XLOOKUP(A18, [2]!DOT_Projects[[#All],[Engineering Number]], [2]!DOT_Projects[[#All],[Engineering Approved Design Date]]), _xlpm.DI_tm_date, _xlfn.XLOOKUP(A18, [2]!Table7[[#All],[Eng Number]], [2]!Table7[[#All],[Target
Release Date]]), _xlpm.TR_date, _xlfn.XLOOKUP(A18, [1]!CRA_Projects31213[[#All],[Engineering Number]], [1]!CRA_Projects31213[[#All],[Engineering Approved Design Date]]), _xlpm.TR_tm_date, _xlfn.XLOOKUP(A18, [1]!CRA_Projects312132[[#All],[Engineering Number]], [1]!CRA_Projects312132[[#All],[Engineering Approved Design Date]]), _xlpm.date_lookup, _xlfn.SWITCH($J18, 1, _xlpm.DI_date, 2, _xlpm.DI_tm_date, 3, _xlpm.TR_date, 4, _xlpm.TR_tm_date, "Number not Found"), IFERROR(IF(DAY(_xlpm.date_lookup)&lt;=15, DATE(YEAR(_xlpm.date_lookup), MONTH(_xlpm.date_lookup), 1), DATE(YEAR(_xlpm.date_lookup), MONTH(_xlpm.date_lookup)+1, 1)), "Number not Found"))</f>
        <v>Number not Found</v>
      </c>
      <c r="E18" s="76"/>
      <c r="F18" s="122"/>
      <c r="G18" s="122"/>
      <c r="H18" s="122">
        <f t="shared" si="0"/>
        <v>0</v>
      </c>
      <c r="I18" s="98"/>
      <c r="J18">
        <f>_xlfn.LET(_xlpm.is_DI_dot, IF(IFERROR(MATCH(A18,'Engineering Numbers Ref'!A:A, 0),0)&gt;0, 1, 0), _xlpm.is_DI_tm, IF(IFERROR(MATCH(A18,'Engineering Numbers Ref'!B:B, 0),0)&gt;0, 2, 0), _xlpm.is_TR_dot, IF(IFERROR(MATCH(A18,'Engineering Numbers Ref'!C:C, 0),0)&gt;0,3,0), _xlpm.is_TR_tm, IF(IFERROR(MATCH(A18,'Engineering Numbers Ref'!D:D, 0),0)&gt;0,4,0), _xlpm.is_DI_dot+_xlpm.is_DI_tm+_xlpm.is_TR_dot+_xlpm.is_TR_tm)</f>
        <v>0</v>
      </c>
    </row>
    <row r="19" spans="1:10" ht="15" customHeight="1" x14ac:dyDescent="0.25">
      <c r="A19" s="160"/>
      <c r="B19" s="76" t="str" cm="1">
        <f t="array" ref="B19">_xlfn.LET(_xlpm.DI_name, _xlfn.XLOOKUP(A19, [2]!DOT_Projects[[#All],[Engineering Number]], [2]!DOT_Projects[[#All],[Designer Name]], ""), _xlpm.DI_tm_name, _xlfn.XLOOKUP(A19, [2]!Table7[[#All],[Eng Number]], [2]!Table7[[#All],[Designer Name]], ""), _xlpm.TR_name, _xlfn.XLOOKUP(A19, [1]!CRA_Projects31213[[#All],[Engineering Number]], [1]!CRA_Projects31213[[#All],[KH Project Lead]]), _xlpm.TR_tm_name, _xlfn.XLOOKUP(A19, [1]!CRA_Projects312132[[#All],[Engineering Number]], [1]!CRA_Projects312132[[#All],[Designer Supervisor]]), _xlfn.SWITCH($J19, 1, _xlpm.DI_name, 2, _xlpm.DI_tm_name, 3, _xlpm.TR_name, 4, _xlpm.TR_tm_name, "Number not Found"))</f>
        <v>Number not Found</v>
      </c>
      <c r="C19" s="78" t="str" cm="1">
        <f t="array" ref="C19">_xlfn.LET(_xlpm.DI_town, _xlfn.XLOOKUP(A19, [2]!DOT_Projects[[#All],[Engineering Number]], [2]!DOT_Projects[[#All],[Town]], ""), _xlpm.DI_tm_town, _xlfn.XLOOKUP(A19, [2]!Table7[[#All],[Eng Number]], [2]!Table7[[#All],[Town]], ""), _xlpm.TR_town, _xlfn.XLOOKUP(A19, [1]!CRA_Projects31213[[#All],[Engineering Number]], [1]!CRA_Projects31213[[#All],[Town]]), _xlpm.TR_tm_town, _xlfn.XLOOKUP(A19, [1]!CRA_Projects312132[[#All],[Engineering Number]], [1]!CRA_Projects312132[[#All],[Town]]),_xlfn.SWITCH($J19, 1, _xlpm.DI_town, 2, _xlpm.DI_tm_town, 3, _xlpm.TR_town, 4, _xlpm.TR_tm_town, "Number not Found"))</f>
        <v>Number not Found</v>
      </c>
      <c r="D19" s="96" t="str" cm="1">
        <f t="array" ref="D19">_xlfn.LET(_xlpm.DI_date, _xlfn.XLOOKUP(A19, [2]!DOT_Projects[[#All],[Engineering Number]], [2]!DOT_Projects[[#All],[Engineering Approved Design Date]]), _xlpm.DI_tm_date, _xlfn.XLOOKUP(A19, [2]!Table7[[#All],[Eng Number]], [2]!Table7[[#All],[Target
Release Date]]), _xlpm.TR_date, _xlfn.XLOOKUP(A19, [1]!CRA_Projects31213[[#All],[Engineering Number]], [1]!CRA_Projects31213[[#All],[Engineering Approved Design Date]]), _xlpm.TR_tm_date, _xlfn.XLOOKUP(A19, [1]!CRA_Projects312132[[#All],[Engineering Number]], [1]!CRA_Projects312132[[#All],[Engineering Approved Design Date]]), _xlpm.date_lookup, _xlfn.SWITCH($J19, 1, _xlpm.DI_date, 2, _xlpm.DI_tm_date, 3, _xlpm.TR_date, 4, _xlpm.TR_tm_date, "Number not Found"), IFERROR(IF(DAY(_xlpm.date_lookup)&lt;=15, DATE(YEAR(_xlpm.date_lookup), MONTH(_xlpm.date_lookup), 1), DATE(YEAR(_xlpm.date_lookup), MONTH(_xlpm.date_lookup)+1, 1)), "Number not Found"))</f>
        <v>Number not Found</v>
      </c>
      <c r="E19" s="76"/>
      <c r="F19" s="122"/>
      <c r="G19" s="122"/>
      <c r="H19" s="122">
        <f t="shared" si="0"/>
        <v>0</v>
      </c>
      <c r="I19" s="148"/>
      <c r="J19">
        <f>_xlfn.LET(_xlpm.is_DI_dot, IF(IFERROR(MATCH(A19,'Engineering Numbers Ref'!A:A, 0),0)&gt;0, 1, 0), _xlpm.is_DI_tm, IF(IFERROR(MATCH(A19,'Engineering Numbers Ref'!B:B, 0),0)&gt;0, 2, 0), _xlpm.is_TR_dot, IF(IFERROR(MATCH(A19,'Engineering Numbers Ref'!C:C, 0),0)&gt;0,3,0), _xlpm.is_TR_tm, IF(IFERROR(MATCH(A19,'Engineering Numbers Ref'!D:D, 0),0)&gt;0,4,0), _xlpm.is_DI_dot+_xlpm.is_DI_tm+_xlpm.is_TR_dot+_xlpm.is_TR_tm)</f>
        <v>0</v>
      </c>
    </row>
    <row r="20" spans="1:10" ht="15" customHeight="1" x14ac:dyDescent="0.25">
      <c r="A20" s="160"/>
      <c r="B20" s="76" t="str" cm="1">
        <f t="array" ref="B20">_xlfn.LET(_xlpm.DI_name, _xlfn.XLOOKUP(A20, [2]!DOT_Projects[[#All],[Engineering Number]], [2]!DOT_Projects[[#All],[Designer Name]], ""), _xlpm.DI_tm_name, _xlfn.XLOOKUP(A20, [2]!Table7[[#All],[Eng Number]], [2]!Table7[[#All],[Designer Name]], ""), _xlpm.TR_name, _xlfn.XLOOKUP(A20, [1]!CRA_Projects31213[[#All],[Engineering Number]], [1]!CRA_Projects31213[[#All],[KH Project Lead]]), _xlpm.TR_tm_name, _xlfn.XLOOKUP(A20, [1]!CRA_Projects312132[[#All],[Engineering Number]], [1]!CRA_Projects312132[[#All],[Designer Supervisor]]), _xlfn.SWITCH($J20, 1, _xlpm.DI_name, 2, _xlpm.DI_tm_name, 3, _xlpm.TR_name, 4, _xlpm.TR_tm_name, "Number not Found"))</f>
        <v>Number not Found</v>
      </c>
      <c r="C20" s="78" t="str" cm="1">
        <f t="array" ref="C20">_xlfn.LET(_xlpm.DI_town, _xlfn.XLOOKUP(A20, [2]!DOT_Projects[[#All],[Engineering Number]], [2]!DOT_Projects[[#All],[Town]], ""), _xlpm.DI_tm_town, _xlfn.XLOOKUP(A20, [2]!Table7[[#All],[Eng Number]], [2]!Table7[[#All],[Town]], ""), _xlpm.TR_town, _xlfn.XLOOKUP(A20, [1]!CRA_Projects31213[[#All],[Engineering Number]], [1]!CRA_Projects31213[[#All],[Town]]), _xlpm.TR_tm_town, _xlfn.XLOOKUP(A20, [1]!CRA_Projects312132[[#All],[Engineering Number]], [1]!CRA_Projects312132[[#All],[Town]]),_xlfn.SWITCH($J20, 1, _xlpm.DI_town, 2, _xlpm.DI_tm_town, 3, _xlpm.TR_town, 4, _xlpm.TR_tm_town, "Number not Found"))</f>
        <v>Number not Found</v>
      </c>
      <c r="D20" s="96" t="str" cm="1">
        <f t="array" ref="D20">_xlfn.LET(_xlpm.DI_date, _xlfn.XLOOKUP(A20, [2]!DOT_Projects[[#All],[Engineering Number]], [2]!DOT_Projects[[#All],[Engineering Approved Design Date]]), _xlpm.DI_tm_date, _xlfn.XLOOKUP(A20, [2]!Table7[[#All],[Eng Number]], [2]!Table7[[#All],[Target
Release Date]]), _xlpm.TR_date, _xlfn.XLOOKUP(A20, [1]!CRA_Projects31213[[#All],[Engineering Number]], [1]!CRA_Projects31213[[#All],[Engineering Approved Design Date]]), _xlpm.TR_tm_date, _xlfn.XLOOKUP(A20, [1]!CRA_Projects312132[[#All],[Engineering Number]], [1]!CRA_Projects312132[[#All],[Engineering Approved Design Date]]), _xlpm.date_lookup, _xlfn.SWITCH($J20, 1, _xlpm.DI_date, 2, _xlpm.DI_tm_date, 3, _xlpm.TR_date, 4, _xlpm.TR_tm_date, "Number not Found"), IFERROR(IF(DAY(_xlpm.date_lookup)&lt;=15, DATE(YEAR(_xlpm.date_lookup), MONTH(_xlpm.date_lookup), 1), DATE(YEAR(_xlpm.date_lookup), MONTH(_xlpm.date_lookup)+1, 1)), "Number not Found"))</f>
        <v>Number not Found</v>
      </c>
      <c r="E20" s="76"/>
      <c r="F20" s="122"/>
      <c r="G20" s="122"/>
      <c r="H20" s="122">
        <f t="shared" si="0"/>
        <v>0</v>
      </c>
      <c r="I20" s="98"/>
      <c r="J20">
        <f>_xlfn.LET(_xlpm.is_DI_dot, IF(IFERROR(MATCH(A20,'Engineering Numbers Ref'!A:A, 0),0)&gt;0, 1, 0), _xlpm.is_DI_tm, IF(IFERROR(MATCH(A20,'Engineering Numbers Ref'!B:B, 0),0)&gt;0, 2, 0), _xlpm.is_TR_dot, IF(IFERROR(MATCH(A20,'Engineering Numbers Ref'!C:C, 0),0)&gt;0,3,0), _xlpm.is_TR_tm, IF(IFERROR(MATCH(A20,'Engineering Numbers Ref'!D:D, 0),0)&gt;0,4,0), _xlpm.is_DI_dot+_xlpm.is_DI_tm+_xlpm.is_TR_dot+_xlpm.is_TR_tm)</f>
        <v>0</v>
      </c>
    </row>
    <row r="21" spans="1:10" ht="15" customHeight="1" x14ac:dyDescent="0.25">
      <c r="A21" s="160"/>
      <c r="B21" s="76" t="str" cm="1">
        <f t="array" ref="B21">_xlfn.LET(_xlpm.DI_name, _xlfn.XLOOKUP(A21, [2]!DOT_Projects[[#All],[Engineering Number]], [2]!DOT_Projects[[#All],[Designer Name]], ""), _xlpm.DI_tm_name, _xlfn.XLOOKUP(A21, [2]!Table7[[#All],[Eng Number]], [2]!Table7[[#All],[Designer Name]], ""), _xlpm.TR_name, _xlfn.XLOOKUP(A21, [1]!CRA_Projects31213[[#All],[Engineering Number]], [1]!CRA_Projects31213[[#All],[KH Project Lead]]), _xlpm.TR_tm_name, _xlfn.XLOOKUP(A21, [1]!CRA_Projects312132[[#All],[Engineering Number]], [1]!CRA_Projects312132[[#All],[Designer Supervisor]]), _xlfn.SWITCH($J21, 1, _xlpm.DI_name, 2, _xlpm.DI_tm_name, 3, _xlpm.TR_name, 4, _xlpm.TR_tm_name, "Number not Found"))</f>
        <v>Number not Found</v>
      </c>
      <c r="C21" s="78" t="str" cm="1">
        <f t="array" ref="C21">_xlfn.LET(_xlpm.DI_town, _xlfn.XLOOKUP(A21, [2]!DOT_Projects[[#All],[Engineering Number]], [2]!DOT_Projects[[#All],[Town]], ""), _xlpm.DI_tm_town, _xlfn.XLOOKUP(A21, [2]!Table7[[#All],[Eng Number]], [2]!Table7[[#All],[Town]], ""), _xlpm.TR_town, _xlfn.XLOOKUP(A21, [1]!CRA_Projects31213[[#All],[Engineering Number]], [1]!CRA_Projects31213[[#All],[Town]]), _xlpm.TR_tm_town, _xlfn.XLOOKUP(A21, [1]!CRA_Projects312132[[#All],[Engineering Number]], [1]!CRA_Projects312132[[#All],[Town]]),_xlfn.SWITCH($J21, 1, _xlpm.DI_town, 2, _xlpm.DI_tm_town, 3, _xlpm.TR_town, 4, _xlpm.TR_tm_town, "Number not Found"))</f>
        <v>Number not Found</v>
      </c>
      <c r="D21" s="96" t="str" cm="1">
        <f t="array" ref="D21">_xlfn.LET(_xlpm.DI_date, _xlfn.XLOOKUP(A21, [2]!DOT_Projects[[#All],[Engineering Number]], [2]!DOT_Projects[[#All],[Engineering Approved Design Date]]), _xlpm.DI_tm_date, _xlfn.XLOOKUP(A21, [2]!Table7[[#All],[Eng Number]], [2]!Table7[[#All],[Target
Release Date]]), _xlpm.TR_date, _xlfn.XLOOKUP(A21, [1]!CRA_Projects31213[[#All],[Engineering Number]], [1]!CRA_Projects31213[[#All],[Engineering Approved Design Date]]), _xlpm.TR_tm_date, _xlfn.XLOOKUP(A21, [1]!CRA_Projects312132[[#All],[Engineering Number]], [1]!CRA_Projects312132[[#All],[Engineering Approved Design Date]]), _xlpm.date_lookup, _xlfn.SWITCH($J21, 1, _xlpm.DI_date, 2, _xlpm.DI_tm_date, 3, _xlpm.TR_date, 4, _xlpm.TR_tm_date, "Number not Found"), IFERROR(IF(DAY(_xlpm.date_lookup)&lt;=15, DATE(YEAR(_xlpm.date_lookup), MONTH(_xlpm.date_lookup), 1), DATE(YEAR(_xlpm.date_lookup), MONTH(_xlpm.date_lookup)+1, 1)), "Number not Found"))</f>
        <v>Number not Found</v>
      </c>
      <c r="E21" s="76"/>
      <c r="F21" s="122"/>
      <c r="G21" s="122"/>
      <c r="H21" s="122">
        <f t="shared" si="0"/>
        <v>0</v>
      </c>
      <c r="I21" s="98"/>
      <c r="J21">
        <f>_xlfn.LET(_xlpm.is_DI_dot, IF(IFERROR(MATCH(A21,'Engineering Numbers Ref'!A:A, 0),0)&gt;0, 1, 0), _xlpm.is_DI_tm, IF(IFERROR(MATCH(A21,'Engineering Numbers Ref'!B:B, 0),0)&gt;0, 2, 0), _xlpm.is_TR_dot, IF(IFERROR(MATCH(A21,'Engineering Numbers Ref'!C:C, 0),0)&gt;0,3,0), _xlpm.is_TR_tm, IF(IFERROR(MATCH(A21,'Engineering Numbers Ref'!D:D, 0),0)&gt;0,4,0), _xlpm.is_DI_dot+_xlpm.is_DI_tm+_xlpm.is_TR_dot+_xlpm.is_TR_tm)</f>
        <v>0</v>
      </c>
    </row>
    <row r="22" spans="1:10" ht="15" customHeight="1" x14ac:dyDescent="0.25">
      <c r="A22" s="160"/>
      <c r="B22" s="76" t="str" cm="1">
        <f t="array" ref="B22">_xlfn.LET(_xlpm.DI_name, _xlfn.XLOOKUP(A22, [2]!DOT_Projects[[#All],[Engineering Number]], [2]!DOT_Projects[[#All],[Designer Name]], ""), _xlpm.DI_tm_name, _xlfn.XLOOKUP(A22, [2]!Table7[[#All],[Eng Number]], [2]!Table7[[#All],[Designer Name]], ""), _xlpm.TR_name, _xlfn.XLOOKUP(A22, [1]!CRA_Projects31213[[#All],[Engineering Number]], [1]!CRA_Projects31213[[#All],[KH Project Lead]]), _xlpm.TR_tm_name, _xlfn.XLOOKUP(A22, [1]!CRA_Projects312132[[#All],[Engineering Number]], [1]!CRA_Projects312132[[#All],[Designer Supervisor]]), _xlfn.SWITCH($J22, 1, _xlpm.DI_name, 2, _xlpm.DI_tm_name, 3, _xlpm.TR_name, 4, _xlpm.TR_tm_name, "Number not Found"))</f>
        <v>Number not Found</v>
      </c>
      <c r="C22" s="78" t="str" cm="1">
        <f t="array" ref="C22">_xlfn.LET(_xlpm.DI_town, _xlfn.XLOOKUP(A22, [2]!DOT_Projects[[#All],[Engineering Number]], [2]!DOT_Projects[[#All],[Town]], ""), _xlpm.DI_tm_town, _xlfn.XLOOKUP(A22, [2]!Table7[[#All],[Eng Number]], [2]!Table7[[#All],[Town]], ""), _xlpm.TR_town, _xlfn.XLOOKUP(A22, [1]!CRA_Projects31213[[#All],[Engineering Number]], [1]!CRA_Projects31213[[#All],[Town]]), _xlpm.TR_tm_town, _xlfn.XLOOKUP(A22, [1]!CRA_Projects312132[[#All],[Engineering Number]], [1]!CRA_Projects312132[[#All],[Town]]),_xlfn.SWITCH($J22, 1, _xlpm.DI_town, 2, _xlpm.DI_tm_town, 3, _xlpm.TR_town, 4, _xlpm.TR_tm_town, "Number not Found"))</f>
        <v>Number not Found</v>
      </c>
      <c r="D22" s="96" t="str" cm="1">
        <f t="array" ref="D22">_xlfn.LET(_xlpm.DI_date, _xlfn.XLOOKUP(A22, [2]!DOT_Projects[[#All],[Engineering Number]], [2]!DOT_Projects[[#All],[Engineering Approved Design Date]]), _xlpm.DI_tm_date, _xlfn.XLOOKUP(A22, [2]!Table7[[#All],[Eng Number]], [2]!Table7[[#All],[Target
Release Date]]), _xlpm.TR_date, _xlfn.XLOOKUP(A22, [1]!CRA_Projects31213[[#All],[Engineering Number]], [1]!CRA_Projects31213[[#All],[Engineering Approved Design Date]]), _xlpm.TR_tm_date, _xlfn.XLOOKUP(A22, [1]!CRA_Projects312132[[#All],[Engineering Number]], [1]!CRA_Projects312132[[#All],[Engineering Approved Design Date]]), _xlpm.date_lookup, _xlfn.SWITCH($J22, 1, _xlpm.DI_date, 2, _xlpm.DI_tm_date, 3, _xlpm.TR_date, 4, _xlpm.TR_tm_date, "Number not Found"), IFERROR(IF(DAY(_xlpm.date_lookup)&lt;=15, DATE(YEAR(_xlpm.date_lookup), MONTH(_xlpm.date_lookup), 1), DATE(YEAR(_xlpm.date_lookup), MONTH(_xlpm.date_lookup)+1, 1)), "Number not Found"))</f>
        <v>Number not Found</v>
      </c>
      <c r="E22" s="76"/>
      <c r="F22" s="122"/>
      <c r="G22" s="122"/>
      <c r="H22" s="122">
        <f t="shared" si="0"/>
        <v>0</v>
      </c>
      <c r="I22" s="98"/>
      <c r="J22">
        <f>_xlfn.LET(_xlpm.is_DI_dot, IF(IFERROR(MATCH(A22,'Engineering Numbers Ref'!A:A, 0),0)&gt;0, 1, 0), _xlpm.is_DI_tm, IF(IFERROR(MATCH(A22,'Engineering Numbers Ref'!B:B, 0),0)&gt;0, 2, 0), _xlpm.is_TR_dot, IF(IFERROR(MATCH(A22,'Engineering Numbers Ref'!C:C, 0),0)&gt;0,3,0), _xlpm.is_TR_tm, IF(IFERROR(MATCH(A22,'Engineering Numbers Ref'!D:D, 0),0)&gt;0,4,0), _xlpm.is_DI_dot+_xlpm.is_DI_tm+_xlpm.is_TR_dot+_xlpm.is_TR_tm)</f>
        <v>0</v>
      </c>
    </row>
    <row r="23" spans="1:10" ht="15" customHeight="1" x14ac:dyDescent="0.25">
      <c r="A23" s="160"/>
      <c r="B23" s="76" t="str" cm="1">
        <f t="array" ref="B23">_xlfn.LET(_xlpm.DI_name, _xlfn.XLOOKUP(A23, [2]!DOT_Projects[[#All],[Engineering Number]], [2]!DOT_Projects[[#All],[Designer Name]], ""), _xlpm.DI_tm_name, _xlfn.XLOOKUP(A23, [2]!Table7[[#All],[Eng Number]], [2]!Table7[[#All],[Designer Name]], ""), _xlpm.TR_name, _xlfn.XLOOKUP(A23, [1]!CRA_Projects31213[[#All],[Engineering Number]], [1]!CRA_Projects31213[[#All],[KH Project Lead]]), _xlpm.TR_tm_name, _xlfn.XLOOKUP(A23, [1]!CRA_Projects312132[[#All],[Engineering Number]], [1]!CRA_Projects312132[[#All],[Designer Supervisor]]), _xlfn.SWITCH($J23, 1, _xlpm.DI_name, 2, _xlpm.DI_tm_name, 3, _xlpm.TR_name, 4, _xlpm.TR_tm_name, "Number not Found"))</f>
        <v>Number not Found</v>
      </c>
      <c r="C23" s="78" t="str" cm="1">
        <f t="array" ref="C23">_xlfn.LET(_xlpm.DI_town, _xlfn.XLOOKUP(A23, [2]!DOT_Projects[[#All],[Engineering Number]], [2]!DOT_Projects[[#All],[Town]], ""), _xlpm.DI_tm_town, _xlfn.XLOOKUP(A23, [2]!Table7[[#All],[Eng Number]], [2]!Table7[[#All],[Town]], ""), _xlpm.TR_town, _xlfn.XLOOKUP(A23, [1]!CRA_Projects31213[[#All],[Engineering Number]], [1]!CRA_Projects31213[[#All],[Town]]), _xlpm.TR_tm_town, _xlfn.XLOOKUP(A23, [1]!CRA_Projects312132[[#All],[Engineering Number]], [1]!CRA_Projects312132[[#All],[Town]]),_xlfn.SWITCH($J23, 1, _xlpm.DI_town, 2, _xlpm.DI_tm_town, 3, _xlpm.TR_town, 4, _xlpm.TR_tm_town, "Number not Found"))</f>
        <v>Number not Found</v>
      </c>
      <c r="D23" s="96" t="str" cm="1">
        <f t="array" ref="D23">_xlfn.LET(_xlpm.DI_date, _xlfn.XLOOKUP(A23, [2]!DOT_Projects[[#All],[Engineering Number]], [2]!DOT_Projects[[#All],[Engineering Approved Design Date]]), _xlpm.DI_tm_date, _xlfn.XLOOKUP(A23, [2]!Table7[[#All],[Eng Number]], [2]!Table7[[#All],[Target
Release Date]]), _xlpm.TR_date, _xlfn.XLOOKUP(A23, [1]!CRA_Projects31213[[#All],[Engineering Number]], [1]!CRA_Projects31213[[#All],[Engineering Approved Design Date]]), _xlpm.TR_tm_date, _xlfn.XLOOKUP(A23, [1]!CRA_Projects312132[[#All],[Engineering Number]], [1]!CRA_Projects312132[[#All],[Engineering Approved Design Date]]), _xlpm.date_lookup, _xlfn.SWITCH($J23, 1, _xlpm.DI_date, 2, _xlpm.DI_tm_date, 3, _xlpm.TR_date, 4, _xlpm.TR_tm_date, "Number not Found"), IFERROR(IF(DAY(_xlpm.date_lookup)&lt;=15, DATE(YEAR(_xlpm.date_lookup), MONTH(_xlpm.date_lookup), 1), DATE(YEAR(_xlpm.date_lookup), MONTH(_xlpm.date_lookup)+1, 1)), "Number not Found"))</f>
        <v>Number not Found</v>
      </c>
      <c r="E23" s="76"/>
      <c r="F23" s="122"/>
      <c r="G23" s="122"/>
      <c r="H23" s="122">
        <f t="shared" si="0"/>
        <v>0</v>
      </c>
      <c r="I23" s="98"/>
      <c r="J23">
        <f>_xlfn.LET(_xlpm.is_DI_dot, IF(IFERROR(MATCH(A23,'Engineering Numbers Ref'!A:A, 0),0)&gt;0, 1, 0), _xlpm.is_DI_tm, IF(IFERROR(MATCH(A23,'Engineering Numbers Ref'!B:B, 0),0)&gt;0, 2, 0), _xlpm.is_TR_dot, IF(IFERROR(MATCH(A23,'Engineering Numbers Ref'!C:C, 0),0)&gt;0,3,0), _xlpm.is_TR_tm, IF(IFERROR(MATCH(A23,'Engineering Numbers Ref'!D:D, 0),0)&gt;0,4,0), _xlpm.is_DI_dot+_xlpm.is_DI_tm+_xlpm.is_TR_dot+_xlpm.is_TR_tm)</f>
        <v>0</v>
      </c>
    </row>
    <row r="24" spans="1:10" x14ac:dyDescent="0.25">
      <c r="A24" s="160"/>
      <c r="B24" s="76" t="str" cm="1">
        <f t="array" ref="B24">_xlfn.LET(_xlpm.DI_name, _xlfn.XLOOKUP(A24, [2]!DOT_Projects[[#All],[Engineering Number]], [2]!DOT_Projects[[#All],[Designer Name]], ""), _xlpm.DI_tm_name, _xlfn.XLOOKUP(A24, [2]!Table7[[#All],[Eng Number]], [2]!Table7[[#All],[Designer Name]], ""), _xlpm.TR_name, _xlfn.XLOOKUP(A24, [1]!CRA_Projects31213[[#All],[Engineering Number]], [1]!CRA_Projects31213[[#All],[KH Project Lead]]), _xlpm.TR_tm_name, _xlfn.XLOOKUP(A24, [1]!CRA_Projects312132[[#All],[Engineering Number]], [1]!CRA_Projects312132[[#All],[Designer Supervisor]]), _xlfn.SWITCH($J24, 1, _xlpm.DI_name, 2, _xlpm.DI_tm_name, 3, _xlpm.TR_name, 4, _xlpm.TR_tm_name, "Number not Found"))</f>
        <v>Number not Found</v>
      </c>
      <c r="C24" s="78" t="str" cm="1">
        <f t="array" ref="C24">_xlfn.LET(_xlpm.DI_town, _xlfn.XLOOKUP(A24, [2]!DOT_Projects[[#All],[Engineering Number]], [2]!DOT_Projects[[#All],[Town]], ""), _xlpm.DI_tm_town, _xlfn.XLOOKUP(A24, [2]!Table7[[#All],[Eng Number]], [2]!Table7[[#All],[Town]], ""), _xlpm.TR_town, _xlfn.XLOOKUP(A24, [1]!CRA_Projects31213[[#All],[Engineering Number]], [1]!CRA_Projects31213[[#All],[Town]]), _xlpm.TR_tm_town, _xlfn.XLOOKUP(A24, [1]!CRA_Projects312132[[#All],[Engineering Number]], [1]!CRA_Projects312132[[#All],[Town]]),_xlfn.SWITCH($J24, 1, _xlpm.DI_town, 2, _xlpm.DI_tm_town, 3, _xlpm.TR_town, 4, _xlpm.TR_tm_town, "Number not Found"))</f>
        <v>Number not Found</v>
      </c>
      <c r="D24" s="96" t="str" cm="1">
        <f t="array" ref="D24">_xlfn.LET(_xlpm.DI_date, _xlfn.XLOOKUP(A24, [2]!DOT_Projects[[#All],[Engineering Number]], [2]!DOT_Projects[[#All],[Engineering Approved Design Date]]), _xlpm.DI_tm_date, _xlfn.XLOOKUP(A24, [2]!Table7[[#All],[Eng Number]], [2]!Table7[[#All],[Target
Release Date]]), _xlpm.TR_date, _xlfn.XLOOKUP(A24, [1]!CRA_Projects31213[[#All],[Engineering Number]], [1]!CRA_Projects31213[[#All],[Engineering Approved Design Date]]), _xlpm.TR_tm_date, _xlfn.XLOOKUP(A24, [1]!CRA_Projects312132[[#All],[Engineering Number]], [1]!CRA_Projects312132[[#All],[Engineering Approved Design Date]]), _xlpm.date_lookup, _xlfn.SWITCH($J24, 1, _xlpm.DI_date, 2, _xlpm.DI_tm_date, 3, _xlpm.TR_date, 4, _xlpm.TR_tm_date, "Number not Found"), IFERROR(IF(DAY(_xlpm.date_lookup)&lt;=15, DATE(YEAR(_xlpm.date_lookup), MONTH(_xlpm.date_lookup), 1), DATE(YEAR(_xlpm.date_lookup), MONTH(_xlpm.date_lookup)+1, 1)), "Number not Found"))</f>
        <v>Number not Found</v>
      </c>
      <c r="E24" s="76"/>
      <c r="F24" s="122"/>
      <c r="G24" s="122"/>
      <c r="H24" s="122">
        <f t="shared" si="0"/>
        <v>0</v>
      </c>
      <c r="I24" s="98"/>
      <c r="J24">
        <f>_xlfn.LET(_xlpm.is_DI_dot, IF(IFERROR(MATCH(A24,'Engineering Numbers Ref'!A:A, 0),0)&gt;0, 1, 0), _xlpm.is_DI_tm, IF(IFERROR(MATCH(A24,'Engineering Numbers Ref'!B:B, 0),0)&gt;0, 2, 0), _xlpm.is_TR_dot, IF(IFERROR(MATCH(A24,'Engineering Numbers Ref'!C:C, 0),0)&gt;0,3,0), _xlpm.is_TR_tm, IF(IFERROR(MATCH(A24,'Engineering Numbers Ref'!D:D, 0),0)&gt;0,4,0), _xlpm.is_DI_dot+_xlpm.is_DI_tm+_xlpm.is_TR_dot+_xlpm.is_TR_tm)</f>
        <v>0</v>
      </c>
    </row>
    <row r="25" spans="1:10" x14ac:dyDescent="0.25">
      <c r="A25" s="160"/>
      <c r="B25" s="76" t="str" cm="1">
        <f t="array" ref="B25">_xlfn.LET(_xlpm.DI_name, _xlfn.XLOOKUP(A25, [2]!DOT_Projects[[#All],[Engineering Number]], [2]!DOT_Projects[[#All],[Designer Name]], ""), _xlpm.DI_tm_name, _xlfn.XLOOKUP(A25, [2]!Table7[[#All],[Eng Number]], [2]!Table7[[#All],[Designer Name]], ""), _xlpm.TR_name, _xlfn.XLOOKUP(A25, [1]!CRA_Projects31213[[#All],[Engineering Number]], [1]!CRA_Projects31213[[#All],[KH Project Lead]]), _xlpm.TR_tm_name, _xlfn.XLOOKUP(A25, [1]!CRA_Projects312132[[#All],[Engineering Number]], [1]!CRA_Projects312132[[#All],[Designer Supervisor]]), _xlfn.SWITCH($J25, 1, _xlpm.DI_name, 2, _xlpm.DI_tm_name, 3, _xlpm.TR_name, 4, _xlpm.TR_tm_name, "Number not Found"))</f>
        <v>Number not Found</v>
      </c>
      <c r="C25" s="78" t="str" cm="1">
        <f t="array" ref="C25">_xlfn.LET(_xlpm.DI_town, _xlfn.XLOOKUP(A25, [2]!DOT_Projects[[#All],[Engineering Number]], [2]!DOT_Projects[[#All],[Town]], ""), _xlpm.DI_tm_town, _xlfn.XLOOKUP(A25, [2]!Table7[[#All],[Eng Number]], [2]!Table7[[#All],[Town]], ""), _xlpm.TR_town, _xlfn.XLOOKUP(A25, [1]!CRA_Projects31213[[#All],[Engineering Number]], [1]!CRA_Projects31213[[#All],[Town]]), _xlpm.TR_tm_town, _xlfn.XLOOKUP(A25, [1]!CRA_Projects312132[[#All],[Engineering Number]], [1]!CRA_Projects312132[[#All],[Town]]),_xlfn.SWITCH($J25, 1, _xlpm.DI_town, 2, _xlpm.DI_tm_town, 3, _xlpm.TR_town, 4, _xlpm.TR_tm_town, "Number not Found"))</f>
        <v>Number not Found</v>
      </c>
      <c r="D25" s="96" t="str" cm="1">
        <f t="array" ref="D25">_xlfn.LET(_xlpm.DI_date, _xlfn.XLOOKUP(A25, [2]!DOT_Projects[[#All],[Engineering Number]], [2]!DOT_Projects[[#All],[Engineering Approved Design Date]]), _xlpm.DI_tm_date, _xlfn.XLOOKUP(A25, [2]!Table7[[#All],[Eng Number]], [2]!Table7[[#All],[Target
Release Date]]), _xlpm.TR_date, _xlfn.XLOOKUP(A25, [1]!CRA_Projects31213[[#All],[Engineering Number]], [1]!CRA_Projects31213[[#All],[Engineering Approved Design Date]]), _xlpm.TR_tm_date, _xlfn.XLOOKUP(A25, [1]!CRA_Projects312132[[#All],[Engineering Number]], [1]!CRA_Projects312132[[#All],[Engineering Approved Design Date]]), _xlpm.date_lookup, _xlfn.SWITCH($J25, 1, _xlpm.DI_date, 2, _xlpm.DI_tm_date, 3, _xlpm.TR_date, 4, _xlpm.TR_tm_date, "Number not Found"), IFERROR(IF(DAY(_xlpm.date_lookup)&lt;=15, DATE(YEAR(_xlpm.date_lookup), MONTH(_xlpm.date_lookup), 1), DATE(YEAR(_xlpm.date_lookup), MONTH(_xlpm.date_lookup)+1, 1)), "Number not Found"))</f>
        <v>Number not Found</v>
      </c>
      <c r="E25" s="76"/>
      <c r="F25" s="122"/>
      <c r="G25" s="122"/>
      <c r="H25" s="122">
        <f t="shared" si="0"/>
        <v>0</v>
      </c>
      <c r="I25" s="98"/>
      <c r="J25">
        <f>_xlfn.LET(_xlpm.is_DI_dot, IF(IFERROR(MATCH(A25,'Engineering Numbers Ref'!A:A, 0),0)&gt;0, 1, 0), _xlpm.is_DI_tm, IF(IFERROR(MATCH(A25,'Engineering Numbers Ref'!B:B, 0),0)&gt;0, 2, 0), _xlpm.is_TR_dot, IF(IFERROR(MATCH(A25,'Engineering Numbers Ref'!C:C, 0),0)&gt;0,3,0), _xlpm.is_TR_tm, IF(IFERROR(MATCH(A25,'Engineering Numbers Ref'!D:D, 0),0)&gt;0,4,0), _xlpm.is_DI_dot+_xlpm.is_DI_tm+_xlpm.is_TR_dot+_xlpm.is_TR_tm)</f>
        <v>0</v>
      </c>
    </row>
    <row r="26" spans="1:10" x14ac:dyDescent="0.25">
      <c r="A26" s="160"/>
      <c r="B26" s="76" t="str" cm="1">
        <f t="array" ref="B26">_xlfn.LET(_xlpm.DI_name, _xlfn.XLOOKUP(A26, [2]!DOT_Projects[[#All],[Engineering Number]], [2]!DOT_Projects[[#All],[Designer Name]], ""), _xlpm.DI_tm_name, _xlfn.XLOOKUP(A26, [2]!Table7[[#All],[Eng Number]], [2]!Table7[[#All],[Designer Name]], ""), _xlpm.TR_name, _xlfn.XLOOKUP(A26, [1]!CRA_Projects31213[[#All],[Engineering Number]], [1]!CRA_Projects31213[[#All],[KH Project Lead]]), _xlpm.TR_tm_name, _xlfn.XLOOKUP(A26, [1]!CRA_Projects312132[[#All],[Engineering Number]], [1]!CRA_Projects312132[[#All],[Designer Supervisor]]), _xlfn.SWITCH($J26, 1, _xlpm.DI_name, 2, _xlpm.DI_tm_name, 3, _xlpm.TR_name, 4, _xlpm.TR_tm_name, "Number not Found"))</f>
        <v>Number not Found</v>
      </c>
      <c r="C26" s="78" t="str" cm="1">
        <f t="array" ref="C26">_xlfn.LET(_xlpm.DI_town, _xlfn.XLOOKUP(A26, [2]!DOT_Projects[[#All],[Engineering Number]], [2]!DOT_Projects[[#All],[Town]], ""), _xlpm.DI_tm_town, _xlfn.XLOOKUP(A26, [2]!Table7[[#All],[Eng Number]], [2]!Table7[[#All],[Town]], ""), _xlpm.TR_town, _xlfn.XLOOKUP(A26, [1]!CRA_Projects31213[[#All],[Engineering Number]], [1]!CRA_Projects31213[[#All],[Town]]), _xlpm.TR_tm_town, _xlfn.XLOOKUP(A26, [1]!CRA_Projects312132[[#All],[Engineering Number]], [1]!CRA_Projects312132[[#All],[Town]]),_xlfn.SWITCH($J26, 1, _xlpm.DI_town, 2, _xlpm.DI_tm_town, 3, _xlpm.TR_town, 4, _xlpm.TR_tm_town, "Number not Found"))</f>
        <v>Number not Found</v>
      </c>
      <c r="D26" s="96" t="str" cm="1">
        <f t="array" ref="D26">_xlfn.LET(_xlpm.DI_date, _xlfn.XLOOKUP(A26, [2]!DOT_Projects[[#All],[Engineering Number]], [2]!DOT_Projects[[#All],[Engineering Approved Design Date]]), _xlpm.DI_tm_date, _xlfn.XLOOKUP(A26, [2]!Table7[[#All],[Eng Number]], [2]!Table7[[#All],[Target
Release Date]]), _xlpm.TR_date, _xlfn.XLOOKUP(A26, [1]!CRA_Projects31213[[#All],[Engineering Number]], [1]!CRA_Projects31213[[#All],[Engineering Approved Design Date]]), _xlpm.TR_tm_date, _xlfn.XLOOKUP(A26, [1]!CRA_Projects312132[[#All],[Engineering Number]], [1]!CRA_Projects312132[[#All],[Engineering Approved Design Date]]), _xlpm.date_lookup, _xlfn.SWITCH($J26, 1, _xlpm.DI_date, 2, _xlpm.DI_tm_date, 3, _xlpm.TR_date, 4, _xlpm.TR_tm_date, "Number not Found"), IFERROR(IF(DAY(_xlpm.date_lookup)&lt;=15, DATE(YEAR(_xlpm.date_lookup), MONTH(_xlpm.date_lookup), 1), DATE(YEAR(_xlpm.date_lookup), MONTH(_xlpm.date_lookup)+1, 1)), "Number not Found"))</f>
        <v>Number not Found</v>
      </c>
      <c r="E26" s="76"/>
      <c r="F26" s="122"/>
      <c r="G26" s="122"/>
      <c r="H26" s="122">
        <f t="shared" si="0"/>
        <v>0</v>
      </c>
      <c r="I26" s="98"/>
      <c r="J26">
        <f>_xlfn.LET(_xlpm.is_DI_dot, IF(IFERROR(MATCH(A26,'Engineering Numbers Ref'!A:A, 0),0)&gt;0, 1, 0), _xlpm.is_DI_tm, IF(IFERROR(MATCH(A26,'Engineering Numbers Ref'!B:B, 0),0)&gt;0, 2, 0), _xlpm.is_TR_dot, IF(IFERROR(MATCH(A26,'Engineering Numbers Ref'!C:C, 0),0)&gt;0,3,0), _xlpm.is_TR_tm, IF(IFERROR(MATCH(A26,'Engineering Numbers Ref'!D:D, 0),0)&gt;0,4,0), _xlpm.is_DI_dot+_xlpm.is_DI_tm+_xlpm.is_TR_dot+_xlpm.is_TR_tm)</f>
        <v>0</v>
      </c>
    </row>
    <row r="27" spans="1:10" x14ac:dyDescent="0.25">
      <c r="A27" s="160"/>
      <c r="B27" s="76" t="str" cm="1">
        <f t="array" ref="B27">_xlfn.LET(_xlpm.DI_name, _xlfn.XLOOKUP(A27, [2]!DOT_Projects[[#All],[Engineering Number]], [2]!DOT_Projects[[#All],[Designer Name]], ""), _xlpm.DI_tm_name, _xlfn.XLOOKUP(A27, [2]!Table7[[#All],[Eng Number]], [2]!Table7[[#All],[Designer Name]], ""), _xlpm.TR_name, _xlfn.XLOOKUP(A27, [1]!CRA_Projects31213[[#All],[Engineering Number]], [1]!CRA_Projects31213[[#All],[KH Project Lead]]), _xlpm.TR_tm_name, _xlfn.XLOOKUP(A27, [1]!CRA_Projects312132[[#All],[Engineering Number]], [1]!CRA_Projects312132[[#All],[Designer Supervisor]]), _xlfn.SWITCH($J27, 1, _xlpm.DI_name, 2, _xlpm.DI_tm_name, 3, _xlpm.TR_name, 4, _xlpm.TR_tm_name, "Number not Found"))</f>
        <v>Number not Found</v>
      </c>
      <c r="C27" s="78" t="str" cm="1">
        <f t="array" ref="C27">_xlfn.LET(_xlpm.DI_town, _xlfn.XLOOKUP(A27, [2]!DOT_Projects[[#All],[Engineering Number]], [2]!DOT_Projects[[#All],[Town]], ""), _xlpm.DI_tm_town, _xlfn.XLOOKUP(A27, [2]!Table7[[#All],[Eng Number]], [2]!Table7[[#All],[Town]], ""), _xlpm.TR_town, _xlfn.XLOOKUP(A27, [1]!CRA_Projects31213[[#All],[Engineering Number]], [1]!CRA_Projects31213[[#All],[Town]]), _xlpm.TR_tm_town, _xlfn.XLOOKUP(A27, [1]!CRA_Projects312132[[#All],[Engineering Number]], [1]!CRA_Projects312132[[#All],[Town]]),_xlfn.SWITCH($J27, 1, _xlpm.DI_town, 2, _xlpm.DI_tm_town, 3, _xlpm.TR_town, 4, _xlpm.TR_tm_town, "Number not Found"))</f>
        <v>Number not Found</v>
      </c>
      <c r="D27" s="96" t="str" cm="1">
        <f t="array" ref="D27">_xlfn.LET(_xlpm.DI_date, _xlfn.XLOOKUP(A27, [2]!DOT_Projects[[#All],[Engineering Number]], [2]!DOT_Projects[[#All],[Engineering Approved Design Date]]), _xlpm.DI_tm_date, _xlfn.XLOOKUP(A27, [2]!Table7[[#All],[Eng Number]], [2]!Table7[[#All],[Target
Release Date]]), _xlpm.TR_date, _xlfn.XLOOKUP(A27, [1]!CRA_Projects31213[[#All],[Engineering Number]], [1]!CRA_Projects31213[[#All],[Engineering Approved Design Date]]), _xlpm.TR_tm_date, _xlfn.XLOOKUP(A27, [1]!CRA_Projects312132[[#All],[Engineering Number]], [1]!CRA_Projects312132[[#All],[Engineering Approved Design Date]]), _xlpm.date_lookup, _xlfn.SWITCH($J27, 1, _xlpm.DI_date, 2, _xlpm.DI_tm_date, 3, _xlpm.TR_date, 4, _xlpm.TR_tm_date, "Number not Found"), IFERROR(IF(DAY(_xlpm.date_lookup)&lt;=15, DATE(YEAR(_xlpm.date_lookup), MONTH(_xlpm.date_lookup), 1), DATE(YEAR(_xlpm.date_lookup), MONTH(_xlpm.date_lookup)+1, 1)), "Number not Found"))</f>
        <v>Number not Found</v>
      </c>
      <c r="E27" s="76"/>
      <c r="F27" s="122"/>
      <c r="G27" s="122"/>
      <c r="H27" s="122">
        <f t="shared" si="0"/>
        <v>0</v>
      </c>
      <c r="I27" s="98"/>
      <c r="J27">
        <f>_xlfn.LET(_xlpm.is_DI_dot, IF(IFERROR(MATCH(A27,'Engineering Numbers Ref'!A:A, 0),0)&gt;0, 1, 0), _xlpm.is_DI_tm, IF(IFERROR(MATCH(A27,'Engineering Numbers Ref'!B:B, 0),0)&gt;0, 2, 0), _xlpm.is_TR_dot, IF(IFERROR(MATCH(A27,'Engineering Numbers Ref'!C:C, 0),0)&gt;0,3,0), _xlpm.is_TR_tm, IF(IFERROR(MATCH(A27,'Engineering Numbers Ref'!D:D, 0),0)&gt;0,4,0), _xlpm.is_DI_dot+_xlpm.is_DI_tm+_xlpm.is_TR_dot+_xlpm.is_TR_tm)</f>
        <v>0</v>
      </c>
    </row>
    <row r="28" spans="1:10" x14ac:dyDescent="0.25">
      <c r="A28" s="160"/>
      <c r="B28" s="76" t="str" cm="1">
        <f t="array" ref="B28">_xlfn.LET(_xlpm.DI_name, _xlfn.XLOOKUP(A28, [2]!DOT_Projects[[#All],[Engineering Number]], [2]!DOT_Projects[[#All],[Designer Name]], ""), _xlpm.DI_tm_name, _xlfn.XLOOKUP(A28, [2]!Table7[[#All],[Eng Number]], [2]!Table7[[#All],[Designer Name]], ""), _xlpm.TR_name, _xlfn.XLOOKUP(A28, [1]!CRA_Projects31213[[#All],[Engineering Number]], [1]!CRA_Projects31213[[#All],[KH Project Lead]]), _xlpm.TR_tm_name, _xlfn.XLOOKUP(A28, [1]!CRA_Projects312132[[#All],[Engineering Number]], [1]!CRA_Projects312132[[#All],[Designer Supervisor]]), _xlfn.SWITCH($J28, 1, _xlpm.DI_name, 2, _xlpm.DI_tm_name, 3, _xlpm.TR_name, 4, _xlpm.TR_tm_name, "Number not Found"))</f>
        <v>Number not Found</v>
      </c>
      <c r="C28" s="78" t="str" cm="1">
        <f t="array" ref="C28">_xlfn.LET(_xlpm.DI_town, _xlfn.XLOOKUP(A28, [2]!DOT_Projects[[#All],[Engineering Number]], [2]!DOT_Projects[[#All],[Town]], ""), _xlpm.DI_tm_town, _xlfn.XLOOKUP(A28, [2]!Table7[[#All],[Eng Number]], [2]!Table7[[#All],[Town]], ""), _xlpm.TR_town, _xlfn.XLOOKUP(A28, [1]!CRA_Projects31213[[#All],[Engineering Number]], [1]!CRA_Projects31213[[#All],[Town]]), _xlpm.TR_tm_town, _xlfn.XLOOKUP(A28, [1]!CRA_Projects312132[[#All],[Engineering Number]], [1]!CRA_Projects312132[[#All],[Town]]),_xlfn.SWITCH($J28, 1, _xlpm.DI_town, 2, _xlpm.DI_tm_town, 3, _xlpm.TR_town, 4, _xlpm.TR_tm_town, "Number not Found"))</f>
        <v>Number not Found</v>
      </c>
      <c r="D28" s="96" t="str" cm="1">
        <f t="array" ref="D28">_xlfn.LET(_xlpm.DI_date, _xlfn.XLOOKUP(A28, [2]!DOT_Projects[[#All],[Engineering Number]], [2]!DOT_Projects[[#All],[Engineering Approved Design Date]]), _xlpm.DI_tm_date, _xlfn.XLOOKUP(A28, [2]!Table7[[#All],[Eng Number]], [2]!Table7[[#All],[Target
Release Date]]), _xlpm.TR_date, _xlfn.XLOOKUP(A28, [1]!CRA_Projects31213[[#All],[Engineering Number]], [1]!CRA_Projects31213[[#All],[Engineering Approved Design Date]]), _xlpm.TR_tm_date, _xlfn.XLOOKUP(A28, [1]!CRA_Projects312132[[#All],[Engineering Number]], [1]!CRA_Projects312132[[#All],[Engineering Approved Design Date]]), _xlpm.date_lookup, _xlfn.SWITCH($J28, 1, _xlpm.DI_date, 2, _xlpm.DI_tm_date, 3, _xlpm.TR_date, 4, _xlpm.TR_tm_date, "Number not Found"), IFERROR(IF(DAY(_xlpm.date_lookup)&lt;=15, DATE(YEAR(_xlpm.date_lookup), MONTH(_xlpm.date_lookup), 1), DATE(YEAR(_xlpm.date_lookup), MONTH(_xlpm.date_lookup)+1, 1)), "Number not Found"))</f>
        <v>Number not Found</v>
      </c>
      <c r="E28" s="76"/>
      <c r="F28" s="122"/>
      <c r="G28" s="122"/>
      <c r="H28" s="122">
        <f t="shared" si="0"/>
        <v>0</v>
      </c>
      <c r="I28" s="98"/>
      <c r="J28">
        <f>_xlfn.LET(_xlpm.is_DI_dot, IF(IFERROR(MATCH(A28,'Engineering Numbers Ref'!A:A, 0),0)&gt;0, 1, 0), _xlpm.is_DI_tm, IF(IFERROR(MATCH(A28,'Engineering Numbers Ref'!B:B, 0),0)&gt;0, 2, 0), _xlpm.is_TR_dot, IF(IFERROR(MATCH(A28,'Engineering Numbers Ref'!C:C, 0),0)&gt;0,3,0), _xlpm.is_TR_tm, IF(IFERROR(MATCH(A28,'Engineering Numbers Ref'!D:D, 0),0)&gt;0,4,0), _xlpm.is_DI_dot+_xlpm.is_DI_tm+_xlpm.is_TR_dot+_xlpm.is_TR_tm)</f>
        <v>0</v>
      </c>
    </row>
    <row r="29" spans="1:10" x14ac:dyDescent="0.25">
      <c r="A29" s="160"/>
      <c r="B29" s="76" t="str" cm="1">
        <f t="array" ref="B29">_xlfn.LET(_xlpm.DI_name, _xlfn.XLOOKUP(A29, [2]!DOT_Projects[[#All],[Engineering Number]], [2]!DOT_Projects[[#All],[Designer Name]], ""), _xlpm.DI_tm_name, _xlfn.XLOOKUP(A29, [2]!Table7[[#All],[Eng Number]], [2]!Table7[[#All],[Designer Name]], ""), _xlpm.TR_name, _xlfn.XLOOKUP(A29, [1]!CRA_Projects31213[[#All],[Engineering Number]], [1]!CRA_Projects31213[[#All],[KH Project Lead]]), _xlpm.TR_tm_name, _xlfn.XLOOKUP(A29, [1]!CRA_Projects312132[[#All],[Engineering Number]], [1]!CRA_Projects312132[[#All],[Designer Supervisor]]), _xlfn.SWITCH($J29, 1, _xlpm.DI_name, 2, _xlpm.DI_tm_name, 3, _xlpm.TR_name, 4, _xlpm.TR_tm_name, "Number not Found"))</f>
        <v>Number not Found</v>
      </c>
      <c r="C29" s="78" t="str" cm="1">
        <f t="array" ref="C29">_xlfn.LET(_xlpm.DI_town, _xlfn.XLOOKUP(A29, [2]!DOT_Projects[[#All],[Engineering Number]], [2]!DOT_Projects[[#All],[Town]], ""), _xlpm.DI_tm_town, _xlfn.XLOOKUP(A29, [2]!Table7[[#All],[Eng Number]], [2]!Table7[[#All],[Town]], ""), _xlpm.TR_town, _xlfn.XLOOKUP(A29, [1]!CRA_Projects31213[[#All],[Engineering Number]], [1]!CRA_Projects31213[[#All],[Town]]), _xlpm.TR_tm_town, _xlfn.XLOOKUP(A29, [1]!CRA_Projects312132[[#All],[Engineering Number]], [1]!CRA_Projects312132[[#All],[Town]]),_xlfn.SWITCH($J29, 1, _xlpm.DI_town, 2, _xlpm.DI_tm_town, 3, _xlpm.TR_town, 4, _xlpm.TR_tm_town, "Number not Found"))</f>
        <v>Number not Found</v>
      </c>
      <c r="D29" s="96" t="str" cm="1">
        <f t="array" ref="D29">_xlfn.LET(_xlpm.DI_date, _xlfn.XLOOKUP(A29, [2]!DOT_Projects[[#All],[Engineering Number]], [2]!DOT_Projects[[#All],[Engineering Approved Design Date]]), _xlpm.DI_tm_date, _xlfn.XLOOKUP(A29, [2]!Table7[[#All],[Eng Number]], [2]!Table7[[#All],[Target
Release Date]]), _xlpm.TR_date, _xlfn.XLOOKUP(A29, [1]!CRA_Projects31213[[#All],[Engineering Number]], [1]!CRA_Projects31213[[#All],[Engineering Approved Design Date]]), _xlpm.TR_tm_date, _xlfn.XLOOKUP(A29, [1]!CRA_Projects312132[[#All],[Engineering Number]], [1]!CRA_Projects312132[[#All],[Engineering Approved Design Date]]), _xlpm.date_lookup, _xlfn.SWITCH($J29, 1, _xlpm.DI_date, 2, _xlpm.DI_tm_date, 3, _xlpm.TR_date, 4, _xlpm.TR_tm_date, "Number not Found"), IFERROR(IF(DAY(_xlpm.date_lookup)&lt;=15, DATE(YEAR(_xlpm.date_lookup), MONTH(_xlpm.date_lookup), 1), DATE(YEAR(_xlpm.date_lookup), MONTH(_xlpm.date_lookup)+1, 1)), "Number not Found"))</f>
        <v>Number not Found</v>
      </c>
      <c r="E29" s="76"/>
      <c r="F29" s="122"/>
      <c r="G29" s="122"/>
      <c r="H29" s="122">
        <f t="shared" si="0"/>
        <v>0</v>
      </c>
      <c r="I29" s="147"/>
      <c r="J29">
        <f>_xlfn.LET(_xlpm.is_DI_dot, IF(IFERROR(MATCH(A29,'Engineering Numbers Ref'!A:A, 0),0)&gt;0, 1, 0), _xlpm.is_DI_tm, IF(IFERROR(MATCH(A29,'Engineering Numbers Ref'!B:B, 0),0)&gt;0, 2, 0), _xlpm.is_TR_dot, IF(IFERROR(MATCH(A29,'Engineering Numbers Ref'!C:C, 0),0)&gt;0,3,0), _xlpm.is_TR_tm, IF(IFERROR(MATCH(A29,'Engineering Numbers Ref'!D:D, 0),0)&gt;0,4,0), _xlpm.is_DI_dot+_xlpm.is_DI_tm+_xlpm.is_TR_dot+_xlpm.is_TR_tm)</f>
        <v>0</v>
      </c>
    </row>
    <row r="30" spans="1:10" x14ac:dyDescent="0.25">
      <c r="A30" s="160"/>
      <c r="B30" s="76" t="str" cm="1">
        <f t="array" ref="B30">_xlfn.LET(_xlpm.DI_name, _xlfn.XLOOKUP(A30, [2]!DOT_Projects[[#All],[Engineering Number]], [2]!DOT_Projects[[#All],[Designer Name]], ""), _xlpm.DI_tm_name, _xlfn.XLOOKUP(A30, [2]!Table7[[#All],[Eng Number]], [2]!Table7[[#All],[Designer Name]], ""), _xlpm.TR_name, _xlfn.XLOOKUP(A30, [1]!CRA_Projects31213[[#All],[Engineering Number]], [1]!CRA_Projects31213[[#All],[KH Project Lead]]), _xlpm.TR_tm_name, _xlfn.XLOOKUP(A30, [1]!CRA_Projects312132[[#All],[Engineering Number]], [1]!CRA_Projects312132[[#All],[Designer Supervisor]]), _xlfn.SWITCH($J30, 1, _xlpm.DI_name, 2, _xlpm.DI_tm_name, 3, _xlpm.TR_name, 4, _xlpm.TR_tm_name, "Number not Found"))</f>
        <v>Number not Found</v>
      </c>
      <c r="C30" s="78" t="str" cm="1">
        <f t="array" ref="C30">_xlfn.LET(_xlpm.DI_town, _xlfn.XLOOKUP(A30, [2]!DOT_Projects[[#All],[Engineering Number]], [2]!DOT_Projects[[#All],[Town]], ""), _xlpm.DI_tm_town, _xlfn.XLOOKUP(A30, [2]!Table7[[#All],[Eng Number]], [2]!Table7[[#All],[Town]], ""), _xlpm.TR_town, _xlfn.XLOOKUP(A30, [1]!CRA_Projects31213[[#All],[Engineering Number]], [1]!CRA_Projects31213[[#All],[Town]]), _xlpm.TR_tm_town, _xlfn.XLOOKUP(A30, [1]!CRA_Projects312132[[#All],[Engineering Number]], [1]!CRA_Projects312132[[#All],[Town]]),_xlfn.SWITCH($J30, 1, _xlpm.DI_town, 2, _xlpm.DI_tm_town, 3, _xlpm.TR_town, 4, _xlpm.TR_tm_town, "Number not Found"))</f>
        <v>Number not Found</v>
      </c>
      <c r="D30" s="96" t="str" cm="1">
        <f t="array" ref="D30">_xlfn.LET(_xlpm.DI_date, _xlfn.XLOOKUP(A30, [2]!DOT_Projects[[#All],[Engineering Number]], [2]!DOT_Projects[[#All],[Engineering Approved Design Date]]), _xlpm.DI_tm_date, _xlfn.XLOOKUP(A30, [2]!Table7[[#All],[Eng Number]], [2]!Table7[[#All],[Target
Release Date]]), _xlpm.TR_date, _xlfn.XLOOKUP(A30, [1]!CRA_Projects31213[[#All],[Engineering Number]], [1]!CRA_Projects31213[[#All],[Engineering Approved Design Date]]), _xlpm.TR_tm_date, _xlfn.XLOOKUP(A30, [1]!CRA_Projects312132[[#All],[Engineering Number]], [1]!CRA_Projects312132[[#All],[Engineering Approved Design Date]]), _xlpm.date_lookup, _xlfn.SWITCH($J30, 1, _xlpm.DI_date, 2, _xlpm.DI_tm_date, 3, _xlpm.TR_date, 4, _xlpm.TR_tm_date, "Number not Found"), IFERROR(IF(DAY(_xlpm.date_lookup)&lt;=15, DATE(YEAR(_xlpm.date_lookup), MONTH(_xlpm.date_lookup), 1), DATE(YEAR(_xlpm.date_lookup), MONTH(_xlpm.date_lookup)+1, 1)), "Number not Found"))</f>
        <v>Number not Found</v>
      </c>
      <c r="E30" s="76"/>
      <c r="F30" s="122"/>
      <c r="G30" s="122"/>
      <c r="H30" s="122">
        <f t="shared" si="0"/>
        <v>0</v>
      </c>
      <c r="I30" s="98"/>
      <c r="J30">
        <f>_xlfn.LET(_xlpm.is_DI_dot, IF(IFERROR(MATCH(A30,'Engineering Numbers Ref'!A:A, 0),0)&gt;0, 1, 0), _xlpm.is_DI_tm, IF(IFERROR(MATCH(A30,'Engineering Numbers Ref'!B:B, 0),0)&gt;0, 2, 0), _xlpm.is_TR_dot, IF(IFERROR(MATCH(A30,'Engineering Numbers Ref'!C:C, 0),0)&gt;0,3,0), _xlpm.is_TR_tm, IF(IFERROR(MATCH(A30,'Engineering Numbers Ref'!D:D, 0),0)&gt;0,4,0), _xlpm.is_DI_dot+_xlpm.is_DI_tm+_xlpm.is_TR_dot+_xlpm.is_TR_tm)</f>
        <v>0</v>
      </c>
    </row>
    <row r="31" spans="1:10" x14ac:dyDescent="0.25">
      <c r="A31" s="160"/>
      <c r="B31" s="76" t="str" cm="1">
        <f t="array" ref="B31">_xlfn.LET(_xlpm.DI_name, _xlfn.XLOOKUP(A31, [2]!DOT_Projects[[#All],[Engineering Number]], [2]!DOT_Projects[[#All],[Designer Name]], ""), _xlpm.DI_tm_name, _xlfn.XLOOKUP(A31, [2]!Table7[[#All],[Eng Number]], [2]!Table7[[#All],[Designer Name]], ""), _xlpm.TR_name, _xlfn.XLOOKUP(A31, [1]!CRA_Projects31213[[#All],[Engineering Number]], [1]!CRA_Projects31213[[#All],[KH Project Lead]]), _xlpm.TR_tm_name, _xlfn.XLOOKUP(A31, [1]!CRA_Projects312132[[#All],[Engineering Number]], [1]!CRA_Projects312132[[#All],[Designer Supervisor]]), _xlfn.SWITCH($J31, 1, _xlpm.DI_name, 2, _xlpm.DI_tm_name, 3, _xlpm.TR_name, 4, _xlpm.TR_tm_name, "Number not Found"))</f>
        <v>Number not Found</v>
      </c>
      <c r="C31" s="78" t="str" cm="1">
        <f t="array" ref="C31">_xlfn.LET(_xlpm.DI_town, _xlfn.XLOOKUP(A31, [2]!DOT_Projects[[#All],[Engineering Number]], [2]!DOT_Projects[[#All],[Town]], ""), _xlpm.DI_tm_town, _xlfn.XLOOKUP(A31, [2]!Table7[[#All],[Eng Number]], [2]!Table7[[#All],[Town]], ""), _xlpm.TR_town, _xlfn.XLOOKUP(A31, [1]!CRA_Projects31213[[#All],[Engineering Number]], [1]!CRA_Projects31213[[#All],[Town]]), _xlpm.TR_tm_town, _xlfn.XLOOKUP(A31, [1]!CRA_Projects312132[[#All],[Engineering Number]], [1]!CRA_Projects312132[[#All],[Town]]),_xlfn.SWITCH($J31, 1, _xlpm.DI_town, 2, _xlpm.DI_tm_town, 3, _xlpm.TR_town, 4, _xlpm.TR_tm_town, "Number not Found"))</f>
        <v>Number not Found</v>
      </c>
      <c r="D31" s="96" t="str" cm="1">
        <f t="array" ref="D31">_xlfn.LET(_xlpm.DI_date, _xlfn.XLOOKUP(A31, [2]!DOT_Projects[[#All],[Engineering Number]], [2]!DOT_Projects[[#All],[Engineering Approved Design Date]]), _xlpm.DI_tm_date, _xlfn.XLOOKUP(A31, [2]!Table7[[#All],[Eng Number]], [2]!Table7[[#All],[Target
Release Date]]), _xlpm.TR_date, _xlfn.XLOOKUP(A31, [1]!CRA_Projects31213[[#All],[Engineering Number]], [1]!CRA_Projects31213[[#All],[Engineering Approved Design Date]]), _xlpm.TR_tm_date, _xlfn.XLOOKUP(A31, [1]!CRA_Projects312132[[#All],[Engineering Number]], [1]!CRA_Projects312132[[#All],[Engineering Approved Design Date]]), _xlpm.date_lookup, _xlfn.SWITCH($J31, 1, _xlpm.DI_date, 2, _xlpm.DI_tm_date, 3, _xlpm.TR_date, 4, _xlpm.TR_tm_date, "Number not Found"), IFERROR(IF(DAY(_xlpm.date_lookup)&lt;=15, DATE(YEAR(_xlpm.date_lookup), MONTH(_xlpm.date_lookup), 1), DATE(YEAR(_xlpm.date_lookup), MONTH(_xlpm.date_lookup)+1, 1)), "Number not Found"))</f>
        <v>Number not Found</v>
      </c>
      <c r="E31" s="76"/>
      <c r="F31" s="122"/>
      <c r="G31" s="122"/>
      <c r="H31" s="122">
        <f t="shared" si="0"/>
        <v>0</v>
      </c>
      <c r="I31" s="98"/>
      <c r="J31">
        <f>_xlfn.LET(_xlpm.is_DI_dot, IF(IFERROR(MATCH(A31,'Engineering Numbers Ref'!A:A, 0),0)&gt;0, 1, 0), _xlpm.is_DI_tm, IF(IFERROR(MATCH(A31,'Engineering Numbers Ref'!B:B, 0),0)&gt;0, 2, 0), _xlpm.is_TR_dot, IF(IFERROR(MATCH(A31,'Engineering Numbers Ref'!C:C, 0),0)&gt;0,3,0), _xlpm.is_TR_tm, IF(IFERROR(MATCH(A31,'Engineering Numbers Ref'!D:D, 0),0)&gt;0,4,0), _xlpm.is_DI_dot+_xlpm.is_DI_tm+_xlpm.is_TR_dot+_xlpm.is_TR_tm)</f>
        <v>0</v>
      </c>
    </row>
    <row r="32" spans="1:10" x14ac:dyDescent="0.25">
      <c r="A32" s="160"/>
      <c r="B32" s="76" t="str" cm="1">
        <f t="array" ref="B32">_xlfn.LET(_xlpm.DI_name, _xlfn.XLOOKUP(A32, [2]!DOT_Projects[[#All],[Engineering Number]], [2]!DOT_Projects[[#All],[Designer Name]], ""), _xlpm.DI_tm_name, _xlfn.XLOOKUP(A32, [2]!Table7[[#All],[Eng Number]], [2]!Table7[[#All],[Designer Name]], ""), _xlpm.TR_name, _xlfn.XLOOKUP(A32, [1]!CRA_Projects31213[[#All],[Engineering Number]], [1]!CRA_Projects31213[[#All],[KH Project Lead]]), _xlpm.TR_tm_name, _xlfn.XLOOKUP(A32, [1]!CRA_Projects312132[[#All],[Engineering Number]], [1]!CRA_Projects312132[[#All],[Designer Supervisor]]), _xlfn.SWITCH($J32, 1, _xlpm.DI_name, 2, _xlpm.DI_tm_name, 3, _xlpm.TR_name, 4, _xlpm.TR_tm_name, "Number not Found"))</f>
        <v>Number not Found</v>
      </c>
      <c r="C32" s="78" t="str" cm="1">
        <f t="array" ref="C32">_xlfn.LET(_xlpm.DI_town, _xlfn.XLOOKUP(A32, [2]!DOT_Projects[[#All],[Engineering Number]], [2]!DOT_Projects[[#All],[Town]], ""), _xlpm.DI_tm_town, _xlfn.XLOOKUP(A32, [2]!Table7[[#All],[Eng Number]], [2]!Table7[[#All],[Town]], ""), _xlpm.TR_town, _xlfn.XLOOKUP(A32, [1]!CRA_Projects31213[[#All],[Engineering Number]], [1]!CRA_Projects31213[[#All],[Town]]), _xlpm.TR_tm_town, _xlfn.XLOOKUP(A32, [1]!CRA_Projects312132[[#All],[Engineering Number]], [1]!CRA_Projects312132[[#All],[Town]]),_xlfn.SWITCH($J32, 1, _xlpm.DI_town, 2, _xlpm.DI_tm_town, 3, _xlpm.TR_town, 4, _xlpm.TR_tm_town, "Number not Found"))</f>
        <v>Number not Found</v>
      </c>
      <c r="D32" s="96" t="str" cm="1">
        <f t="array" ref="D32">_xlfn.LET(_xlpm.DI_date, _xlfn.XLOOKUP(A32, [2]!DOT_Projects[[#All],[Engineering Number]], [2]!DOT_Projects[[#All],[Engineering Approved Design Date]]), _xlpm.DI_tm_date, _xlfn.XLOOKUP(A32, [2]!Table7[[#All],[Eng Number]], [2]!Table7[[#All],[Target
Release Date]]), _xlpm.TR_date, _xlfn.XLOOKUP(A32, [1]!CRA_Projects31213[[#All],[Engineering Number]], [1]!CRA_Projects31213[[#All],[Engineering Approved Design Date]]), _xlpm.TR_tm_date, _xlfn.XLOOKUP(A32, [1]!CRA_Projects312132[[#All],[Engineering Number]], [1]!CRA_Projects312132[[#All],[Engineering Approved Design Date]]), _xlpm.date_lookup, _xlfn.SWITCH($J32, 1, _xlpm.DI_date, 2, _xlpm.DI_tm_date, 3, _xlpm.TR_date, 4, _xlpm.TR_tm_date, "Number not Found"), IFERROR(IF(DAY(_xlpm.date_lookup)&lt;=15, DATE(YEAR(_xlpm.date_lookup), MONTH(_xlpm.date_lookup), 1), DATE(YEAR(_xlpm.date_lookup), MONTH(_xlpm.date_lookup)+1, 1)), "Number not Found"))</f>
        <v>Number not Found</v>
      </c>
      <c r="E32" s="76"/>
      <c r="F32" s="122"/>
      <c r="G32" s="122"/>
      <c r="H32" s="122">
        <f t="shared" si="0"/>
        <v>0</v>
      </c>
      <c r="I32" s="98"/>
      <c r="J32">
        <f>_xlfn.LET(_xlpm.is_DI_dot, IF(IFERROR(MATCH(A32,'Engineering Numbers Ref'!A:A, 0),0)&gt;0, 1, 0), _xlpm.is_DI_tm, IF(IFERROR(MATCH(A32,'Engineering Numbers Ref'!B:B, 0),0)&gt;0, 2, 0), _xlpm.is_TR_dot, IF(IFERROR(MATCH(A32,'Engineering Numbers Ref'!C:C, 0),0)&gt;0,3,0), _xlpm.is_TR_tm, IF(IFERROR(MATCH(A32,'Engineering Numbers Ref'!D:D, 0),0)&gt;0,4,0), _xlpm.is_DI_dot+_xlpm.is_DI_tm+_xlpm.is_TR_dot+_xlpm.is_TR_tm)</f>
        <v>0</v>
      </c>
    </row>
    <row r="33" spans="1:10" x14ac:dyDescent="0.25">
      <c r="A33" s="160"/>
      <c r="B33" s="76" t="str" cm="1">
        <f t="array" ref="B33">_xlfn.LET(_xlpm.DI_name, _xlfn.XLOOKUP(A33, [2]!DOT_Projects[[#All],[Engineering Number]], [2]!DOT_Projects[[#All],[Designer Name]], ""), _xlpm.DI_tm_name, _xlfn.XLOOKUP(A33, [2]!Table7[[#All],[Eng Number]], [2]!Table7[[#All],[Designer Name]], ""), _xlpm.TR_name, _xlfn.XLOOKUP(A33, [1]!CRA_Projects31213[[#All],[Engineering Number]], [1]!CRA_Projects31213[[#All],[KH Project Lead]]), _xlpm.TR_tm_name, _xlfn.XLOOKUP(A33, [1]!CRA_Projects312132[[#All],[Engineering Number]], [1]!CRA_Projects312132[[#All],[Designer Supervisor]]), _xlfn.SWITCH($J33, 1, _xlpm.DI_name, 2, _xlpm.DI_tm_name, 3, _xlpm.TR_name, 4, _xlpm.TR_tm_name, "Number not Found"))</f>
        <v>Number not Found</v>
      </c>
      <c r="C33" s="78" t="str" cm="1">
        <f t="array" ref="C33">_xlfn.LET(_xlpm.DI_town, _xlfn.XLOOKUP(A33, [2]!DOT_Projects[[#All],[Engineering Number]], [2]!DOT_Projects[[#All],[Town]], ""), _xlpm.DI_tm_town, _xlfn.XLOOKUP(A33, [2]!Table7[[#All],[Eng Number]], [2]!Table7[[#All],[Town]], ""), _xlpm.TR_town, _xlfn.XLOOKUP(A33, [1]!CRA_Projects31213[[#All],[Engineering Number]], [1]!CRA_Projects31213[[#All],[Town]]), _xlpm.TR_tm_town, _xlfn.XLOOKUP(A33, [1]!CRA_Projects312132[[#All],[Engineering Number]], [1]!CRA_Projects312132[[#All],[Town]]),_xlfn.SWITCH($J33, 1, _xlpm.DI_town, 2, _xlpm.DI_tm_town, 3, _xlpm.TR_town, 4, _xlpm.TR_tm_town, "Number not Found"))</f>
        <v>Number not Found</v>
      </c>
      <c r="D33" s="96" t="str" cm="1">
        <f t="array" ref="D33">_xlfn.LET(_xlpm.DI_date, _xlfn.XLOOKUP(A33, [2]!DOT_Projects[[#All],[Engineering Number]], [2]!DOT_Projects[[#All],[Engineering Approved Design Date]]), _xlpm.DI_tm_date, _xlfn.XLOOKUP(A33, [2]!Table7[[#All],[Eng Number]], [2]!Table7[[#All],[Target
Release Date]]), _xlpm.TR_date, _xlfn.XLOOKUP(A33, [1]!CRA_Projects31213[[#All],[Engineering Number]], [1]!CRA_Projects31213[[#All],[Engineering Approved Design Date]]), _xlpm.TR_tm_date, _xlfn.XLOOKUP(A33, [1]!CRA_Projects312132[[#All],[Engineering Number]], [1]!CRA_Projects312132[[#All],[Engineering Approved Design Date]]), _xlpm.date_lookup, _xlfn.SWITCH($J33, 1, _xlpm.DI_date, 2, _xlpm.DI_tm_date, 3, _xlpm.TR_date, 4, _xlpm.TR_tm_date, "Number not Found"), IFERROR(IF(DAY(_xlpm.date_lookup)&lt;=15, DATE(YEAR(_xlpm.date_lookup), MONTH(_xlpm.date_lookup), 1), DATE(YEAR(_xlpm.date_lookup), MONTH(_xlpm.date_lookup)+1, 1)), "Number not Found"))</f>
        <v>Number not Found</v>
      </c>
      <c r="E33" s="76"/>
      <c r="F33" s="122"/>
      <c r="G33" s="122"/>
      <c r="H33" s="122">
        <f t="shared" si="0"/>
        <v>0</v>
      </c>
      <c r="I33" s="98"/>
      <c r="J33">
        <f>_xlfn.LET(_xlpm.is_DI_dot, IF(IFERROR(MATCH(A33,'Engineering Numbers Ref'!A:A, 0),0)&gt;0, 1, 0), _xlpm.is_DI_tm, IF(IFERROR(MATCH(A33,'Engineering Numbers Ref'!B:B, 0),0)&gt;0, 2, 0), _xlpm.is_TR_dot, IF(IFERROR(MATCH(A33,'Engineering Numbers Ref'!C:C, 0),0)&gt;0,3,0), _xlpm.is_TR_tm, IF(IFERROR(MATCH(A33,'Engineering Numbers Ref'!D:D, 0),0)&gt;0,4,0), _xlpm.is_DI_dot+_xlpm.is_DI_tm+_xlpm.is_TR_dot+_xlpm.is_TR_tm)</f>
        <v>0</v>
      </c>
    </row>
    <row r="34" spans="1:10" x14ac:dyDescent="0.25">
      <c r="A34" s="160"/>
      <c r="B34" s="76" t="str" cm="1">
        <f t="array" ref="B34">_xlfn.LET(_xlpm.DI_name, _xlfn.XLOOKUP(A34, [2]!DOT_Projects[[#All],[Engineering Number]], [2]!DOT_Projects[[#All],[Designer Name]], ""), _xlpm.DI_tm_name, _xlfn.XLOOKUP(A34, [2]!Table7[[#All],[Eng Number]], [2]!Table7[[#All],[Designer Name]], ""), _xlpm.TR_name, _xlfn.XLOOKUP(A34, [1]!CRA_Projects31213[[#All],[Engineering Number]], [1]!CRA_Projects31213[[#All],[KH Project Lead]]), _xlpm.TR_tm_name, _xlfn.XLOOKUP(A34, [1]!CRA_Projects312132[[#All],[Engineering Number]], [1]!CRA_Projects312132[[#All],[Designer Supervisor]]), _xlfn.SWITCH($J34, 1, _xlpm.DI_name, 2, _xlpm.DI_tm_name, 3, _xlpm.TR_name, 4, _xlpm.TR_tm_name, "Number not Found"))</f>
        <v>Number not Found</v>
      </c>
      <c r="C34" s="78" t="str" cm="1">
        <f t="array" ref="C34">_xlfn.LET(_xlpm.DI_town, _xlfn.XLOOKUP(A34, [2]!DOT_Projects[[#All],[Engineering Number]], [2]!DOT_Projects[[#All],[Town]], ""), _xlpm.DI_tm_town, _xlfn.XLOOKUP(A34, [2]!Table7[[#All],[Eng Number]], [2]!Table7[[#All],[Town]], ""), _xlpm.TR_town, _xlfn.XLOOKUP(A34, [1]!CRA_Projects31213[[#All],[Engineering Number]], [1]!CRA_Projects31213[[#All],[Town]]), _xlpm.TR_tm_town, _xlfn.XLOOKUP(A34, [1]!CRA_Projects312132[[#All],[Engineering Number]], [1]!CRA_Projects312132[[#All],[Town]]),_xlfn.SWITCH($J34, 1, _xlpm.DI_town, 2, _xlpm.DI_tm_town, 3, _xlpm.TR_town, 4, _xlpm.TR_tm_town, "Number not Found"))</f>
        <v>Number not Found</v>
      </c>
      <c r="D34" s="96" t="str" cm="1">
        <f t="array" ref="D34">_xlfn.LET(_xlpm.DI_date, _xlfn.XLOOKUP(A34, [2]!DOT_Projects[[#All],[Engineering Number]], [2]!DOT_Projects[[#All],[Engineering Approved Design Date]]), _xlpm.DI_tm_date, _xlfn.XLOOKUP(A34, [2]!Table7[[#All],[Eng Number]], [2]!Table7[[#All],[Target
Release Date]]), _xlpm.TR_date, _xlfn.XLOOKUP(A34, [1]!CRA_Projects31213[[#All],[Engineering Number]], [1]!CRA_Projects31213[[#All],[Engineering Approved Design Date]]), _xlpm.TR_tm_date, _xlfn.XLOOKUP(A34, [1]!CRA_Projects312132[[#All],[Engineering Number]], [1]!CRA_Projects312132[[#All],[Engineering Approved Design Date]]), _xlpm.date_lookup, _xlfn.SWITCH($J34, 1, _xlpm.DI_date, 2, _xlpm.DI_tm_date, 3, _xlpm.TR_date, 4, _xlpm.TR_tm_date, "Number not Found"), IFERROR(IF(DAY(_xlpm.date_lookup)&lt;=15, DATE(YEAR(_xlpm.date_lookup), MONTH(_xlpm.date_lookup), 1), DATE(YEAR(_xlpm.date_lookup), MONTH(_xlpm.date_lookup)+1, 1)), "Number not Found"))</f>
        <v>Number not Found</v>
      </c>
      <c r="E34" s="76"/>
      <c r="F34" s="122"/>
      <c r="G34" s="122"/>
      <c r="H34" s="122">
        <f t="shared" si="0"/>
        <v>0</v>
      </c>
      <c r="I34" s="98"/>
      <c r="J34">
        <f>_xlfn.LET(_xlpm.is_DI_dot, IF(IFERROR(MATCH(A34,'Engineering Numbers Ref'!A:A, 0),0)&gt;0, 1, 0), _xlpm.is_DI_tm, IF(IFERROR(MATCH(A34,'Engineering Numbers Ref'!B:B, 0),0)&gt;0, 2, 0), _xlpm.is_TR_dot, IF(IFERROR(MATCH(A34,'Engineering Numbers Ref'!C:C, 0),0)&gt;0,3,0), _xlpm.is_TR_tm, IF(IFERROR(MATCH(A34,'Engineering Numbers Ref'!D:D, 0),0)&gt;0,4,0), _xlpm.is_DI_dot+_xlpm.is_DI_tm+_xlpm.is_TR_dot+_xlpm.is_TR_tm)</f>
        <v>0</v>
      </c>
    </row>
    <row r="35" spans="1:10" x14ac:dyDescent="0.25">
      <c r="A35" s="160"/>
      <c r="B35" s="76" t="str" cm="1">
        <f t="array" ref="B35">_xlfn.LET(_xlpm.DI_name, _xlfn.XLOOKUP(A35, [2]!DOT_Projects[[#All],[Engineering Number]], [2]!DOT_Projects[[#All],[Designer Name]], ""), _xlpm.DI_tm_name, _xlfn.XLOOKUP(A35, [2]!Table7[[#All],[Eng Number]], [2]!Table7[[#All],[Designer Name]], ""), _xlpm.TR_name, _xlfn.XLOOKUP(A35, [1]!CRA_Projects31213[[#All],[Engineering Number]], [1]!CRA_Projects31213[[#All],[KH Project Lead]]), _xlpm.TR_tm_name, _xlfn.XLOOKUP(A35, [1]!CRA_Projects312132[[#All],[Engineering Number]], [1]!CRA_Projects312132[[#All],[Designer Supervisor]]), _xlfn.SWITCH($J35, 1, _xlpm.DI_name, 2, _xlpm.DI_tm_name, 3, _xlpm.TR_name, 4, _xlpm.TR_tm_name, "Number not Found"))</f>
        <v>Number not Found</v>
      </c>
      <c r="C35" s="78" t="str" cm="1">
        <f t="array" ref="C35">_xlfn.LET(_xlpm.DI_town, _xlfn.XLOOKUP(A35, [2]!DOT_Projects[[#All],[Engineering Number]], [2]!DOT_Projects[[#All],[Town]], ""), _xlpm.DI_tm_town, _xlfn.XLOOKUP(A35, [2]!Table7[[#All],[Eng Number]], [2]!Table7[[#All],[Town]], ""), _xlpm.TR_town, _xlfn.XLOOKUP(A35, [1]!CRA_Projects31213[[#All],[Engineering Number]], [1]!CRA_Projects31213[[#All],[Town]]), _xlpm.TR_tm_town, _xlfn.XLOOKUP(A35, [1]!CRA_Projects312132[[#All],[Engineering Number]], [1]!CRA_Projects312132[[#All],[Town]]),_xlfn.SWITCH($J35, 1, _xlpm.DI_town, 2, _xlpm.DI_tm_town, 3, _xlpm.TR_town, 4, _xlpm.TR_tm_town, "Number not Found"))</f>
        <v>Number not Found</v>
      </c>
      <c r="D35" s="96" t="str" cm="1">
        <f t="array" ref="D35">_xlfn.LET(_xlpm.DI_date, _xlfn.XLOOKUP(A35, [2]!DOT_Projects[[#All],[Engineering Number]], [2]!DOT_Projects[[#All],[Engineering Approved Design Date]]), _xlpm.DI_tm_date, _xlfn.XLOOKUP(A35, [2]!Table7[[#All],[Eng Number]], [2]!Table7[[#All],[Target
Release Date]]), _xlpm.TR_date, _xlfn.XLOOKUP(A35, [1]!CRA_Projects31213[[#All],[Engineering Number]], [1]!CRA_Projects31213[[#All],[Engineering Approved Design Date]]), _xlpm.TR_tm_date, _xlfn.XLOOKUP(A35, [1]!CRA_Projects312132[[#All],[Engineering Number]], [1]!CRA_Projects312132[[#All],[Engineering Approved Design Date]]), _xlpm.date_lookup, _xlfn.SWITCH($J35, 1, _xlpm.DI_date, 2, _xlpm.DI_tm_date, 3, _xlpm.TR_date, 4, _xlpm.TR_tm_date, "Number not Found"), IFERROR(IF(DAY(_xlpm.date_lookup)&lt;=15, DATE(YEAR(_xlpm.date_lookup), MONTH(_xlpm.date_lookup), 1), DATE(YEAR(_xlpm.date_lookup), MONTH(_xlpm.date_lookup)+1, 1)), "Number not Found"))</f>
        <v>Number not Found</v>
      </c>
      <c r="E35" s="76"/>
      <c r="F35" s="122"/>
      <c r="G35" s="122"/>
      <c r="H35" s="122">
        <f t="shared" si="0"/>
        <v>0</v>
      </c>
      <c r="I35" s="147"/>
      <c r="J35">
        <f>_xlfn.LET(_xlpm.is_DI_dot, IF(IFERROR(MATCH(A35,'Engineering Numbers Ref'!A:A, 0),0)&gt;0, 1, 0), _xlpm.is_DI_tm, IF(IFERROR(MATCH(A35,'Engineering Numbers Ref'!B:B, 0),0)&gt;0, 2, 0), _xlpm.is_TR_dot, IF(IFERROR(MATCH(A35,'Engineering Numbers Ref'!C:C, 0),0)&gt;0,3,0), _xlpm.is_TR_tm, IF(IFERROR(MATCH(A35,'Engineering Numbers Ref'!D:D, 0),0)&gt;0,4,0), _xlpm.is_DI_dot+_xlpm.is_DI_tm+_xlpm.is_TR_dot+_xlpm.is_TR_tm)</f>
        <v>0</v>
      </c>
    </row>
    <row r="36" spans="1:10" x14ac:dyDescent="0.25">
      <c r="A36" s="160"/>
      <c r="B36" s="76" t="str" cm="1">
        <f t="array" ref="B36">_xlfn.LET(_xlpm.DI_name, _xlfn.XLOOKUP(A36, [2]!DOT_Projects[[#All],[Engineering Number]], [2]!DOT_Projects[[#All],[Designer Name]], ""), _xlpm.DI_tm_name, _xlfn.XLOOKUP(A36, [2]!Table7[[#All],[Eng Number]], [2]!Table7[[#All],[Designer Name]], ""), _xlpm.TR_name, _xlfn.XLOOKUP(A36, [1]!CRA_Projects31213[[#All],[Engineering Number]], [1]!CRA_Projects31213[[#All],[KH Project Lead]]), _xlpm.TR_tm_name, _xlfn.XLOOKUP(A36, [1]!CRA_Projects312132[[#All],[Engineering Number]], [1]!CRA_Projects312132[[#All],[Designer Supervisor]]), _xlfn.SWITCH($J36, 1, _xlpm.DI_name, 2, _xlpm.DI_tm_name, 3, _xlpm.TR_name, 4, _xlpm.TR_tm_name, "Number not Found"))</f>
        <v>Number not Found</v>
      </c>
      <c r="C36" s="78" t="str" cm="1">
        <f t="array" ref="C36">_xlfn.LET(_xlpm.DI_town, _xlfn.XLOOKUP(A36, [2]!DOT_Projects[[#All],[Engineering Number]], [2]!DOT_Projects[[#All],[Town]], ""), _xlpm.DI_tm_town, _xlfn.XLOOKUP(A36, [2]!Table7[[#All],[Eng Number]], [2]!Table7[[#All],[Town]], ""), _xlpm.TR_town, _xlfn.XLOOKUP(A36, [1]!CRA_Projects31213[[#All],[Engineering Number]], [1]!CRA_Projects31213[[#All],[Town]]), _xlpm.TR_tm_town, _xlfn.XLOOKUP(A36, [1]!CRA_Projects312132[[#All],[Engineering Number]], [1]!CRA_Projects312132[[#All],[Town]]),_xlfn.SWITCH($J36, 1, _xlpm.DI_town, 2, _xlpm.DI_tm_town, 3, _xlpm.TR_town, 4, _xlpm.TR_tm_town, "Number not Found"))</f>
        <v>Number not Found</v>
      </c>
      <c r="D36" s="96" t="str" cm="1">
        <f t="array" ref="D36">_xlfn.LET(_xlpm.DI_date, _xlfn.XLOOKUP(A36, [2]!DOT_Projects[[#All],[Engineering Number]], [2]!DOT_Projects[[#All],[Engineering Approved Design Date]]), _xlpm.DI_tm_date, _xlfn.XLOOKUP(A36, [2]!Table7[[#All],[Eng Number]], [2]!Table7[[#All],[Target
Release Date]]), _xlpm.TR_date, _xlfn.XLOOKUP(A36, [1]!CRA_Projects31213[[#All],[Engineering Number]], [1]!CRA_Projects31213[[#All],[Engineering Approved Design Date]]), _xlpm.TR_tm_date, _xlfn.XLOOKUP(A36, [1]!CRA_Projects312132[[#All],[Engineering Number]], [1]!CRA_Projects312132[[#All],[Engineering Approved Design Date]]), _xlpm.date_lookup, _xlfn.SWITCH($J36, 1, _xlpm.DI_date, 2, _xlpm.DI_tm_date, 3, _xlpm.TR_date, 4, _xlpm.TR_tm_date, "Number not Found"), IFERROR(IF(DAY(_xlpm.date_lookup)&lt;=15, DATE(YEAR(_xlpm.date_lookup), MONTH(_xlpm.date_lookup), 1), DATE(YEAR(_xlpm.date_lookup), MONTH(_xlpm.date_lookup)+1, 1)), "Number not Found"))</f>
        <v>Number not Found</v>
      </c>
      <c r="E36" s="76"/>
      <c r="F36" s="122"/>
      <c r="G36" s="122"/>
      <c r="H36" s="122">
        <f t="shared" si="0"/>
        <v>0</v>
      </c>
      <c r="I36" s="98"/>
      <c r="J36">
        <f>_xlfn.LET(_xlpm.is_DI_dot, IF(IFERROR(MATCH(A36,'Engineering Numbers Ref'!A:A, 0),0)&gt;0, 1, 0), _xlpm.is_DI_tm, IF(IFERROR(MATCH(A36,'Engineering Numbers Ref'!B:B, 0),0)&gt;0, 2, 0), _xlpm.is_TR_dot, IF(IFERROR(MATCH(A36,'Engineering Numbers Ref'!C:C, 0),0)&gt;0,3,0), _xlpm.is_TR_tm, IF(IFERROR(MATCH(A36,'Engineering Numbers Ref'!D:D, 0),0)&gt;0,4,0), _xlpm.is_DI_dot+_xlpm.is_DI_tm+_xlpm.is_TR_dot+_xlpm.is_TR_tm)</f>
        <v>0</v>
      </c>
    </row>
    <row r="37" spans="1:10" x14ac:dyDescent="0.25">
      <c r="A37" s="160"/>
      <c r="B37" s="76" t="str" cm="1">
        <f t="array" ref="B37">_xlfn.LET(_xlpm.DI_name, _xlfn.XLOOKUP(A37, [2]!DOT_Projects[[#All],[Engineering Number]], [2]!DOT_Projects[[#All],[Designer Name]], ""), _xlpm.DI_tm_name, _xlfn.XLOOKUP(A37, [2]!Table7[[#All],[Eng Number]], [2]!Table7[[#All],[Designer Name]], ""), _xlpm.TR_name, _xlfn.XLOOKUP(A37, [1]!CRA_Projects31213[[#All],[Engineering Number]], [1]!CRA_Projects31213[[#All],[KH Project Lead]]), _xlpm.TR_tm_name, _xlfn.XLOOKUP(A37, [1]!CRA_Projects312132[[#All],[Engineering Number]], [1]!CRA_Projects312132[[#All],[Designer Supervisor]]), _xlfn.SWITCH($J37, 1, _xlpm.DI_name, 2, _xlpm.DI_tm_name, 3, _xlpm.TR_name, 4, _xlpm.TR_tm_name, "Number not Found"))</f>
        <v>Number not Found</v>
      </c>
      <c r="C37" s="78" t="str" cm="1">
        <f t="array" ref="C37">_xlfn.LET(_xlpm.DI_town, _xlfn.XLOOKUP(A37, [2]!DOT_Projects[[#All],[Engineering Number]], [2]!DOT_Projects[[#All],[Town]], ""), _xlpm.DI_tm_town, _xlfn.XLOOKUP(A37, [2]!Table7[[#All],[Eng Number]], [2]!Table7[[#All],[Town]], ""), _xlpm.TR_town, _xlfn.XLOOKUP(A37, [1]!CRA_Projects31213[[#All],[Engineering Number]], [1]!CRA_Projects31213[[#All],[Town]]), _xlpm.TR_tm_town, _xlfn.XLOOKUP(A37, [1]!CRA_Projects312132[[#All],[Engineering Number]], [1]!CRA_Projects312132[[#All],[Town]]),_xlfn.SWITCH($J37, 1, _xlpm.DI_town, 2, _xlpm.DI_tm_town, 3, _xlpm.TR_town, 4, _xlpm.TR_tm_town, "Number not Found"))</f>
        <v>Number not Found</v>
      </c>
      <c r="D37" s="96" t="str" cm="1">
        <f t="array" ref="D37">_xlfn.LET(_xlpm.DI_date, _xlfn.XLOOKUP(A37, [2]!DOT_Projects[[#All],[Engineering Number]], [2]!DOT_Projects[[#All],[Engineering Approved Design Date]]), _xlpm.DI_tm_date, _xlfn.XLOOKUP(A37, [2]!Table7[[#All],[Eng Number]], [2]!Table7[[#All],[Target
Release Date]]), _xlpm.TR_date, _xlfn.XLOOKUP(A37, [1]!CRA_Projects31213[[#All],[Engineering Number]], [1]!CRA_Projects31213[[#All],[Engineering Approved Design Date]]), _xlpm.TR_tm_date, _xlfn.XLOOKUP(A37, [1]!CRA_Projects312132[[#All],[Engineering Number]], [1]!CRA_Projects312132[[#All],[Engineering Approved Design Date]]), _xlpm.date_lookup, _xlfn.SWITCH($J37, 1, _xlpm.DI_date, 2, _xlpm.DI_tm_date, 3, _xlpm.TR_date, 4, _xlpm.TR_tm_date, "Number not Found"), IFERROR(IF(DAY(_xlpm.date_lookup)&lt;=15, DATE(YEAR(_xlpm.date_lookup), MONTH(_xlpm.date_lookup), 1), DATE(YEAR(_xlpm.date_lookup), MONTH(_xlpm.date_lookup)+1, 1)), "Number not Found"))</f>
        <v>Number not Found</v>
      </c>
      <c r="E37" s="76"/>
      <c r="F37" s="122"/>
      <c r="G37" s="122"/>
      <c r="H37" s="122">
        <f t="shared" si="0"/>
        <v>0</v>
      </c>
      <c r="I37" s="98"/>
      <c r="J37">
        <f>_xlfn.LET(_xlpm.is_DI_dot, IF(IFERROR(MATCH(A37,'Engineering Numbers Ref'!A:A, 0),0)&gt;0, 1, 0), _xlpm.is_DI_tm, IF(IFERROR(MATCH(A37,'Engineering Numbers Ref'!B:B, 0),0)&gt;0, 2, 0), _xlpm.is_TR_dot, IF(IFERROR(MATCH(A37,'Engineering Numbers Ref'!C:C, 0),0)&gt;0,3,0), _xlpm.is_TR_tm, IF(IFERROR(MATCH(A37,'Engineering Numbers Ref'!D:D, 0),0)&gt;0,4,0), _xlpm.is_DI_dot+_xlpm.is_DI_tm+_xlpm.is_TR_dot+_xlpm.is_TR_tm)</f>
        <v>0</v>
      </c>
    </row>
    <row r="38" spans="1:10" x14ac:dyDescent="0.25">
      <c r="A38" s="160"/>
      <c r="B38" s="76" t="str" cm="1">
        <f t="array" ref="B38">_xlfn.LET(_xlpm.DI_name, _xlfn.XLOOKUP(A38, [2]!DOT_Projects[[#All],[Engineering Number]], [2]!DOT_Projects[[#All],[Designer Name]], ""), _xlpm.DI_tm_name, _xlfn.XLOOKUP(A38, [2]!Table7[[#All],[Eng Number]], [2]!Table7[[#All],[Designer Name]], ""), _xlpm.TR_name, _xlfn.XLOOKUP(A38, [1]!CRA_Projects31213[[#All],[Engineering Number]], [1]!CRA_Projects31213[[#All],[KH Project Lead]]), _xlpm.TR_tm_name, _xlfn.XLOOKUP(A38, [1]!CRA_Projects312132[[#All],[Engineering Number]], [1]!CRA_Projects312132[[#All],[Designer Supervisor]]), _xlfn.SWITCH($J38, 1, _xlpm.DI_name, 2, _xlpm.DI_tm_name, 3, _xlpm.TR_name, 4, _xlpm.TR_tm_name, "Number not Found"))</f>
        <v>Number not Found</v>
      </c>
      <c r="C38" s="78" t="str" cm="1">
        <f t="array" ref="C38">_xlfn.LET(_xlpm.DI_town, _xlfn.XLOOKUP(A38, [2]!DOT_Projects[[#All],[Engineering Number]], [2]!DOT_Projects[[#All],[Town]], ""), _xlpm.DI_tm_town, _xlfn.XLOOKUP(A38, [2]!Table7[[#All],[Eng Number]], [2]!Table7[[#All],[Town]], ""), _xlpm.TR_town, _xlfn.XLOOKUP(A38, [1]!CRA_Projects31213[[#All],[Engineering Number]], [1]!CRA_Projects31213[[#All],[Town]]), _xlpm.TR_tm_town, _xlfn.XLOOKUP(A38, [1]!CRA_Projects312132[[#All],[Engineering Number]], [1]!CRA_Projects312132[[#All],[Town]]),_xlfn.SWITCH($J38, 1, _xlpm.DI_town, 2, _xlpm.DI_tm_town, 3, _xlpm.TR_town, 4, _xlpm.TR_tm_town, "Number not Found"))</f>
        <v>Number not Found</v>
      </c>
      <c r="D38" s="96" t="str" cm="1">
        <f t="array" ref="D38">_xlfn.LET(_xlpm.DI_date, _xlfn.XLOOKUP(A38, [2]!DOT_Projects[[#All],[Engineering Number]], [2]!DOT_Projects[[#All],[Engineering Approved Design Date]]), _xlpm.DI_tm_date, _xlfn.XLOOKUP(A38, [2]!Table7[[#All],[Eng Number]], [2]!Table7[[#All],[Target
Release Date]]), _xlpm.TR_date, _xlfn.XLOOKUP(A38, [1]!CRA_Projects31213[[#All],[Engineering Number]], [1]!CRA_Projects31213[[#All],[Engineering Approved Design Date]]), _xlpm.TR_tm_date, _xlfn.XLOOKUP(A38, [1]!CRA_Projects312132[[#All],[Engineering Number]], [1]!CRA_Projects312132[[#All],[Engineering Approved Design Date]]), _xlpm.date_lookup, _xlfn.SWITCH($J38, 1, _xlpm.DI_date, 2, _xlpm.DI_tm_date, 3, _xlpm.TR_date, 4, _xlpm.TR_tm_date, "Number not Found"), IFERROR(IF(DAY(_xlpm.date_lookup)&lt;=15, DATE(YEAR(_xlpm.date_lookup), MONTH(_xlpm.date_lookup), 1), DATE(YEAR(_xlpm.date_lookup), MONTH(_xlpm.date_lookup)+1, 1)), "Number not Found"))</f>
        <v>Number not Found</v>
      </c>
      <c r="E38" s="76"/>
      <c r="F38" s="122"/>
      <c r="G38" s="122"/>
      <c r="H38" s="122">
        <f t="shared" si="0"/>
        <v>0</v>
      </c>
      <c r="I38" s="98"/>
      <c r="J38">
        <f>_xlfn.LET(_xlpm.is_DI_dot, IF(IFERROR(MATCH(A38,'Engineering Numbers Ref'!A:A, 0),0)&gt;0, 1, 0), _xlpm.is_DI_tm, IF(IFERROR(MATCH(A38,'Engineering Numbers Ref'!B:B, 0),0)&gt;0, 2, 0), _xlpm.is_TR_dot, IF(IFERROR(MATCH(A38,'Engineering Numbers Ref'!C:C, 0),0)&gt;0,3,0), _xlpm.is_TR_tm, IF(IFERROR(MATCH(A38,'Engineering Numbers Ref'!D:D, 0),0)&gt;0,4,0), _xlpm.is_DI_dot+_xlpm.is_DI_tm+_xlpm.is_TR_dot+_xlpm.is_TR_tm)</f>
        <v>0</v>
      </c>
    </row>
    <row r="39" spans="1:10" x14ac:dyDescent="0.25">
      <c r="A39" s="160"/>
      <c r="B39" s="76" t="str" cm="1">
        <f t="array" ref="B39">_xlfn.LET(_xlpm.DI_name, _xlfn.XLOOKUP(A39, [2]!DOT_Projects[[#All],[Engineering Number]], [2]!DOT_Projects[[#All],[Designer Name]], ""), _xlpm.DI_tm_name, _xlfn.XLOOKUP(A39, [2]!Table7[[#All],[Eng Number]], [2]!Table7[[#All],[Designer Name]], ""), _xlpm.TR_name, _xlfn.XLOOKUP(A39, [1]!CRA_Projects31213[[#All],[Engineering Number]], [1]!CRA_Projects31213[[#All],[KH Project Lead]]), _xlpm.TR_tm_name, _xlfn.XLOOKUP(A39, [1]!CRA_Projects312132[[#All],[Engineering Number]], [1]!CRA_Projects312132[[#All],[Designer Supervisor]]), _xlfn.SWITCH($J39, 1, _xlpm.DI_name, 2, _xlpm.DI_tm_name, 3, _xlpm.TR_name, 4, _xlpm.TR_tm_name, "Number not Found"))</f>
        <v>Number not Found</v>
      </c>
      <c r="C39" s="78" t="str" cm="1">
        <f t="array" ref="C39">_xlfn.LET(_xlpm.DI_town, _xlfn.XLOOKUP(A39, [2]!DOT_Projects[[#All],[Engineering Number]], [2]!DOT_Projects[[#All],[Town]], ""), _xlpm.DI_tm_town, _xlfn.XLOOKUP(A39, [2]!Table7[[#All],[Eng Number]], [2]!Table7[[#All],[Town]], ""), _xlpm.TR_town, _xlfn.XLOOKUP(A39, [1]!CRA_Projects31213[[#All],[Engineering Number]], [1]!CRA_Projects31213[[#All],[Town]]), _xlpm.TR_tm_town, _xlfn.XLOOKUP(A39, [1]!CRA_Projects312132[[#All],[Engineering Number]], [1]!CRA_Projects312132[[#All],[Town]]),_xlfn.SWITCH($J39, 1, _xlpm.DI_town, 2, _xlpm.DI_tm_town, 3, _xlpm.TR_town, 4, _xlpm.TR_tm_town, "Number not Found"))</f>
        <v>Number not Found</v>
      </c>
      <c r="D39" s="96" t="str" cm="1">
        <f t="array" ref="D39">_xlfn.LET(_xlpm.DI_date, _xlfn.XLOOKUP(A39, [2]!DOT_Projects[[#All],[Engineering Number]], [2]!DOT_Projects[[#All],[Engineering Approved Design Date]]), _xlpm.DI_tm_date, _xlfn.XLOOKUP(A39, [2]!Table7[[#All],[Eng Number]], [2]!Table7[[#All],[Target
Release Date]]), _xlpm.TR_date, _xlfn.XLOOKUP(A39, [1]!CRA_Projects31213[[#All],[Engineering Number]], [1]!CRA_Projects31213[[#All],[Engineering Approved Design Date]]), _xlpm.TR_tm_date, _xlfn.XLOOKUP(A39, [1]!CRA_Projects312132[[#All],[Engineering Number]], [1]!CRA_Projects312132[[#All],[Engineering Approved Design Date]]), _xlpm.date_lookup, _xlfn.SWITCH($J39, 1, _xlpm.DI_date, 2, _xlpm.DI_tm_date, 3, _xlpm.TR_date, 4, _xlpm.TR_tm_date, "Number not Found"), IFERROR(IF(DAY(_xlpm.date_lookup)&lt;=15, DATE(YEAR(_xlpm.date_lookup), MONTH(_xlpm.date_lookup), 1), DATE(YEAR(_xlpm.date_lookup), MONTH(_xlpm.date_lookup)+1, 1)), "Number not Found"))</f>
        <v>Number not Found</v>
      </c>
      <c r="E39" s="76"/>
      <c r="F39" s="122"/>
      <c r="G39" s="122"/>
      <c r="H39" s="122">
        <f t="shared" si="0"/>
        <v>0</v>
      </c>
      <c r="I39" s="98"/>
      <c r="J39">
        <f>_xlfn.LET(_xlpm.is_DI_dot, IF(IFERROR(MATCH(A39,'Engineering Numbers Ref'!A:A, 0),0)&gt;0, 1, 0), _xlpm.is_DI_tm, IF(IFERROR(MATCH(A39,'Engineering Numbers Ref'!B:B, 0),0)&gt;0, 2, 0), _xlpm.is_TR_dot, IF(IFERROR(MATCH(A39,'Engineering Numbers Ref'!C:C, 0),0)&gt;0,3,0), _xlpm.is_TR_tm, IF(IFERROR(MATCH(A39,'Engineering Numbers Ref'!D:D, 0),0)&gt;0,4,0), _xlpm.is_DI_dot+_xlpm.is_DI_tm+_xlpm.is_TR_dot+_xlpm.is_TR_tm)</f>
        <v>0</v>
      </c>
    </row>
    <row r="40" spans="1:10" x14ac:dyDescent="0.25">
      <c r="A40" s="160"/>
      <c r="B40" s="76" t="str" cm="1">
        <f t="array" ref="B40">_xlfn.LET(_xlpm.DI_name, _xlfn.XLOOKUP(A40, [2]!DOT_Projects[[#All],[Engineering Number]], [2]!DOT_Projects[[#All],[Designer Name]], ""), _xlpm.DI_tm_name, _xlfn.XLOOKUP(A40, [2]!Table7[[#All],[Eng Number]], [2]!Table7[[#All],[Designer Name]], ""), _xlpm.TR_name, _xlfn.XLOOKUP(A40, [1]!CRA_Projects31213[[#All],[Engineering Number]], [1]!CRA_Projects31213[[#All],[KH Project Lead]]), _xlpm.TR_tm_name, _xlfn.XLOOKUP(A40, [1]!CRA_Projects312132[[#All],[Engineering Number]], [1]!CRA_Projects312132[[#All],[Designer Supervisor]]), _xlfn.SWITCH($J40, 1, _xlpm.DI_name, 2, _xlpm.DI_tm_name, 3, _xlpm.TR_name, 4, _xlpm.TR_tm_name, "Number not Found"))</f>
        <v>Number not Found</v>
      </c>
      <c r="C40" s="78" t="str" cm="1">
        <f t="array" ref="C40">_xlfn.LET(_xlpm.DI_town, _xlfn.XLOOKUP(A40, [2]!DOT_Projects[[#All],[Engineering Number]], [2]!DOT_Projects[[#All],[Town]], ""), _xlpm.DI_tm_town, _xlfn.XLOOKUP(A40, [2]!Table7[[#All],[Eng Number]], [2]!Table7[[#All],[Town]], ""), _xlpm.TR_town, _xlfn.XLOOKUP(A40, [1]!CRA_Projects31213[[#All],[Engineering Number]], [1]!CRA_Projects31213[[#All],[Town]]), _xlpm.TR_tm_town, _xlfn.XLOOKUP(A40, [1]!CRA_Projects312132[[#All],[Engineering Number]], [1]!CRA_Projects312132[[#All],[Town]]),_xlfn.SWITCH($J40, 1, _xlpm.DI_town, 2, _xlpm.DI_tm_town, 3, _xlpm.TR_town, 4, _xlpm.TR_tm_town, "Number not Found"))</f>
        <v>Number not Found</v>
      </c>
      <c r="D40" s="96" t="str" cm="1">
        <f t="array" ref="D40">_xlfn.LET(_xlpm.DI_date, _xlfn.XLOOKUP(A40, [2]!DOT_Projects[[#All],[Engineering Number]], [2]!DOT_Projects[[#All],[Engineering Approved Design Date]]), _xlpm.DI_tm_date, _xlfn.XLOOKUP(A40, [2]!Table7[[#All],[Eng Number]], [2]!Table7[[#All],[Target
Release Date]]), _xlpm.TR_date, _xlfn.XLOOKUP(A40, [1]!CRA_Projects31213[[#All],[Engineering Number]], [1]!CRA_Projects31213[[#All],[Engineering Approved Design Date]]), _xlpm.TR_tm_date, _xlfn.XLOOKUP(A40, [1]!CRA_Projects312132[[#All],[Engineering Number]], [1]!CRA_Projects312132[[#All],[Engineering Approved Design Date]]), _xlpm.date_lookup, _xlfn.SWITCH($J40, 1, _xlpm.DI_date, 2, _xlpm.DI_tm_date, 3, _xlpm.TR_date, 4, _xlpm.TR_tm_date, "Number not Found"), IFERROR(IF(DAY(_xlpm.date_lookup)&lt;=15, DATE(YEAR(_xlpm.date_lookup), MONTH(_xlpm.date_lookup), 1), DATE(YEAR(_xlpm.date_lookup), MONTH(_xlpm.date_lookup)+1, 1)), "Number not Found"))</f>
        <v>Number not Found</v>
      </c>
      <c r="E40" s="76"/>
      <c r="F40" s="122"/>
      <c r="G40" s="122"/>
      <c r="H40" s="122">
        <f t="shared" si="0"/>
        <v>0</v>
      </c>
      <c r="I40" s="98"/>
      <c r="J40">
        <f>_xlfn.LET(_xlpm.is_DI_dot, IF(IFERROR(MATCH(A40,'Engineering Numbers Ref'!A:A, 0),0)&gt;0, 1, 0), _xlpm.is_DI_tm, IF(IFERROR(MATCH(A40,'Engineering Numbers Ref'!B:B, 0),0)&gt;0, 2, 0), _xlpm.is_TR_dot, IF(IFERROR(MATCH(A40,'Engineering Numbers Ref'!C:C, 0),0)&gt;0,3,0), _xlpm.is_TR_tm, IF(IFERROR(MATCH(A40,'Engineering Numbers Ref'!D:D, 0),0)&gt;0,4,0), _xlpm.is_DI_dot+_xlpm.is_DI_tm+_xlpm.is_TR_dot+_xlpm.is_TR_tm)</f>
        <v>0</v>
      </c>
    </row>
    <row r="41" spans="1:10" x14ac:dyDescent="0.25">
      <c r="A41" s="160"/>
      <c r="B41" s="76" t="str" cm="1">
        <f t="array" ref="B41">_xlfn.LET(_xlpm.DI_name, _xlfn.XLOOKUP(A41, [2]!DOT_Projects[[#All],[Engineering Number]], [2]!DOT_Projects[[#All],[Designer Name]], ""), _xlpm.DI_tm_name, _xlfn.XLOOKUP(A41, [2]!Table7[[#All],[Eng Number]], [2]!Table7[[#All],[Designer Name]], ""), _xlpm.TR_name, _xlfn.XLOOKUP(A41, [1]!CRA_Projects31213[[#All],[Engineering Number]], [1]!CRA_Projects31213[[#All],[KH Project Lead]]), _xlpm.TR_tm_name, _xlfn.XLOOKUP(A41, [1]!CRA_Projects312132[[#All],[Engineering Number]], [1]!CRA_Projects312132[[#All],[Designer Supervisor]]), _xlfn.SWITCH($J41, 1, _xlpm.DI_name, 2, _xlpm.DI_tm_name, 3, _xlpm.TR_name, 4, _xlpm.TR_tm_name, "Number not Found"))</f>
        <v>Number not Found</v>
      </c>
      <c r="C41" s="78" t="str" cm="1">
        <f t="array" ref="C41">_xlfn.LET(_xlpm.DI_town, _xlfn.XLOOKUP(A41, [2]!DOT_Projects[[#All],[Engineering Number]], [2]!DOT_Projects[[#All],[Town]], ""), _xlpm.DI_tm_town, _xlfn.XLOOKUP(A41, [2]!Table7[[#All],[Eng Number]], [2]!Table7[[#All],[Town]], ""), _xlpm.TR_town, _xlfn.XLOOKUP(A41, [1]!CRA_Projects31213[[#All],[Engineering Number]], [1]!CRA_Projects31213[[#All],[Town]]), _xlpm.TR_tm_town, _xlfn.XLOOKUP(A41, [1]!CRA_Projects312132[[#All],[Engineering Number]], [1]!CRA_Projects312132[[#All],[Town]]),_xlfn.SWITCH($J41, 1, _xlpm.DI_town, 2, _xlpm.DI_tm_town, 3, _xlpm.TR_town, 4, _xlpm.TR_tm_town, "Number not Found"))</f>
        <v>Number not Found</v>
      </c>
      <c r="D41" s="96" t="str" cm="1">
        <f t="array" ref="D41">_xlfn.LET(_xlpm.DI_date, _xlfn.XLOOKUP(A41, [2]!DOT_Projects[[#All],[Engineering Number]], [2]!DOT_Projects[[#All],[Engineering Approved Design Date]]), _xlpm.DI_tm_date, _xlfn.XLOOKUP(A41, [2]!Table7[[#All],[Eng Number]], [2]!Table7[[#All],[Target
Release Date]]), _xlpm.TR_date, _xlfn.XLOOKUP(A41, [1]!CRA_Projects31213[[#All],[Engineering Number]], [1]!CRA_Projects31213[[#All],[Engineering Approved Design Date]]), _xlpm.TR_tm_date, _xlfn.XLOOKUP(A41, [1]!CRA_Projects312132[[#All],[Engineering Number]], [1]!CRA_Projects312132[[#All],[Engineering Approved Design Date]]), _xlpm.date_lookup, _xlfn.SWITCH($J41, 1, _xlpm.DI_date, 2, _xlpm.DI_tm_date, 3, _xlpm.TR_date, 4, _xlpm.TR_tm_date, "Number not Found"), IFERROR(IF(DAY(_xlpm.date_lookup)&lt;=15, DATE(YEAR(_xlpm.date_lookup), MONTH(_xlpm.date_lookup), 1), DATE(YEAR(_xlpm.date_lookup), MONTH(_xlpm.date_lookup)+1, 1)), "Number not Found"))</f>
        <v>Number not Found</v>
      </c>
      <c r="E41" s="76"/>
      <c r="F41" s="122"/>
      <c r="G41" s="122"/>
      <c r="H41" s="122">
        <f t="shared" si="0"/>
        <v>0</v>
      </c>
      <c r="I41" s="147"/>
      <c r="J41">
        <f>_xlfn.LET(_xlpm.is_DI_dot, IF(IFERROR(MATCH(A41,'Engineering Numbers Ref'!A:A, 0),0)&gt;0, 1, 0), _xlpm.is_DI_tm, IF(IFERROR(MATCH(A41,'Engineering Numbers Ref'!B:B, 0),0)&gt;0, 2, 0), _xlpm.is_TR_dot, IF(IFERROR(MATCH(A41,'Engineering Numbers Ref'!C:C, 0),0)&gt;0,3,0), _xlpm.is_TR_tm, IF(IFERROR(MATCH(A41,'Engineering Numbers Ref'!D:D, 0),0)&gt;0,4,0), _xlpm.is_DI_dot+_xlpm.is_DI_tm+_xlpm.is_TR_dot+_xlpm.is_TR_tm)</f>
        <v>0</v>
      </c>
    </row>
    <row r="42" spans="1:10" x14ac:dyDescent="0.25">
      <c r="A42" s="160"/>
      <c r="B42" s="76" t="str" cm="1">
        <f t="array" ref="B42">_xlfn.LET(_xlpm.DI_name, _xlfn.XLOOKUP(A42, [2]!DOT_Projects[[#All],[Engineering Number]], [2]!DOT_Projects[[#All],[Designer Name]], ""), _xlpm.DI_tm_name, _xlfn.XLOOKUP(A42, [2]!Table7[[#All],[Eng Number]], [2]!Table7[[#All],[Designer Name]], ""), _xlpm.TR_name, _xlfn.XLOOKUP(A42, [1]!CRA_Projects31213[[#All],[Engineering Number]], [1]!CRA_Projects31213[[#All],[KH Project Lead]]), _xlpm.TR_tm_name, _xlfn.XLOOKUP(A42, [1]!CRA_Projects312132[[#All],[Engineering Number]], [1]!CRA_Projects312132[[#All],[Designer Supervisor]]), _xlfn.SWITCH($J42, 1, _xlpm.DI_name, 2, _xlpm.DI_tm_name, 3, _xlpm.TR_name, 4, _xlpm.TR_tm_name, "Number not Found"))</f>
        <v>Number not Found</v>
      </c>
      <c r="C42" s="78" t="str" cm="1">
        <f t="array" ref="C42">_xlfn.LET(_xlpm.DI_town, _xlfn.XLOOKUP(A42, [2]!DOT_Projects[[#All],[Engineering Number]], [2]!DOT_Projects[[#All],[Town]], ""), _xlpm.DI_tm_town, _xlfn.XLOOKUP(A42, [2]!Table7[[#All],[Eng Number]], [2]!Table7[[#All],[Town]], ""), _xlpm.TR_town, _xlfn.XLOOKUP(A42, [1]!CRA_Projects31213[[#All],[Engineering Number]], [1]!CRA_Projects31213[[#All],[Town]]), _xlpm.TR_tm_town, _xlfn.XLOOKUP(A42, [1]!CRA_Projects312132[[#All],[Engineering Number]], [1]!CRA_Projects312132[[#All],[Town]]),_xlfn.SWITCH($J42, 1, _xlpm.DI_town, 2, _xlpm.DI_tm_town, 3, _xlpm.TR_town, 4, _xlpm.TR_tm_town, "Number not Found"))</f>
        <v>Number not Found</v>
      </c>
      <c r="D42" s="96" t="str" cm="1">
        <f t="array" ref="D42">_xlfn.LET(_xlpm.DI_date, _xlfn.XLOOKUP(A42, [2]!DOT_Projects[[#All],[Engineering Number]], [2]!DOT_Projects[[#All],[Engineering Approved Design Date]]), _xlpm.DI_tm_date, _xlfn.XLOOKUP(A42, [2]!Table7[[#All],[Eng Number]], [2]!Table7[[#All],[Target
Release Date]]), _xlpm.TR_date, _xlfn.XLOOKUP(A42, [1]!CRA_Projects31213[[#All],[Engineering Number]], [1]!CRA_Projects31213[[#All],[Engineering Approved Design Date]]), _xlpm.TR_tm_date, _xlfn.XLOOKUP(A42, [1]!CRA_Projects312132[[#All],[Engineering Number]], [1]!CRA_Projects312132[[#All],[Engineering Approved Design Date]]), _xlpm.date_lookup, _xlfn.SWITCH($J42, 1, _xlpm.DI_date, 2, _xlpm.DI_tm_date, 3, _xlpm.TR_date, 4, _xlpm.TR_tm_date, "Number not Found"), IFERROR(IF(DAY(_xlpm.date_lookup)&lt;=15, DATE(YEAR(_xlpm.date_lookup), MONTH(_xlpm.date_lookup), 1), DATE(YEAR(_xlpm.date_lookup), MONTH(_xlpm.date_lookup)+1, 1)), "Number not Found"))</f>
        <v>Number not Found</v>
      </c>
      <c r="E42" s="76"/>
      <c r="F42" s="122"/>
      <c r="G42" s="122"/>
      <c r="H42" s="122">
        <f t="shared" si="0"/>
        <v>0</v>
      </c>
      <c r="I42" s="98"/>
      <c r="J42">
        <f>_xlfn.LET(_xlpm.is_DI_dot, IF(IFERROR(MATCH(A42,'Engineering Numbers Ref'!A:A, 0),0)&gt;0, 1, 0), _xlpm.is_DI_tm, IF(IFERROR(MATCH(A42,'Engineering Numbers Ref'!B:B, 0),0)&gt;0, 2, 0), _xlpm.is_TR_dot, IF(IFERROR(MATCH(A42,'Engineering Numbers Ref'!C:C, 0),0)&gt;0,3,0), _xlpm.is_TR_tm, IF(IFERROR(MATCH(A42,'Engineering Numbers Ref'!D:D, 0),0)&gt;0,4,0), _xlpm.is_DI_dot+_xlpm.is_DI_tm+_xlpm.is_TR_dot+_xlpm.is_TR_tm)</f>
        <v>0</v>
      </c>
    </row>
    <row r="43" spans="1:10" x14ac:dyDescent="0.25">
      <c r="A43" s="160"/>
      <c r="B43" s="76" t="str" cm="1">
        <f t="array" ref="B43">_xlfn.LET(_xlpm.DI_name, _xlfn.XLOOKUP(A43, [2]!DOT_Projects[[#All],[Engineering Number]], [2]!DOT_Projects[[#All],[Designer Name]], ""), _xlpm.DI_tm_name, _xlfn.XLOOKUP(A43, [2]!Table7[[#All],[Eng Number]], [2]!Table7[[#All],[Designer Name]], ""), _xlpm.TR_name, _xlfn.XLOOKUP(A43, [1]!CRA_Projects31213[[#All],[Engineering Number]], [1]!CRA_Projects31213[[#All],[KH Project Lead]]), _xlpm.TR_tm_name, _xlfn.XLOOKUP(A43, [1]!CRA_Projects312132[[#All],[Engineering Number]], [1]!CRA_Projects312132[[#All],[Designer Supervisor]]), _xlfn.SWITCH($J43, 1, _xlpm.DI_name, 2, _xlpm.DI_tm_name, 3, _xlpm.TR_name, 4, _xlpm.TR_tm_name, "Number not Found"))</f>
        <v>Number not Found</v>
      </c>
      <c r="C43" s="78" t="str" cm="1">
        <f t="array" ref="C43">_xlfn.LET(_xlpm.DI_town, _xlfn.XLOOKUP(A43, [2]!DOT_Projects[[#All],[Engineering Number]], [2]!DOT_Projects[[#All],[Town]], ""), _xlpm.DI_tm_town, _xlfn.XLOOKUP(A43, [2]!Table7[[#All],[Eng Number]], [2]!Table7[[#All],[Town]], ""), _xlpm.TR_town, _xlfn.XLOOKUP(A43, [1]!CRA_Projects31213[[#All],[Engineering Number]], [1]!CRA_Projects31213[[#All],[Town]]), _xlpm.TR_tm_town, _xlfn.XLOOKUP(A43, [1]!CRA_Projects312132[[#All],[Engineering Number]], [1]!CRA_Projects312132[[#All],[Town]]),_xlfn.SWITCH($J43, 1, _xlpm.DI_town, 2, _xlpm.DI_tm_town, 3, _xlpm.TR_town, 4, _xlpm.TR_tm_town, "Number not Found"))</f>
        <v>Number not Found</v>
      </c>
      <c r="D43" s="96" t="str" cm="1">
        <f t="array" ref="D43">_xlfn.LET(_xlpm.DI_date, _xlfn.XLOOKUP(A43, [2]!DOT_Projects[[#All],[Engineering Number]], [2]!DOT_Projects[[#All],[Engineering Approved Design Date]]), _xlpm.DI_tm_date, _xlfn.XLOOKUP(A43, [2]!Table7[[#All],[Eng Number]], [2]!Table7[[#All],[Target
Release Date]]), _xlpm.TR_date, _xlfn.XLOOKUP(A43, [1]!CRA_Projects31213[[#All],[Engineering Number]], [1]!CRA_Projects31213[[#All],[Engineering Approved Design Date]]), _xlpm.TR_tm_date, _xlfn.XLOOKUP(A43, [1]!CRA_Projects312132[[#All],[Engineering Number]], [1]!CRA_Projects312132[[#All],[Engineering Approved Design Date]]), _xlpm.date_lookup, _xlfn.SWITCH($J43, 1, _xlpm.DI_date, 2, _xlpm.DI_tm_date, 3, _xlpm.TR_date, 4, _xlpm.TR_tm_date, "Number not Found"), IFERROR(IF(DAY(_xlpm.date_lookup)&lt;=15, DATE(YEAR(_xlpm.date_lookup), MONTH(_xlpm.date_lookup), 1), DATE(YEAR(_xlpm.date_lookup), MONTH(_xlpm.date_lookup)+1, 1)), "Number not Found"))</f>
        <v>Number not Found</v>
      </c>
      <c r="E43" s="76"/>
      <c r="F43" s="122"/>
      <c r="G43" s="122"/>
      <c r="H43" s="122">
        <f t="shared" ref="H43:H44" si="1">F43-G43</f>
        <v>0</v>
      </c>
      <c r="I43" s="98"/>
      <c r="J43">
        <f>_xlfn.LET(_xlpm.is_DI_dot, IF(IFERROR(MATCH(A43,'Engineering Numbers Ref'!A:A, 0),0)&gt;0, 1, 0), _xlpm.is_DI_tm, IF(IFERROR(MATCH(A43,'Engineering Numbers Ref'!B:B, 0),0)&gt;0, 2, 0), _xlpm.is_TR_dot, IF(IFERROR(MATCH(A43,'Engineering Numbers Ref'!C:C, 0),0)&gt;0,3,0), _xlpm.is_TR_tm, IF(IFERROR(MATCH(A43,'Engineering Numbers Ref'!D:D, 0),0)&gt;0,4,0), _xlpm.is_DI_dot+_xlpm.is_DI_tm+_xlpm.is_TR_dot+_xlpm.is_TR_tm)</f>
        <v>0</v>
      </c>
    </row>
    <row r="44" spans="1:10" x14ac:dyDescent="0.25">
      <c r="A44" s="160"/>
      <c r="B44" s="76" t="str" cm="1">
        <f t="array" ref="B44">_xlfn.LET(_xlpm.DI_name, _xlfn.XLOOKUP(A44, [2]!DOT_Projects[[#All],[Engineering Number]], [2]!DOT_Projects[[#All],[Designer Name]], ""), _xlpm.DI_tm_name, _xlfn.XLOOKUP(A44, [2]!Table7[[#All],[Eng Number]], [2]!Table7[[#All],[Designer Name]], ""), _xlpm.TR_name, _xlfn.XLOOKUP(A44, [1]!CRA_Projects31213[[#All],[Engineering Number]], [1]!CRA_Projects31213[[#All],[KH Project Lead]]), _xlpm.TR_tm_name, _xlfn.XLOOKUP(A44, [1]!CRA_Projects312132[[#All],[Engineering Number]], [1]!CRA_Projects312132[[#All],[Designer Supervisor]]), _xlfn.SWITCH($J44, 1, _xlpm.DI_name, 2, _xlpm.DI_tm_name, 3, _xlpm.TR_name, 4, _xlpm.TR_tm_name, "Number not Found"))</f>
        <v>Number not Found</v>
      </c>
      <c r="C44" s="78" t="str" cm="1">
        <f t="array" ref="C44">_xlfn.LET(_xlpm.DI_town, _xlfn.XLOOKUP(A44, [2]!DOT_Projects[[#All],[Engineering Number]], [2]!DOT_Projects[[#All],[Town]], ""), _xlpm.DI_tm_town, _xlfn.XLOOKUP(A44, [2]!Table7[[#All],[Eng Number]], [2]!Table7[[#All],[Town]], ""), _xlpm.TR_town, _xlfn.XLOOKUP(A44, [1]!CRA_Projects31213[[#All],[Engineering Number]], [1]!CRA_Projects31213[[#All],[Town]]), _xlpm.TR_tm_town, _xlfn.XLOOKUP(A44, [1]!CRA_Projects312132[[#All],[Engineering Number]], [1]!CRA_Projects312132[[#All],[Town]]),_xlfn.SWITCH($J44, 1, _xlpm.DI_town, 2, _xlpm.DI_tm_town, 3, _xlpm.TR_town, 4, _xlpm.TR_tm_town, "Number not Found"))</f>
        <v>Number not Found</v>
      </c>
      <c r="D44" s="96" t="str" cm="1">
        <f t="array" ref="D44">_xlfn.LET(_xlpm.DI_date, _xlfn.XLOOKUP(A44, [2]!DOT_Projects[[#All],[Engineering Number]], [2]!DOT_Projects[[#All],[Engineering Approved Design Date]]), _xlpm.DI_tm_date, _xlfn.XLOOKUP(A44, [2]!Table7[[#All],[Eng Number]], [2]!Table7[[#All],[Target
Release Date]]), _xlpm.TR_date, _xlfn.XLOOKUP(A44, [1]!CRA_Projects31213[[#All],[Engineering Number]], [1]!CRA_Projects31213[[#All],[Engineering Approved Design Date]]), _xlpm.TR_tm_date, _xlfn.XLOOKUP(A44, [1]!CRA_Projects312132[[#All],[Engineering Number]], [1]!CRA_Projects312132[[#All],[Engineering Approved Design Date]]), _xlpm.date_lookup, _xlfn.SWITCH($J44, 1, _xlpm.DI_date, 2, _xlpm.DI_tm_date, 3, _xlpm.TR_date, 4, _xlpm.TR_tm_date, "Number not Found"), IFERROR(IF(DAY(_xlpm.date_lookup)&lt;=15, DATE(YEAR(_xlpm.date_lookup), MONTH(_xlpm.date_lookup), 1), DATE(YEAR(_xlpm.date_lookup), MONTH(_xlpm.date_lookup)+1, 1)), "Number not Found"))</f>
        <v>Number not Found</v>
      </c>
      <c r="E44" s="76"/>
      <c r="F44" s="122"/>
      <c r="G44" s="122"/>
      <c r="H44" s="122">
        <f t="shared" si="1"/>
        <v>0</v>
      </c>
      <c r="I44" s="98"/>
      <c r="J44">
        <f>_xlfn.LET(_xlpm.is_DI_dot, IF(IFERROR(MATCH(A44,'Engineering Numbers Ref'!A:A, 0),0)&gt;0, 1, 0), _xlpm.is_DI_tm, IF(IFERROR(MATCH(A44,'Engineering Numbers Ref'!B:B, 0),0)&gt;0, 2, 0), _xlpm.is_TR_dot, IF(IFERROR(MATCH(A44,'Engineering Numbers Ref'!C:C, 0),0)&gt;0,3,0), _xlpm.is_TR_tm, IF(IFERROR(MATCH(A44,'Engineering Numbers Ref'!D:D, 0),0)&gt;0,4,0), _xlpm.is_DI_dot+_xlpm.is_DI_tm+_xlpm.is_TR_dot+_xlpm.is_TR_tm)</f>
        <v>0</v>
      </c>
    </row>
    <row r="45" spans="1:10" x14ac:dyDescent="0.25">
      <c r="A45"/>
      <c r="G45" s="122"/>
    </row>
    <row r="46" spans="1:10" x14ac:dyDescent="0.25">
      <c r="A46"/>
    </row>
    <row r="47" spans="1:10" x14ac:dyDescent="0.25">
      <c r="A47"/>
    </row>
    <row r="48" spans="1:10" x14ac:dyDescent="0.25">
      <c r="A48"/>
    </row>
    <row r="49" spans="1:4" x14ac:dyDescent="0.25">
      <c r="A49"/>
    </row>
    <row r="50" spans="1:4" x14ac:dyDescent="0.25">
      <c r="A50"/>
    </row>
    <row r="51" spans="1:4" x14ac:dyDescent="0.25">
      <c r="A51"/>
    </row>
    <row r="52" spans="1:4" x14ac:dyDescent="0.25">
      <c r="A52"/>
    </row>
    <row r="53" spans="1:4" x14ac:dyDescent="0.25">
      <c r="A53"/>
    </row>
    <row r="54" spans="1:4" x14ac:dyDescent="0.25">
      <c r="A54" s="132"/>
      <c r="B54" s="133"/>
      <c r="C54" s="133"/>
      <c r="D54" s="134"/>
    </row>
    <row r="55" spans="1:4" x14ac:dyDescent="0.25">
      <c r="A55" s="135"/>
      <c r="B55" s="34"/>
      <c r="C55" s="34"/>
      <c r="D55" s="34"/>
    </row>
    <row r="56" spans="1:4" x14ac:dyDescent="0.25">
      <c r="A56" s="135"/>
      <c r="B56" s="34"/>
      <c r="C56" s="34"/>
      <c r="D56" s="34"/>
    </row>
    <row r="57" spans="1:4" x14ac:dyDescent="0.25">
      <c r="A57" s="135"/>
      <c r="B57" s="34"/>
      <c r="C57" s="34"/>
      <c r="D57" s="34"/>
    </row>
    <row r="58" spans="1:4" x14ac:dyDescent="0.25">
      <c r="A58" s="135"/>
      <c r="B58" s="34"/>
      <c r="C58" s="34"/>
      <c r="D58" s="34"/>
    </row>
    <row r="59" spans="1:4" x14ac:dyDescent="0.25">
      <c r="A59" s="146"/>
      <c r="B59" s="34"/>
      <c r="C59" s="34"/>
      <c r="D59" s="34"/>
    </row>
    <row r="60" spans="1:4" x14ac:dyDescent="0.25">
      <c r="A60" s="146"/>
      <c r="B60" s="34"/>
      <c r="C60" s="34"/>
      <c r="D60" s="34"/>
    </row>
  </sheetData>
  <autoFilter ref="A1:J49" xr:uid="{87267334-FB0F-4B5C-9926-8B490E0A53C3}">
    <sortState xmlns:xlrd2="http://schemas.microsoft.com/office/spreadsheetml/2017/richdata2" ref="A2:J45">
      <sortCondition ref="E1:E45"/>
    </sortState>
  </autoFilter>
  <conditionalFormatting sqref="B2:I44 G45">
    <cfRule type="expression" dxfId="0" priority="1">
      <formula>_xlfn.ISFORMULA(B2)</formula>
    </cfRule>
  </conditionalFormatting>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4A8D2-33F2-48E7-9E1D-ADE824D3D8CF}">
  <sheetPr codeName="Sheet19">
    <tabColor theme="1"/>
  </sheetPr>
  <dimension ref="A1:D36"/>
  <sheetViews>
    <sheetView workbookViewId="0"/>
  </sheetViews>
  <sheetFormatPr defaultRowHeight="15" x14ac:dyDescent="0.25"/>
  <cols>
    <col min="1" max="1" width="32.85546875" customWidth="1"/>
    <col min="2" max="2" width="29.28515625" customWidth="1"/>
    <col min="3" max="3" width="38.85546875" customWidth="1"/>
    <col min="4" max="4" width="27.28515625" customWidth="1"/>
  </cols>
  <sheetData>
    <row r="1" spans="1:4" x14ac:dyDescent="0.25">
      <c r="A1" t="s">
        <v>388</v>
      </c>
    </row>
    <row r="3" spans="1:4" x14ac:dyDescent="0.25">
      <c r="A3">
        <v>1</v>
      </c>
      <c r="B3">
        <v>2</v>
      </c>
      <c r="C3">
        <v>3</v>
      </c>
      <c r="D3">
        <v>4</v>
      </c>
    </row>
    <row r="4" spans="1:4" x14ac:dyDescent="0.25">
      <c r="A4" t="s">
        <v>389</v>
      </c>
      <c r="B4" t="s">
        <v>390</v>
      </c>
      <c r="C4" t="s">
        <v>391</v>
      </c>
      <c r="D4" t="s">
        <v>392</v>
      </c>
    </row>
    <row r="5" spans="1:4" x14ac:dyDescent="0.25">
      <c r="A5" t="str" cm="1">
        <f t="array" ref="A5:A36">_xlfn.UNIQUE([2]!DOT_Projects[[#All],[Engineering Number]])</f>
        <v>Engineering Number</v>
      </c>
      <c r="B5" t="str" cm="1">
        <f t="array" ref="B5:B24">_xlfn.UNIQUE([2]!Table7[[#All],[Eng Number]])</f>
        <v>Eng Number</v>
      </c>
      <c r="C5" t="str" cm="1">
        <f t="array" ref="C5:C17">_xlfn.UNIQUE([1]!CRA_Projects31213[[#All],[Engineering Number]])</f>
        <v>Engineering Number</v>
      </c>
      <c r="D5" t="str" cm="1">
        <f t="array" ref="D5:D8">_xlfn.UNIQUE([1]!CRA_Projects312132[[#All],[Engineering Number]])</f>
        <v>Engineering Number</v>
      </c>
    </row>
    <row r="6" spans="1:4" x14ac:dyDescent="0.25">
      <c r="A6" t="str">
        <v>SC24323</v>
      </c>
      <c r="B6" t="str">
        <v>COR1059-2/-3</v>
      </c>
      <c r="C6" t="str">
        <v>SC25259-T</v>
      </c>
      <c r="D6" t="str">
        <v>TP645B</v>
      </c>
    </row>
    <row r="7" spans="1:4" x14ac:dyDescent="0.25">
      <c r="A7" t="str">
        <v>SC25268</v>
      </c>
      <c r="B7" t="str">
        <v>COR1060</v>
      </c>
      <c r="C7" t="str">
        <v>SC24452-T</v>
      </c>
      <c r="D7" t="str">
        <v>TC571</v>
      </c>
    </row>
    <row r="8" spans="1:4" x14ac:dyDescent="0.25">
      <c r="A8" t="str">
        <v>N14644</v>
      </c>
      <c r="B8" t="str">
        <v>COR1073</v>
      </c>
      <c r="C8" t="str">
        <v>N18293-T</v>
      </c>
      <c r="D8" t="str">
        <v>BS520</v>
      </c>
    </row>
    <row r="9" spans="1:4" x14ac:dyDescent="0.25">
      <c r="A9" t="str">
        <v>SC25957</v>
      </c>
      <c r="B9" t="str">
        <v>BS550-1</v>
      </c>
      <c r="C9" t="str">
        <v>N19216-T</v>
      </c>
    </row>
    <row r="10" spans="1:4" x14ac:dyDescent="0.25">
      <c r="A10" t="str">
        <v>N17936</v>
      </c>
      <c r="B10" t="str">
        <v>BS388</v>
      </c>
      <c r="C10" t="str">
        <v>SC25895-T</v>
      </c>
    </row>
    <row r="11" spans="1:4" x14ac:dyDescent="0.25">
      <c r="A11" t="str">
        <v>M12594</v>
      </c>
      <c r="B11" t="str">
        <v>BS588</v>
      </c>
      <c r="C11" t="str">
        <v>N20162-T</v>
      </c>
    </row>
    <row r="12" spans="1:4" x14ac:dyDescent="0.25">
      <c r="A12" t="str">
        <v>SC25745</v>
      </c>
      <c r="B12" t="str">
        <v>MR1926</v>
      </c>
      <c r="C12" t="str">
        <v>SC26684-T</v>
      </c>
    </row>
    <row r="13" spans="1:4" x14ac:dyDescent="0.25">
      <c r="A13" t="str">
        <v>N19472</v>
      </c>
      <c r="B13" t="str">
        <v>VW50</v>
      </c>
      <c r="C13" t="str">
        <v>SC25811-T</v>
      </c>
    </row>
    <row r="14" spans="1:4" x14ac:dyDescent="0.25">
      <c r="A14" t="str">
        <v>N17925</v>
      </c>
      <c r="B14" t="str">
        <v>MR1913</v>
      </c>
      <c r="C14" t="str">
        <v>SC23843-T</v>
      </c>
    </row>
    <row r="15" spans="1:4" x14ac:dyDescent="0.25">
      <c r="A15" t="str">
        <v>SC26438</v>
      </c>
      <c r="B15" t="str">
        <v>SC18611-1</v>
      </c>
      <c r="C15" t="str">
        <v>M16521-T</v>
      </c>
    </row>
    <row r="16" spans="1:4" x14ac:dyDescent="0.25">
      <c r="A16" t="str">
        <v>SC25188</v>
      </c>
      <c r="B16" t="str">
        <v>N19472</v>
      </c>
      <c r="C16" t="str">
        <v>N19953-T</v>
      </c>
    </row>
    <row r="17" spans="1:3" x14ac:dyDescent="0.25">
      <c r="A17" t="str">
        <v>SC25188-1</v>
      </c>
      <c r="B17" t="str">
        <v>NBA10015039</v>
      </c>
      <c r="C17" t="str">
        <v>M15242-T</v>
      </c>
    </row>
    <row r="18" spans="1:3" x14ac:dyDescent="0.25">
      <c r="A18" t="str">
        <v>SC23981</v>
      </c>
      <c r="B18" t="str">
        <v>RS988</v>
      </c>
    </row>
    <row r="19" spans="1:3" x14ac:dyDescent="0.25">
      <c r="A19" t="str">
        <v>SC26238</v>
      </c>
      <c r="B19" t="str">
        <v>-</v>
      </c>
    </row>
    <row r="20" spans="1:3" x14ac:dyDescent="0.25">
      <c r="A20" t="str">
        <v>M15984</v>
      </c>
      <c r="B20" t="str">
        <v>RS1218</v>
      </c>
    </row>
    <row r="21" spans="1:3" x14ac:dyDescent="0.25">
      <c r="A21" t="str">
        <v>M16521</v>
      </c>
      <c r="B21" t="str">
        <v>N14359-1</v>
      </c>
    </row>
    <row r="22" spans="1:3" x14ac:dyDescent="0.25">
      <c r="A22" t="str">
        <v>N19953-1</v>
      </c>
      <c r="B22" t="str">
        <v>RS939</v>
      </c>
    </row>
    <row r="23" spans="1:3" x14ac:dyDescent="0.25">
      <c r="A23" t="str">
        <v>N19953</v>
      </c>
      <c r="B23" t="str">
        <v>NBA10013465</v>
      </c>
    </row>
    <row r="24" spans="1:3" x14ac:dyDescent="0.25">
      <c r="A24" t="str">
        <v>N20224</v>
      </c>
      <c r="B24" t="str">
        <v>RS1213</v>
      </c>
    </row>
    <row r="25" spans="1:3" x14ac:dyDescent="0.25">
      <c r="A25" t="str">
        <v>SC20310</v>
      </c>
    </row>
    <row r="26" spans="1:3" x14ac:dyDescent="0.25">
      <c r="A26" t="str">
        <v>N17141</v>
      </c>
    </row>
    <row r="27" spans="1:3" x14ac:dyDescent="0.25">
      <c r="A27" t="str">
        <v>N13882</v>
      </c>
    </row>
    <row r="28" spans="1:3" x14ac:dyDescent="0.25">
      <c r="A28" t="str">
        <v>N16723</v>
      </c>
    </row>
    <row r="29" spans="1:3" x14ac:dyDescent="0.25">
      <c r="A29" t="str">
        <v>N14920</v>
      </c>
    </row>
    <row r="30" spans="1:3" x14ac:dyDescent="0.25">
      <c r="A30" t="str">
        <v>M12980</v>
      </c>
    </row>
    <row r="31" spans="1:3" x14ac:dyDescent="0.25">
      <c r="A31" t="str">
        <v>N16744</v>
      </c>
    </row>
    <row r="32" spans="1:3" x14ac:dyDescent="0.25">
      <c r="A32" t="str">
        <v>SC18317</v>
      </c>
    </row>
    <row r="33" spans="1:1" x14ac:dyDescent="0.25">
      <c r="A33" t="str">
        <v>SC25777</v>
      </c>
    </row>
    <row r="34" spans="1:1" x14ac:dyDescent="0.25">
      <c r="A34" t="str">
        <v>N19731</v>
      </c>
    </row>
    <row r="35" spans="1:1" x14ac:dyDescent="0.25">
      <c r="A35" t="str">
        <v>N17019</v>
      </c>
    </row>
    <row r="36" spans="1:1" x14ac:dyDescent="0.25">
      <c r="A36" t="str">
        <v>N18185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April 2024 Projections</vt:lpstr>
      <vt:lpstr>May 2024 </vt:lpstr>
      <vt:lpstr>Jun 2024</vt:lpstr>
      <vt:lpstr>Jul 2024</vt:lpstr>
      <vt:lpstr>Aug 2024</vt:lpstr>
      <vt:lpstr>Sep 2024</vt:lpstr>
      <vt:lpstr>Oct 2024</vt:lpstr>
      <vt:lpstr>Nov 2024</vt:lpstr>
      <vt:lpstr>Dec 2024</vt:lpstr>
      <vt:lpstr>Jan 2025</vt:lpstr>
      <vt:lpstr>Feb 2025</vt:lpstr>
      <vt:lpstr>Mar 2025</vt:lpstr>
      <vt:lpstr>Apr 2025</vt:lpstr>
      <vt:lpstr>May 2025</vt:lpstr>
      <vt:lpstr>June 2025</vt:lpstr>
      <vt:lpstr>July 2025</vt:lpstr>
      <vt:lpstr>August 2025</vt:lpstr>
      <vt:lpstr>Sep 2025</vt:lpstr>
      <vt:lpstr>October 2025</vt:lpstr>
      <vt:lpstr>Month Template</vt:lpstr>
      <vt:lpstr>Engineering Numbers Ref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Betland, Joseph</dc:creator>
  <cp:keywords/>
  <dc:description/>
  <cp:lastModifiedBy>Molloy, Michael</cp:lastModifiedBy>
  <cp:revision/>
  <dcterms:created xsi:type="dcterms:W3CDTF">2024-04-29T16:10:41Z</dcterms:created>
  <dcterms:modified xsi:type="dcterms:W3CDTF">2025-09-18T20:55:22Z</dcterms:modified>
  <cp:category/>
  <cp:contentStatus/>
</cp:coreProperties>
</file>