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530" windowHeight="6900" activeTab="3"/>
  </bookViews>
  <sheets>
    <sheet name="Salt OA" sheetId="1" r:id="rId1"/>
    <sheet name="Salt Cuts" sheetId="3" r:id="rId2"/>
    <sheet name="Jacketed OA" sheetId="2" r:id="rId3"/>
    <sheet name="Summary" sheetId="4" r:id="rId4"/>
  </sheets>
  <definedNames>
    <definedName name="_xlnm.Print_Area" localSheetId="3">Summary!$I$5:$M$21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4" l="1"/>
  <c r="J20" i="4"/>
  <c r="J12" i="4" l="1"/>
  <c r="J11" i="4"/>
  <c r="K9" i="4"/>
  <c r="J9" i="4"/>
  <c r="K8" i="4"/>
  <c r="J8" i="4"/>
  <c r="K7" i="4"/>
  <c r="J7" i="4"/>
  <c r="K6" i="4"/>
  <c r="J6" i="4"/>
  <c r="D32" i="4" l="1"/>
  <c r="E32" i="4" s="1"/>
  <c r="D26" i="4"/>
  <c r="D20" i="4"/>
  <c r="E20" i="4" s="1"/>
  <c r="E26" i="4"/>
  <c r="E14" i="4"/>
  <c r="C32" i="4"/>
  <c r="C31" i="4"/>
  <c r="C30" i="4"/>
  <c r="C29" i="4"/>
  <c r="C25" i="4"/>
  <c r="C26" i="4"/>
  <c r="C23" i="4"/>
  <c r="C24" i="4"/>
  <c r="C20" i="4"/>
  <c r="C19" i="4"/>
  <c r="C18" i="4"/>
  <c r="C17" i="4"/>
  <c r="D14" i="4"/>
  <c r="C11" i="4"/>
  <c r="C14" i="4"/>
  <c r="C13" i="4"/>
  <c r="C12" i="4"/>
  <c r="E7" i="4"/>
  <c r="E6" i="4"/>
  <c r="E5" i="4"/>
  <c r="E4" i="4"/>
  <c r="D7" i="4"/>
  <c r="D6" i="4"/>
  <c r="D5" i="4"/>
  <c r="D4" i="4"/>
  <c r="C7" i="4"/>
  <c r="C6" i="4"/>
  <c r="C5" i="4"/>
  <c r="C4" i="4"/>
  <c r="E15" i="3"/>
  <c r="E17" i="3" s="1"/>
  <c r="K22" i="3"/>
  <c r="O22" i="3" l="1"/>
  <c r="O24" i="3"/>
  <c r="O26" i="3"/>
  <c r="K24" i="3"/>
  <c r="K26" i="3" s="1"/>
  <c r="G22" i="3"/>
  <c r="L3" i="1"/>
  <c r="G24" i="3"/>
  <c r="G26" i="3" s="1"/>
  <c r="O20" i="3"/>
  <c r="K20" i="3"/>
  <c r="G20" i="3"/>
  <c r="M13" i="3"/>
  <c r="M15" i="3"/>
  <c r="M17" i="3"/>
  <c r="I13" i="3"/>
  <c r="I15" i="3"/>
  <c r="I17" i="3"/>
  <c r="E13" i="3"/>
  <c r="O12" i="3"/>
  <c r="K12" i="3"/>
  <c r="G12" i="3"/>
  <c r="B17" i="3"/>
  <c r="B15" i="3"/>
  <c r="B13" i="3"/>
  <c r="C10" i="3"/>
  <c r="E10" i="3"/>
  <c r="F10" i="3"/>
  <c r="G10" i="3"/>
  <c r="I10" i="3"/>
  <c r="J10" i="3"/>
  <c r="K10" i="3"/>
  <c r="M10" i="3"/>
  <c r="N10" i="3"/>
  <c r="O10" i="3"/>
  <c r="B10" i="3"/>
  <c r="N3" i="1"/>
  <c r="U9" i="1"/>
  <c r="U15" i="1"/>
  <c r="W15" i="1"/>
  <c r="M9" i="1"/>
  <c r="M15" i="1"/>
  <c r="M21" i="1"/>
  <c r="M27" i="1"/>
  <c r="M33" i="1"/>
  <c r="M39" i="1"/>
  <c r="P39" i="1"/>
  <c r="L33" i="1"/>
  <c r="N33" i="1"/>
  <c r="L27" i="1"/>
  <c r="N27" i="1"/>
  <c r="N21" i="1"/>
  <c r="L21" i="1"/>
  <c r="L15" i="1"/>
  <c r="N15" i="1"/>
  <c r="N9" i="1"/>
  <c r="L9" i="1"/>
  <c r="P33" i="1"/>
  <c r="P27" i="1"/>
  <c r="P21" i="1"/>
  <c r="P15" i="1"/>
  <c r="P9" i="1"/>
  <c r="H41" i="1"/>
  <c r="H35" i="1"/>
  <c r="G35" i="1"/>
  <c r="H29" i="1"/>
  <c r="G29" i="1"/>
  <c r="H23" i="1"/>
  <c r="G23" i="1"/>
  <c r="H17" i="1"/>
  <c r="G17" i="1"/>
  <c r="H11" i="1"/>
  <c r="G11" i="1"/>
  <c r="G5" i="1"/>
  <c r="U12" i="1"/>
  <c r="W12" i="1"/>
  <c r="X12" i="1"/>
  <c r="O33" i="1"/>
  <c r="O27" i="1"/>
  <c r="O21" i="1"/>
  <c r="O15" i="1"/>
  <c r="O9" i="1"/>
  <c r="O3" i="1"/>
  <c r="X15" i="1"/>
  <c r="W9" i="1"/>
  <c r="X9" i="1"/>
  <c r="M12" i="2"/>
  <c r="L3" i="2"/>
  <c r="H3" i="2"/>
  <c r="F41" i="2"/>
  <c r="F35" i="2"/>
  <c r="F29" i="2"/>
  <c r="F23" i="2"/>
  <c r="F17" i="2"/>
  <c r="F11" i="2"/>
  <c r="C12" i="2"/>
  <c r="A13" i="2"/>
  <c r="B17" i="2"/>
  <c r="C10" i="2"/>
  <c r="C9" i="2"/>
  <c r="C8" i="2"/>
  <c r="C7" i="2"/>
  <c r="C6" i="2"/>
  <c r="F5" i="2"/>
  <c r="C5" i="2"/>
  <c r="C4" i="2"/>
  <c r="C3" i="2"/>
  <c r="H15" i="2"/>
  <c r="J15" i="2"/>
  <c r="H27" i="2"/>
  <c r="H9" i="2"/>
  <c r="J9" i="2"/>
  <c r="H33" i="2"/>
  <c r="H39" i="2"/>
  <c r="H21" i="2"/>
  <c r="J27" i="2"/>
  <c r="J39" i="2"/>
  <c r="J33" i="2"/>
  <c r="J21" i="2"/>
  <c r="J3" i="2"/>
  <c r="N3" i="2"/>
  <c r="P3" i="2"/>
  <c r="Q3" i="2"/>
  <c r="F45" i="2"/>
  <c r="N6" i="2"/>
  <c r="P6" i="2"/>
  <c r="Q6" i="2"/>
  <c r="Q9" i="2"/>
  <c r="F35" i="1"/>
  <c r="F29" i="1"/>
  <c r="F23" i="1"/>
  <c r="F17" i="1"/>
  <c r="F11" i="1"/>
  <c r="F5" i="1"/>
  <c r="B17" i="1"/>
  <c r="S3" i="1"/>
  <c r="H3" i="1"/>
  <c r="J3" i="1"/>
  <c r="H9" i="1"/>
  <c r="J9" i="1"/>
  <c r="H15" i="1"/>
  <c r="J15" i="1"/>
  <c r="H21" i="1"/>
  <c r="J21" i="1"/>
  <c r="H27" i="1"/>
  <c r="J27" i="1"/>
  <c r="H33" i="1"/>
  <c r="J33" i="1"/>
  <c r="H39" i="1"/>
  <c r="C4" i="1"/>
  <c r="C5" i="1"/>
  <c r="C6" i="1"/>
  <c r="C7" i="1"/>
  <c r="C8" i="1"/>
  <c r="C9" i="1"/>
  <c r="C10" i="1"/>
  <c r="C3" i="1"/>
  <c r="C12" i="1"/>
  <c r="U3" i="1"/>
  <c r="W3" i="1"/>
  <c r="X3" i="1"/>
  <c r="F41" i="1"/>
  <c r="C14" i="1"/>
  <c r="F45" i="1"/>
  <c r="J39" i="1"/>
  <c r="U6" i="1"/>
  <c r="W6" i="1"/>
  <c r="X6" i="1"/>
  <c r="Y6" i="1"/>
</calcChain>
</file>

<file path=xl/sharedStrings.xml><?xml version="1.0" encoding="utf-8"?>
<sst xmlns="http://schemas.openxmlformats.org/spreadsheetml/2006/main" count="273" uniqueCount="96">
  <si>
    <t>175-15</t>
  </si>
  <si>
    <t>h</t>
  </si>
  <si>
    <t>d1</t>
  </si>
  <si>
    <t>Dist from Bottom</t>
  </si>
  <si>
    <t>d2</t>
  </si>
  <si>
    <t>d3</t>
  </si>
  <si>
    <t>d4</t>
  </si>
  <si>
    <t>d5</t>
  </si>
  <si>
    <t>d6</t>
  </si>
  <si>
    <t>d average</t>
  </si>
  <si>
    <t>d7</t>
  </si>
  <si>
    <t>d OA average</t>
  </si>
  <si>
    <t>Actual (mm)</t>
  </si>
  <si>
    <t>V OA average</t>
  </si>
  <si>
    <t>Mass</t>
  </si>
  <si>
    <t>(kg)</t>
  </si>
  <si>
    <t>ρ</t>
  </si>
  <si>
    <t>FD</t>
  </si>
  <si>
    <t>Eff Hight</t>
  </si>
  <si>
    <t>Eff H Sum</t>
  </si>
  <si>
    <t>V1</t>
  </si>
  <si>
    <t>V2</t>
  </si>
  <si>
    <t>V3</t>
  </si>
  <si>
    <t>V4</t>
  </si>
  <si>
    <t>V5</t>
  </si>
  <si>
    <t>V6</t>
  </si>
  <si>
    <t>V7</t>
  </si>
  <si>
    <t>V Sum</t>
  </si>
  <si>
    <t>ρ sum</t>
  </si>
  <si>
    <t>FD sum</t>
  </si>
  <si>
    <r>
      <rPr>
        <sz val="11"/>
        <color theme="1"/>
        <rFont val="Times New Roman"/>
        <family val="1"/>
      </rPr>
      <t>Δ</t>
    </r>
    <r>
      <rPr>
        <sz val="11"/>
        <color theme="1"/>
        <rFont val="Calibri"/>
        <family val="2"/>
      </rPr>
      <t>FD</t>
    </r>
  </si>
  <si>
    <t>Comp Height</t>
  </si>
  <si>
    <t>Jacket total thickness</t>
  </si>
  <si>
    <t>Vconic</t>
  </si>
  <si>
    <t>hconic</t>
  </si>
  <si>
    <t>Vconic Sum</t>
  </si>
  <si>
    <t>FDconic</t>
  </si>
  <si>
    <t>EffH C1</t>
  </si>
  <si>
    <t>EffH c2</t>
  </si>
  <si>
    <t>xxx</t>
  </si>
  <si>
    <t>xxxx</t>
  </si>
  <si>
    <t>Vconic Sum Av</t>
  </si>
  <si>
    <t>xx</t>
  </si>
  <si>
    <t>Piece 1</t>
  </si>
  <si>
    <t>Piece 2</t>
  </si>
  <si>
    <t>Piece 3</t>
  </si>
  <si>
    <t>Piece 4</t>
  </si>
  <si>
    <t>Mass OA</t>
  </si>
  <si>
    <t>Average</t>
  </si>
  <si>
    <t>h av</t>
  </si>
  <si>
    <t>d av</t>
  </si>
  <si>
    <t>d1 av</t>
  </si>
  <si>
    <t>d2 av</t>
  </si>
  <si>
    <t>V av</t>
  </si>
  <si>
    <t>FD AV</t>
  </si>
  <si>
    <t>d2 oa av</t>
  </si>
  <si>
    <t>Conic</t>
  </si>
  <si>
    <t>h conic</t>
  </si>
  <si>
    <t>vconic</t>
  </si>
  <si>
    <t>ρ conic</t>
  </si>
  <si>
    <t>FD Conic</t>
  </si>
  <si>
    <t xml:space="preserve">Sample </t>
  </si>
  <si>
    <t>Overall</t>
  </si>
  <si>
    <t>P1</t>
  </si>
  <si>
    <t>P2</t>
  </si>
  <si>
    <t>P3</t>
  </si>
  <si>
    <t>P4</t>
  </si>
  <si>
    <t>External Jacket Measurements</t>
  </si>
  <si>
    <t>m (kg)</t>
  </si>
  <si>
    <r>
      <rPr>
        <sz val="11"/>
        <color theme="1"/>
        <rFont val="Times New Roman"/>
        <family val="1"/>
      </rPr>
      <t>ρ</t>
    </r>
    <r>
      <rPr>
        <sz val="11"/>
        <color theme="1"/>
        <rFont val="Calibri"/>
        <family val="2"/>
      </rPr>
      <t xml:space="preserve"> (kg/m^3)</t>
    </r>
  </si>
  <si>
    <t>Salt (average section)</t>
  </si>
  <si>
    <t>Salt (conic Section)</t>
  </si>
  <si>
    <t>Pieces</t>
  </si>
  <si>
    <t>Corelok</t>
  </si>
  <si>
    <t>m (g)</t>
  </si>
  <si>
    <t>****</t>
  </si>
  <si>
    <t>Volume and mass changed due to polishing the sample</t>
  </si>
  <si>
    <r>
      <rPr>
        <sz val="11"/>
        <color theme="1"/>
        <rFont val="Times New Roman"/>
        <family val="1"/>
      </rPr>
      <t>ρ Intact</t>
    </r>
    <r>
      <rPr>
        <sz val="11"/>
        <color theme="1"/>
        <rFont val="Calibri"/>
        <family val="2"/>
      </rPr>
      <t xml:space="preserve"> (kg/m^3)</t>
    </r>
  </si>
  <si>
    <t>External Conic</t>
  </si>
  <si>
    <t>v (cm^3)</t>
  </si>
  <si>
    <t>v (m^3)</t>
  </si>
  <si>
    <t>volume</t>
  </si>
  <si>
    <t>Vol Avg FD</t>
  </si>
  <si>
    <t>Vol Avg Porosity</t>
  </si>
  <si>
    <t>Final FD from Isco/Schuler Avg</t>
  </si>
  <si>
    <t>Offset FD</t>
  </si>
  <si>
    <t>Offset Porosity</t>
  </si>
  <si>
    <t xml:space="preserve"> -&gt; add this value to FD</t>
  </si>
  <si>
    <t xml:space="preserve"> -&gt; add this value to porosity</t>
  </si>
  <si>
    <t>Schu 2 (Col AE)</t>
  </si>
  <si>
    <t>ROW</t>
  </si>
  <si>
    <t>Test ID</t>
  </si>
  <si>
    <t>175_15</t>
  </si>
  <si>
    <t>WORKSHEET</t>
  </si>
  <si>
    <t>FmtData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</si>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</sst>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165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zoomScale="80" zoomScaleNormal="80" workbookViewId="0">
      <selection activeCell="X9" sqref="X9"/>
    </sheetView>
  </sheetViews>
  <sheetFormatPr defaultRowHeight="14.25" x14ac:dyDescent="0.45"/>
  <cols>
    <col min="10" max="10" width="12" bestFit="1" customWidth="1"/>
    <col min="14" max="14" width="13" bestFit="1" customWidth="1"/>
  </cols>
  <sheetData>
    <row r="1" spans="1:25" x14ac:dyDescent="0.45">
      <c r="A1" t="s">
        <v>0</v>
      </c>
    </row>
    <row r="2" spans="1:25" x14ac:dyDescent="0.45">
      <c r="B2" t="s">
        <v>1</v>
      </c>
      <c r="C2" t="s">
        <v>12</v>
      </c>
      <c r="E2" t="s">
        <v>2</v>
      </c>
      <c r="F2" t="s">
        <v>3</v>
      </c>
      <c r="H2" t="s">
        <v>9</v>
      </c>
      <c r="J2" t="s">
        <v>20</v>
      </c>
      <c r="K2" s="1"/>
      <c r="L2" t="s">
        <v>34</v>
      </c>
      <c r="N2" t="s">
        <v>33</v>
      </c>
      <c r="P2" t="s">
        <v>33</v>
      </c>
      <c r="S2" t="s">
        <v>11</v>
      </c>
      <c r="U2" t="s">
        <v>13</v>
      </c>
      <c r="W2" s="1" t="s">
        <v>16</v>
      </c>
      <c r="X2" t="s">
        <v>17</v>
      </c>
    </row>
    <row r="3" spans="1:25" x14ac:dyDescent="0.45">
      <c r="B3">
        <v>167.65</v>
      </c>
      <c r="C3">
        <f>B3-56.95</f>
        <v>110.7</v>
      </c>
      <c r="E3">
        <v>99.52</v>
      </c>
      <c r="F3">
        <v>112</v>
      </c>
      <c r="H3">
        <f>AVERAGE(E3:E6)</f>
        <v>100.13249999999999</v>
      </c>
      <c r="J3">
        <f>((PI()/4)*(H3^2)*(F5))/1000^3</f>
        <v>4.7248850843706125E-5</v>
      </c>
      <c r="L3">
        <f>((H3*G5)/((ABS(H3-H9))))</f>
        <v>172.45640473627589</v>
      </c>
      <c r="N3">
        <f>(((PI()/12)*(IF(H3&gt;H9,H3,H9)^2)*(L3))-((PI()/12)*(IF(H3&lt;H9,H3,H9)^2)*(L3-G5)))/1000^3</f>
        <v>8.8074798680813458E-5</v>
      </c>
      <c r="O3">
        <f>N3/J3</f>
        <v>1.8640622387231167</v>
      </c>
      <c r="P3" t="s">
        <v>40</v>
      </c>
      <c r="S3">
        <f>AVERAGE(E9:E12,E3:E6,E15:E18,E21:E24,E27:E30,E33:E36,E39:E42)</f>
        <v>94.49392857142854</v>
      </c>
      <c r="U3">
        <f>((PI()/4)*(S3^2)*(C12))/1000^3</f>
        <v>7.6714997733494166E-4</v>
      </c>
      <c r="W3">
        <f>B17/U3</f>
        <v>2028.2865749478376</v>
      </c>
      <c r="X3">
        <f>W3/2160</f>
        <v>0.93902156247585078</v>
      </c>
    </row>
    <row r="4" spans="1:25" x14ac:dyDescent="0.45">
      <c r="B4">
        <v>166.59</v>
      </c>
      <c r="C4">
        <f t="shared" ref="C4:C10" si="0">B4-56.95</f>
        <v>109.64</v>
      </c>
      <c r="E4">
        <v>100.38</v>
      </c>
      <c r="F4" t="s">
        <v>18</v>
      </c>
      <c r="G4" t="s">
        <v>37</v>
      </c>
      <c r="H4" t="s">
        <v>38</v>
      </c>
    </row>
    <row r="5" spans="1:25" x14ac:dyDescent="0.45">
      <c r="B5">
        <v>165.7</v>
      </c>
      <c r="C5">
        <f t="shared" si="0"/>
        <v>108.74999999999999</v>
      </c>
      <c r="E5">
        <v>101.85</v>
      </c>
      <c r="F5">
        <f>(F3-F9)/2</f>
        <v>6</v>
      </c>
      <c r="G5">
        <f>F3-F9</f>
        <v>12</v>
      </c>
      <c r="H5" t="s">
        <v>39</v>
      </c>
      <c r="U5" t="s">
        <v>27</v>
      </c>
      <c r="W5" s="1" t="s">
        <v>28</v>
      </c>
      <c r="X5" t="s">
        <v>29</v>
      </c>
      <c r="Y5" s="2" t="s">
        <v>30</v>
      </c>
    </row>
    <row r="6" spans="1:25" x14ac:dyDescent="0.45">
      <c r="B6">
        <v>164.94</v>
      </c>
      <c r="C6">
        <f t="shared" si="0"/>
        <v>107.99</v>
      </c>
      <c r="E6">
        <v>98.78</v>
      </c>
      <c r="U6">
        <f>J3+J9+J15+J21+J27+J33+J39</f>
        <v>7.4418721050457058E-4</v>
      </c>
      <c r="W6">
        <f>B17/U6</f>
        <v>2090.8717296350842</v>
      </c>
      <c r="X6">
        <f>W6/2160</f>
        <v>0.96799617112735381</v>
      </c>
      <c r="Y6">
        <f>X6-X3</f>
        <v>2.8974608651503031E-2</v>
      </c>
    </row>
    <row r="7" spans="1:25" x14ac:dyDescent="0.45">
      <c r="B7">
        <v>164.9</v>
      </c>
      <c r="C7">
        <f t="shared" si="0"/>
        <v>107.95</v>
      </c>
    </row>
    <row r="8" spans="1:25" x14ac:dyDescent="0.45">
      <c r="B8">
        <v>166.82</v>
      </c>
      <c r="C8">
        <f t="shared" si="0"/>
        <v>109.86999999999999</v>
      </c>
      <c r="E8" t="s">
        <v>4</v>
      </c>
      <c r="F8" t="s">
        <v>3</v>
      </c>
      <c r="H8" t="s">
        <v>9</v>
      </c>
      <c r="J8" t="s">
        <v>21</v>
      </c>
      <c r="L8" t="s">
        <v>34</v>
      </c>
      <c r="N8" t="s">
        <v>33</v>
      </c>
      <c r="P8" t="s">
        <v>33</v>
      </c>
      <c r="T8">
        <v>1</v>
      </c>
      <c r="U8" t="s">
        <v>35</v>
      </c>
      <c r="X8" t="s">
        <v>36</v>
      </c>
    </row>
    <row r="9" spans="1:25" x14ac:dyDescent="0.45">
      <c r="B9">
        <v>167.28</v>
      </c>
      <c r="C9">
        <f t="shared" si="0"/>
        <v>110.33</v>
      </c>
      <c r="E9">
        <v>93.7</v>
      </c>
      <c r="F9">
        <v>100</v>
      </c>
      <c r="H9">
        <f>AVERAGE(E9:E12)</f>
        <v>93.165000000000006</v>
      </c>
      <c r="J9">
        <f>((PI()/4)*(H9^2)*(F11))/1000^3</f>
        <v>1.0907254347718715E-4</v>
      </c>
      <c r="L9">
        <f>((H9*G11)/((ABS(H9-H15))))</f>
        <v>1289.4809688581249</v>
      </c>
      <c r="M9">
        <f>((H9*H11)/((ABS(H9-H3))))</f>
        <v>160.45640473627586</v>
      </c>
      <c r="N9">
        <f>(((PI()/12)*(IF(H9&gt;H15,H9,H15)^2)*(L9))-((PI()/12)*(IF(H9&lt;H15,H9,H15)^2)*(L9-G11)))/1000^3</f>
        <v>1.3423695240491256E-4</v>
      </c>
      <c r="O9">
        <f>N9/J9</f>
        <v>1.230712589305196</v>
      </c>
      <c r="P9">
        <f>(((PI()/12)*(IF(H9&gt;H3,H9,H3)^2)*(M9))-((PI()/12)*(IF(H9&lt;H3,H9,H3)^2)*(M9-H11)))/1000^3</f>
        <v>8.3843700654306157E-5</v>
      </c>
      <c r="U9">
        <f>N3+N9+N15+N21+N27+N33</f>
        <v>7.5812403972289836E-4</v>
      </c>
      <c r="W9">
        <f>B17/U9</f>
        <v>2052.4345865206083</v>
      </c>
      <c r="X9">
        <f>W9/2160</f>
        <v>0.95020119746324461</v>
      </c>
    </row>
    <row r="10" spans="1:25" x14ac:dyDescent="0.45">
      <c r="B10">
        <v>166.85</v>
      </c>
      <c r="C10">
        <f t="shared" si="0"/>
        <v>109.89999999999999</v>
      </c>
      <c r="E10">
        <v>92.99</v>
      </c>
      <c r="F10" t="s">
        <v>18</v>
      </c>
      <c r="G10" t="s">
        <v>37</v>
      </c>
      <c r="H10" t="s">
        <v>38</v>
      </c>
    </row>
    <row r="11" spans="1:25" x14ac:dyDescent="0.45">
      <c r="E11">
        <v>92.48</v>
      </c>
      <c r="F11">
        <f>((F3-F9)/2)+((F9-F15)/2)</f>
        <v>16</v>
      </c>
      <c r="G11">
        <f>F9-F15</f>
        <v>20</v>
      </c>
      <c r="H11">
        <f>F3-F9</f>
        <v>12</v>
      </c>
      <c r="T11">
        <v>2</v>
      </c>
      <c r="U11" t="s">
        <v>35</v>
      </c>
      <c r="X11" t="s">
        <v>36</v>
      </c>
    </row>
    <row r="12" spans="1:25" x14ac:dyDescent="0.45">
      <c r="C12">
        <f>AVERAGE(C3:C10)</f>
        <v>109.39125</v>
      </c>
      <c r="E12">
        <v>93.49</v>
      </c>
      <c r="U12">
        <f>P9+P15+P21+P27+P33+P39</f>
        <v>7.586257095747339E-4</v>
      </c>
      <c r="W12">
        <f>B17/U12</f>
        <v>2051.0773367702682</v>
      </c>
      <c r="X12">
        <f>W12/2160</f>
        <v>0.94957284109734641</v>
      </c>
    </row>
    <row r="14" spans="1:25" x14ac:dyDescent="0.45">
      <c r="C14">
        <f>C12/3</f>
        <v>36.463749999999997</v>
      </c>
      <c r="E14" t="s">
        <v>5</v>
      </c>
      <c r="F14" t="s">
        <v>3</v>
      </c>
      <c r="H14" t="s">
        <v>9</v>
      </c>
      <c r="J14" t="s">
        <v>22</v>
      </c>
      <c r="L14" t="s">
        <v>34</v>
      </c>
      <c r="N14" t="s">
        <v>33</v>
      </c>
      <c r="P14" t="s">
        <v>33</v>
      </c>
      <c r="T14">
        <v>3</v>
      </c>
      <c r="U14" t="s">
        <v>41</v>
      </c>
      <c r="X14" t="s">
        <v>36</v>
      </c>
    </row>
    <row r="15" spans="1:25" x14ac:dyDescent="0.45">
      <c r="E15">
        <v>91.8</v>
      </c>
      <c r="F15">
        <v>80</v>
      </c>
      <c r="H15">
        <f>AVERAGE(E15:E18)</f>
        <v>91.72</v>
      </c>
      <c r="J15">
        <f>((PI()/4)*(H15^2)*(F17))/1000^3</f>
        <v>1.4866217812875996E-4</v>
      </c>
      <c r="L15">
        <f>((H15*G17)/((ABS(H15-H21))))</f>
        <v>14110.769230769725</v>
      </c>
      <c r="M15">
        <f>((H15*H17)/((ABS(H15-H9))))</f>
        <v>1269.4809688581252</v>
      </c>
      <c r="N15">
        <f>(((PI()/12)*(IF(H15&gt;H21,H15,H21)^2)*(L15))-((PI()/12)*(IF(H15&lt;H21,H15,H21)^2)*(L15-G17)))/1000^3</f>
        <v>1.6527774764522909E-4</v>
      </c>
      <c r="O15">
        <f>N15/J15</f>
        <v>1.1117672949879558</v>
      </c>
      <c r="P15">
        <f>(((PI()/12)*(IF(H15&gt;H9,H15,H9)^2)*(M15))-((PI()/12)*(IF(H15&lt;H9,H15,H9)^2)*(M15-H17)))/1000^3</f>
        <v>1.328381120683099E-4</v>
      </c>
      <c r="U15">
        <f>(U12+U9)/2</f>
        <v>7.5837487464881607E-4</v>
      </c>
      <c r="W15">
        <f>B17/U15</f>
        <v>2051.7557371880807</v>
      </c>
      <c r="X15">
        <f>W15/2160</f>
        <v>0.94988691536485215</v>
      </c>
    </row>
    <row r="16" spans="1:25" x14ac:dyDescent="0.45">
      <c r="A16" t="s">
        <v>14</v>
      </c>
      <c r="B16" t="s">
        <v>15</v>
      </c>
      <c r="E16">
        <v>92.03</v>
      </c>
      <c r="F16" t="s">
        <v>18</v>
      </c>
      <c r="G16" t="s">
        <v>37</v>
      </c>
      <c r="H16" t="s">
        <v>38</v>
      </c>
    </row>
    <row r="17" spans="2:16" x14ac:dyDescent="0.45">
      <c r="B17">
        <f>1556/1000</f>
        <v>1.556</v>
      </c>
      <c r="E17">
        <v>91.18</v>
      </c>
      <c r="F17">
        <f>((F9-F15)/2)+((F15-F21)/2)</f>
        <v>22.5</v>
      </c>
      <c r="G17">
        <f>F15-F21</f>
        <v>25</v>
      </c>
      <c r="H17">
        <f>F9-F15</f>
        <v>20</v>
      </c>
    </row>
    <row r="18" spans="2:16" x14ac:dyDescent="0.45">
      <c r="E18">
        <v>91.87</v>
      </c>
    </row>
    <row r="20" spans="2:16" x14ac:dyDescent="0.45">
      <c r="E20" t="s">
        <v>6</v>
      </c>
      <c r="F20" t="s">
        <v>3</v>
      </c>
      <c r="H20" t="s">
        <v>9</v>
      </c>
      <c r="J20" t="s">
        <v>23</v>
      </c>
      <c r="L20" t="s">
        <v>34</v>
      </c>
      <c r="N20" t="s">
        <v>33</v>
      </c>
      <c r="P20" t="s">
        <v>33</v>
      </c>
    </row>
    <row r="21" spans="2:16" x14ac:dyDescent="0.45">
      <c r="E21">
        <v>91.94</v>
      </c>
      <c r="F21">
        <v>55</v>
      </c>
      <c r="H21">
        <f>AVERAGE(E21:E24)</f>
        <v>91.882499999999993</v>
      </c>
      <c r="J21">
        <f>((PI()/4)*(H21^2)*(F23))/1000^3</f>
        <v>1.4918941327740171E-4</v>
      </c>
      <c r="L21">
        <f>((H21*G23)/((ABS(H21-H27))))</f>
        <v>2893.9370078740571</v>
      </c>
      <c r="M21">
        <f>((H21*H23)/((ABS(H21-H15))))</f>
        <v>14135.769230769725</v>
      </c>
      <c r="N21">
        <f>(((PI()/12)*(IF(H21&gt;H27,H21,H27)^2)*(L21))-((PI()/12)*(IF(H21&lt;H27,H21,H27)^2)*(L21-G23)))/1000^3</f>
        <v>1.3291830753670353E-4</v>
      </c>
      <c r="O21">
        <f>N21/J21</f>
        <v>0.89093659272964765</v>
      </c>
      <c r="P21">
        <f>(((PI()/12)*(IF(H21&gt;H15,H21,H15)^2)*(M21))-((PI()/12)*(IF(H21&lt;H15,H21,H15)^2)*(M21-H23)))/1000^3</f>
        <v>1.6547301992250607E-4</v>
      </c>
    </row>
    <row r="22" spans="2:16" x14ac:dyDescent="0.45">
      <c r="E22">
        <v>91.2</v>
      </c>
      <c r="F22" t="s">
        <v>18</v>
      </c>
      <c r="G22" t="s">
        <v>37</v>
      </c>
      <c r="H22" t="s">
        <v>38</v>
      </c>
    </row>
    <row r="23" spans="2:16" x14ac:dyDescent="0.45">
      <c r="E23">
        <v>92.55</v>
      </c>
      <c r="F23">
        <f>((F15-F21)/2)+((F21-F27)/2)</f>
        <v>22.5</v>
      </c>
      <c r="G23">
        <f>F21-F27</f>
        <v>20</v>
      </c>
      <c r="H23">
        <f>F15-F21</f>
        <v>25</v>
      </c>
    </row>
    <row r="24" spans="2:16" x14ac:dyDescent="0.45">
      <c r="E24">
        <v>91.84</v>
      </c>
    </row>
    <row r="26" spans="2:16" x14ac:dyDescent="0.45">
      <c r="E26" t="s">
        <v>7</v>
      </c>
      <c r="F26" t="s">
        <v>3</v>
      </c>
      <c r="H26" t="s">
        <v>9</v>
      </c>
      <c r="J26" t="s">
        <v>24</v>
      </c>
      <c r="L26" t="s">
        <v>34</v>
      </c>
      <c r="N26" t="s">
        <v>33</v>
      </c>
      <c r="P26" t="s">
        <v>33</v>
      </c>
    </row>
    <row r="27" spans="2:16" x14ac:dyDescent="0.45">
      <c r="E27">
        <v>92.33</v>
      </c>
      <c r="F27">
        <v>35</v>
      </c>
      <c r="H27">
        <f>AVERAGE(E27:E30)</f>
        <v>92.517499999999984</v>
      </c>
      <c r="J27">
        <f>((PI()/4)*(H27^2)*(F29))/1000^3</f>
        <v>1.3445212005303204E-4</v>
      </c>
      <c r="L27">
        <f>((H27*G29)/((ABS(H27-H33))))</f>
        <v>24671.333333337068</v>
      </c>
      <c r="M27">
        <f>((H27*H29)/((ABS(H27-H21))))</f>
        <v>2913.9370078740571</v>
      </c>
      <c r="N27">
        <f>(((PI()/12)*(IF(H27&gt;H33,H27,H33)^2)*(L27))-((PI()/12)*(IF(H27&lt;H33,H27,H33)^2)*(L27-G29)))/1000^3</f>
        <v>1.3434315489357709E-4</v>
      </c>
      <c r="O27">
        <f>N27/J27</f>
        <v>0.99918956161188111</v>
      </c>
      <c r="P27">
        <f>(((PI()/12)*(IF(H27&gt;H21,H27,H21)^2)*(M27))-((PI()/12)*(IF(H27&lt;H21,H27,H21)^2)*(M27-H29)))/1000^3</f>
        <v>1.3353141028700304E-4</v>
      </c>
    </row>
    <row r="28" spans="2:16" x14ac:dyDescent="0.45">
      <c r="E28">
        <v>92.75</v>
      </c>
      <c r="F28" t="s">
        <v>18</v>
      </c>
      <c r="G28" t="s">
        <v>37</v>
      </c>
      <c r="H28" t="s">
        <v>38</v>
      </c>
    </row>
    <row r="29" spans="2:16" x14ac:dyDescent="0.45">
      <c r="E29">
        <v>92.34</v>
      </c>
      <c r="F29">
        <f>((F21-F27)/2)+((F27-F33)/2)</f>
        <v>20</v>
      </c>
      <c r="G29">
        <f>F27-F33</f>
        <v>20</v>
      </c>
      <c r="H29">
        <f>F21-F27</f>
        <v>20</v>
      </c>
    </row>
    <row r="30" spans="2:16" x14ac:dyDescent="0.45">
      <c r="E30">
        <v>92.65</v>
      </c>
    </row>
    <row r="32" spans="2:16" x14ac:dyDescent="0.45">
      <c r="E32" t="s">
        <v>8</v>
      </c>
      <c r="F32" t="s">
        <v>3</v>
      </c>
      <c r="H32" t="s">
        <v>9</v>
      </c>
      <c r="J32" t="s">
        <v>25</v>
      </c>
      <c r="L32" t="s">
        <v>34</v>
      </c>
      <c r="N32" t="s">
        <v>33</v>
      </c>
      <c r="P32" t="s">
        <v>33</v>
      </c>
    </row>
    <row r="33" spans="5:16" x14ac:dyDescent="0.45">
      <c r="E33">
        <v>92.97</v>
      </c>
      <c r="F33">
        <v>15</v>
      </c>
      <c r="H33">
        <f>AVERAGE(E33:E36)</f>
        <v>92.442499999999995</v>
      </c>
      <c r="J33">
        <f>((PI()/4)*(H33^2)*(F35))/1000^3</f>
        <v>1.1745494178825669E-4</v>
      </c>
      <c r="L33">
        <f>((H33*G35)/((ABS(H33-H39))))</f>
        <v>193.79979035639408</v>
      </c>
      <c r="M33">
        <f>((H33*H35)/((ABS(H33-H27))))</f>
        <v>24651.333333337068</v>
      </c>
      <c r="N33">
        <f>(((PI()/12)*(IF(H33&gt;H39,H33,H39)^2)*(L33))-((PI()/12)*(IF(H33&lt;H39,H33,H39)^2)*(L33-G35)))/1000^3</f>
        <v>1.0327307856166252E-4</v>
      </c>
      <c r="O33">
        <f>N33/J33</f>
        <v>0.87925698986628675</v>
      </c>
      <c r="P33">
        <f>(((PI()/12)*(IF(H33&gt;H27,H33,H27)^2)*(M33))-((PI()/12)*(IF(H33&lt;H27,H33,H27)^2)*(M33-H35)))/1000^3</f>
        <v>1.3427052127142997E-4</v>
      </c>
    </row>
    <row r="34" spans="5:16" x14ac:dyDescent="0.45">
      <c r="E34">
        <v>92.83</v>
      </c>
      <c r="F34" t="s">
        <v>18</v>
      </c>
      <c r="G34" t="s">
        <v>37</v>
      </c>
      <c r="H34" t="s">
        <v>38</v>
      </c>
    </row>
    <row r="35" spans="5:16" x14ac:dyDescent="0.45">
      <c r="E35">
        <v>91.52</v>
      </c>
      <c r="F35">
        <f>((F27-F33)/2)+((F33-F39)/2)</f>
        <v>17.5</v>
      </c>
      <c r="G35">
        <f>F33-F39</f>
        <v>15</v>
      </c>
      <c r="H35">
        <f>F27-F33</f>
        <v>20</v>
      </c>
    </row>
    <row r="36" spans="5:16" x14ac:dyDescent="0.45">
      <c r="E36">
        <v>92.45</v>
      </c>
    </row>
    <row r="38" spans="5:16" x14ac:dyDescent="0.45">
      <c r="E38" t="s">
        <v>10</v>
      </c>
      <c r="F38" t="s">
        <v>3</v>
      </c>
      <c r="H38" t="s">
        <v>9</v>
      </c>
      <c r="J38" t="s">
        <v>26</v>
      </c>
      <c r="L38" t="s">
        <v>34</v>
      </c>
      <c r="N38" t="s">
        <v>33</v>
      </c>
      <c r="P38" t="s">
        <v>33</v>
      </c>
    </row>
    <row r="39" spans="5:16" x14ac:dyDescent="0.45">
      <c r="E39">
        <v>100.24</v>
      </c>
      <c r="F39">
        <v>0</v>
      </c>
      <c r="H39">
        <f>AVERAGE(E39:E42)</f>
        <v>99.597499999999997</v>
      </c>
      <c r="J39">
        <f>((PI()/4)*(H39^2)*(F41))/1000^3</f>
        <v>3.8107162936226976E-5</v>
      </c>
      <c r="L39" t="s">
        <v>42</v>
      </c>
      <c r="M39">
        <f>((H39*H41)/((ABS(H39-H33))))</f>
        <v>208.79979035639408</v>
      </c>
      <c r="N39" t="s">
        <v>42</v>
      </c>
      <c r="P39">
        <f>(((PI()/12)*(IF(H39&gt;H33,H39,H33)^2)*(M39))-((PI()/12)*(IF(H39&lt;H33,H39,H33)^2)*(M39-H41)))/1000^3</f>
        <v>1.0866894537117873E-4</v>
      </c>
    </row>
    <row r="40" spans="5:16" x14ac:dyDescent="0.45">
      <c r="E40">
        <v>98.93</v>
      </c>
      <c r="F40" t="s">
        <v>18</v>
      </c>
      <c r="G40" t="s">
        <v>37</v>
      </c>
      <c r="H40" t="s">
        <v>38</v>
      </c>
    </row>
    <row r="41" spans="5:16" x14ac:dyDescent="0.45">
      <c r="E41">
        <v>99.95</v>
      </c>
      <c r="F41">
        <f>C12-(F35+F29+F23+F17+F11+F5)</f>
        <v>4.8912499999999994</v>
      </c>
      <c r="G41" t="s">
        <v>39</v>
      </c>
      <c r="H41">
        <f>F33-F39</f>
        <v>15</v>
      </c>
    </row>
    <row r="42" spans="5:16" x14ac:dyDescent="0.45">
      <c r="E42">
        <v>99.27</v>
      </c>
    </row>
    <row r="44" spans="5:16" x14ac:dyDescent="0.45">
      <c r="F44" t="s">
        <v>19</v>
      </c>
    </row>
    <row r="45" spans="5:16" x14ac:dyDescent="0.45">
      <c r="F45">
        <f>SUM(F41,F35,F29,F23,F17,F11,F5)</f>
        <v>109.39125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zoomScaleNormal="100" workbookViewId="0">
      <selection activeCell="B21" sqref="B21"/>
    </sheetView>
  </sheetViews>
  <sheetFormatPr defaultRowHeight="14.25" x14ac:dyDescent="0.45"/>
  <cols>
    <col min="2" max="2" width="12" bestFit="1" customWidth="1"/>
    <col min="7" max="7" width="11" bestFit="1" customWidth="1"/>
  </cols>
  <sheetData>
    <row r="2" spans="1:17" x14ac:dyDescent="0.45">
      <c r="B2" t="s">
        <v>43</v>
      </c>
      <c r="E2" t="s">
        <v>44</v>
      </c>
      <c r="I2" t="s">
        <v>45</v>
      </c>
      <c r="M2" t="s">
        <v>46</v>
      </c>
      <c r="Q2" t="s">
        <v>47</v>
      </c>
    </row>
    <row r="3" spans="1:17" x14ac:dyDescent="0.45">
      <c r="B3" t="s">
        <v>1</v>
      </c>
      <c r="C3" t="s">
        <v>2</v>
      </c>
      <c r="E3" t="s">
        <v>1</v>
      </c>
      <c r="F3" t="s">
        <v>2</v>
      </c>
      <c r="G3" t="s">
        <v>4</v>
      </c>
      <c r="I3" t="s">
        <v>1</v>
      </c>
      <c r="J3" t="s">
        <v>2</v>
      </c>
      <c r="K3" t="s">
        <v>4</v>
      </c>
      <c r="M3" t="s">
        <v>1</v>
      </c>
      <c r="N3" t="s">
        <v>2</v>
      </c>
      <c r="O3" t="s">
        <v>4</v>
      </c>
      <c r="Q3">
        <v>1538.3</v>
      </c>
    </row>
    <row r="4" spans="1:17" x14ac:dyDescent="0.45">
      <c r="B4">
        <v>3.35</v>
      </c>
      <c r="C4">
        <v>101.21</v>
      </c>
      <c r="E4">
        <v>37.159999999999997</v>
      </c>
      <c r="F4">
        <v>95.8</v>
      </c>
      <c r="G4">
        <v>92.78</v>
      </c>
      <c r="I4">
        <v>46.34</v>
      </c>
      <c r="J4">
        <v>92.27</v>
      </c>
      <c r="K4">
        <v>91.14</v>
      </c>
      <c r="M4">
        <v>23.22</v>
      </c>
      <c r="N4">
        <v>92.95</v>
      </c>
      <c r="O4">
        <v>98.33</v>
      </c>
    </row>
    <row r="5" spans="1:17" x14ac:dyDescent="0.45">
      <c r="B5">
        <v>5.91</v>
      </c>
      <c r="C5">
        <v>100.4</v>
      </c>
      <c r="E5">
        <v>37.31</v>
      </c>
      <c r="F5">
        <v>97.75</v>
      </c>
      <c r="G5">
        <v>91.68</v>
      </c>
      <c r="I5">
        <v>43.43</v>
      </c>
      <c r="J5">
        <v>92.68</v>
      </c>
      <c r="K5">
        <v>92.61</v>
      </c>
      <c r="M5">
        <v>22.17</v>
      </c>
      <c r="N5">
        <v>91.09</v>
      </c>
      <c r="O5">
        <v>98.97</v>
      </c>
    </row>
    <row r="6" spans="1:17" x14ac:dyDescent="0.45">
      <c r="B6">
        <v>6.79</v>
      </c>
      <c r="C6">
        <v>98.56</v>
      </c>
      <c r="E6">
        <v>34.71</v>
      </c>
      <c r="F6">
        <v>96.82</v>
      </c>
      <c r="G6">
        <v>90.4</v>
      </c>
      <c r="I6">
        <v>43.38</v>
      </c>
      <c r="J6">
        <v>91.63</v>
      </c>
      <c r="K6">
        <v>92.31</v>
      </c>
      <c r="M6">
        <v>22.11</v>
      </c>
      <c r="N6">
        <v>93.01</v>
      </c>
      <c r="O6">
        <v>98.13</v>
      </c>
    </row>
    <row r="7" spans="1:17" x14ac:dyDescent="0.45">
      <c r="B7">
        <v>4.6399999999999997</v>
      </c>
      <c r="C7">
        <v>100.6</v>
      </c>
      <c r="E7">
        <v>35.67</v>
      </c>
      <c r="F7">
        <v>95.38</v>
      </c>
      <c r="G7">
        <v>92.69</v>
      </c>
      <c r="I7">
        <v>47.92</v>
      </c>
      <c r="J7">
        <v>92.08</v>
      </c>
      <c r="K7">
        <v>92.68</v>
      </c>
      <c r="M7">
        <v>22.51</v>
      </c>
      <c r="N7">
        <v>92.72</v>
      </c>
      <c r="O7">
        <v>98.57</v>
      </c>
    </row>
    <row r="8" spans="1:17" x14ac:dyDescent="0.45">
      <c r="B8" t="s">
        <v>14</v>
      </c>
      <c r="C8">
        <v>65.180000000000007</v>
      </c>
      <c r="E8" t="s">
        <v>14</v>
      </c>
      <c r="F8">
        <v>513.1</v>
      </c>
      <c r="I8" t="s">
        <v>14</v>
      </c>
      <c r="J8">
        <v>629.9</v>
      </c>
      <c r="M8" t="s">
        <v>14</v>
      </c>
      <c r="N8">
        <v>330.05</v>
      </c>
    </row>
    <row r="9" spans="1:17" x14ac:dyDescent="0.45">
      <c r="B9" t="s">
        <v>49</v>
      </c>
      <c r="C9" t="s">
        <v>50</v>
      </c>
      <c r="E9" t="s">
        <v>49</v>
      </c>
      <c r="F9" t="s">
        <v>51</v>
      </c>
      <c r="G9" t="s">
        <v>52</v>
      </c>
      <c r="I9" t="s">
        <v>49</v>
      </c>
      <c r="J9" t="s">
        <v>51</v>
      </c>
      <c r="K9" t="s">
        <v>52</v>
      </c>
      <c r="M9" t="s">
        <v>49</v>
      </c>
      <c r="N9" t="s">
        <v>51</v>
      </c>
      <c r="O9" t="s">
        <v>52</v>
      </c>
    </row>
    <row r="10" spans="1:17" x14ac:dyDescent="0.45">
      <c r="A10" t="s">
        <v>48</v>
      </c>
      <c r="B10">
        <f>AVERAGE(B4:B7)</f>
        <v>5.1725000000000003</v>
      </c>
      <c r="C10">
        <f t="shared" ref="C10:O10" si="0">AVERAGE(C4:C7)</f>
        <v>100.1925</v>
      </c>
      <c r="E10">
        <f t="shared" si="0"/>
        <v>36.212500000000006</v>
      </c>
      <c r="F10">
        <f t="shared" si="0"/>
        <v>96.4375</v>
      </c>
      <c r="G10">
        <f t="shared" si="0"/>
        <v>91.887500000000003</v>
      </c>
      <c r="I10">
        <f t="shared" si="0"/>
        <v>45.267499999999998</v>
      </c>
      <c r="J10">
        <f t="shared" si="0"/>
        <v>92.164999999999992</v>
      </c>
      <c r="K10">
        <f t="shared" si="0"/>
        <v>92.185000000000002</v>
      </c>
      <c r="M10">
        <f t="shared" si="0"/>
        <v>22.502500000000001</v>
      </c>
      <c r="N10">
        <f t="shared" si="0"/>
        <v>92.442499999999995</v>
      </c>
      <c r="O10">
        <f t="shared" si="0"/>
        <v>98.5</v>
      </c>
    </row>
    <row r="11" spans="1:17" x14ac:dyDescent="0.45">
      <c r="G11" t="s">
        <v>55</v>
      </c>
      <c r="K11" t="s">
        <v>55</v>
      </c>
      <c r="O11" t="s">
        <v>55</v>
      </c>
    </row>
    <row r="12" spans="1:17" x14ac:dyDescent="0.45">
      <c r="B12" t="s">
        <v>53</v>
      </c>
      <c r="E12" t="s">
        <v>53</v>
      </c>
      <c r="G12">
        <f>AVERAGE(F4:G7)</f>
        <v>94.162499999999994</v>
      </c>
      <c r="I12" t="s">
        <v>53</v>
      </c>
      <c r="K12">
        <f>AVERAGE(J4:K7)</f>
        <v>92.175000000000011</v>
      </c>
      <c r="M12" t="s">
        <v>53</v>
      </c>
      <c r="O12">
        <f>AVERAGE(N4:O7)</f>
        <v>95.471249999999998</v>
      </c>
    </row>
    <row r="13" spans="1:17" x14ac:dyDescent="0.45">
      <c r="B13">
        <f>B10*((PI()/4)*C10^2)/1000^3</f>
        <v>4.0781275713717741E-5</v>
      </c>
      <c r="E13">
        <f>E10*((PI()/4)*G12^2)/1000^3</f>
        <v>2.5217634767864028E-4</v>
      </c>
      <c r="I13">
        <f>I10*((PI()/4)*K12^2)/1000^3</f>
        <v>3.0206658394134789E-4</v>
      </c>
      <c r="M13">
        <f>M10*((PI()/4)*O12^2)/1000^3</f>
        <v>1.6108899399151164E-4</v>
      </c>
    </row>
    <row r="14" spans="1:17" x14ac:dyDescent="0.45">
      <c r="B14" s="1" t="s">
        <v>16</v>
      </c>
      <c r="E14" s="1" t="s">
        <v>16</v>
      </c>
      <c r="I14" s="1" t="s">
        <v>16</v>
      </c>
      <c r="M14" s="1" t="s">
        <v>16</v>
      </c>
    </row>
    <row r="15" spans="1:17" x14ac:dyDescent="0.45">
      <c r="B15">
        <f>(C8/1000)/B13</f>
        <v>1598.2825171424242</v>
      </c>
      <c r="E15">
        <f>(F8/1000)/E13</f>
        <v>2034.6872524851797</v>
      </c>
      <c r="I15">
        <f>(J8/1000)/I13</f>
        <v>2085.3018290904611</v>
      </c>
      <c r="M15">
        <f>(N8/1000)/M13</f>
        <v>2048.867472705128</v>
      </c>
    </row>
    <row r="16" spans="1:17" x14ac:dyDescent="0.45">
      <c r="B16" t="s">
        <v>54</v>
      </c>
      <c r="E16" t="s">
        <v>54</v>
      </c>
      <c r="I16" t="s">
        <v>54</v>
      </c>
      <c r="M16" t="s">
        <v>54</v>
      </c>
    </row>
    <row r="17" spans="1:15" x14ac:dyDescent="0.45">
      <c r="B17">
        <f>B15/2160</f>
        <v>0.73994560978815938</v>
      </c>
      <c r="E17">
        <f>E15/2160</f>
        <v>0.94198483911350905</v>
      </c>
      <c r="I17">
        <f>I15/2160</f>
        <v>0.96541751346780602</v>
      </c>
      <c r="M17">
        <f>M15/2160</f>
        <v>0.94854975588200374</v>
      </c>
    </row>
    <row r="19" spans="1:15" x14ac:dyDescent="0.45">
      <c r="A19" t="s">
        <v>56</v>
      </c>
      <c r="G19" t="s">
        <v>57</v>
      </c>
      <c r="K19" t="s">
        <v>57</v>
      </c>
      <c r="O19" t="s">
        <v>57</v>
      </c>
    </row>
    <row r="20" spans="1:15" x14ac:dyDescent="0.45">
      <c r="G20">
        <f>(F10*E10)/(ABS(F10-G10))</f>
        <v>767.52592719780284</v>
      </c>
      <c r="K20">
        <f>(K10*I10)/(ABS(J10-K10))</f>
        <v>208649.22437489324</v>
      </c>
      <c r="O20">
        <f>(O10*M10)/(ABS(N10-O10))</f>
        <v>365.9094098225338</v>
      </c>
    </row>
    <row r="21" spans="1:15" x14ac:dyDescent="0.45">
      <c r="G21" t="s">
        <v>58</v>
      </c>
      <c r="K21" t="s">
        <v>58</v>
      </c>
      <c r="O21" t="s">
        <v>58</v>
      </c>
    </row>
    <row r="22" spans="1:15" x14ac:dyDescent="0.45">
      <c r="G22">
        <f>(((PI()/12)*(F10^2)*G20)-((PI()/12)*(G10^2)*(G20-E10)))/1000^3</f>
        <v>2.5222541472735789E-4</v>
      </c>
      <c r="K22">
        <f>(((PI()/12)*(K10^2)*K20)-((PI()/12)*(J10^2)*(K20-I10)))/1000^3</f>
        <v>3.020665851264E-4</v>
      </c>
      <c r="O22">
        <f>(((PI()/12)*(O10^2)*O20)-((PI()/12)*(N10^2)*(O20-M10)))/1000^3</f>
        <v>1.6114303534919803E-4</v>
      </c>
    </row>
    <row r="23" spans="1:15" x14ac:dyDescent="0.45">
      <c r="G23" s="1" t="s">
        <v>59</v>
      </c>
      <c r="K23" s="1" t="s">
        <v>59</v>
      </c>
      <c r="O23" s="1" t="s">
        <v>59</v>
      </c>
    </row>
    <row r="24" spans="1:15" x14ac:dyDescent="0.45">
      <c r="G24">
        <f>(F8/1000)/G22</f>
        <v>2034.2914315539276</v>
      </c>
      <c r="K24">
        <f>(J8/1000)/K22</f>
        <v>2085.3018209095121</v>
      </c>
      <c r="O24">
        <f>(N8/1000)/O22</f>
        <v>2048.1803590504514</v>
      </c>
    </row>
    <row r="25" spans="1:15" x14ac:dyDescent="0.45">
      <c r="G25" t="s">
        <v>60</v>
      </c>
      <c r="K25" t="s">
        <v>60</v>
      </c>
      <c r="O25" t="s">
        <v>60</v>
      </c>
    </row>
    <row r="26" spans="1:15" x14ac:dyDescent="0.45">
      <c r="G26">
        <f>G24/2160</f>
        <v>0.94180158868237385</v>
      </c>
      <c r="K26">
        <f>K24/2160</f>
        <v>0.96541750968032969</v>
      </c>
      <c r="O26">
        <f>O24/2160</f>
        <v>0.94823164770854229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N3" sqref="N3"/>
    </sheetView>
  </sheetViews>
  <sheetFormatPr defaultRowHeight="14.25" x14ac:dyDescent="0.45"/>
  <sheetData>
    <row r="1" spans="1:17" x14ac:dyDescent="0.45">
      <c r="A1" t="s">
        <v>0</v>
      </c>
    </row>
    <row r="2" spans="1:17" x14ac:dyDescent="0.45">
      <c r="B2" t="s">
        <v>1</v>
      </c>
      <c r="C2" t="s">
        <v>12</v>
      </c>
      <c r="E2" t="s">
        <v>2</v>
      </c>
      <c r="F2" t="s">
        <v>3</v>
      </c>
      <c r="H2" t="s">
        <v>9</v>
      </c>
      <c r="J2" t="s">
        <v>20</v>
      </c>
      <c r="K2" s="1"/>
      <c r="L2" t="s">
        <v>11</v>
      </c>
      <c r="N2" t="s">
        <v>13</v>
      </c>
      <c r="P2" s="1" t="s">
        <v>16</v>
      </c>
      <c r="Q2" t="s">
        <v>17</v>
      </c>
    </row>
    <row r="3" spans="1:17" x14ac:dyDescent="0.45">
      <c r="B3">
        <v>257.29000000000002</v>
      </c>
      <c r="C3">
        <f>B3-56.95</f>
        <v>200.34000000000003</v>
      </c>
      <c r="E3">
        <v>104.18</v>
      </c>
      <c r="F3">
        <v>160</v>
      </c>
      <c r="H3">
        <f>AVERAGE(E3:E6)-$M$12</f>
        <v>100.53</v>
      </c>
      <c r="J3">
        <f>((PI()/4)*(H3^2)*(F5))/1000^3</f>
        <v>7.9374544576387107E-5</v>
      </c>
      <c r="L3">
        <f>AVERAGE(E9:E12,E3:E6,E21:E24,E33:E36,E39:E42,E15:E18,E27:E30)-$M$12</f>
        <v>96.043214285714271</v>
      </c>
      <c r="N3">
        <f>((PI()/4)*(L3^2)*(C12))/1000^3</f>
        <v>7.8479632901739616E-4</v>
      </c>
      <c r="P3">
        <f>B17/N3</f>
        <v>2010.4069574018442</v>
      </c>
      <c r="Q3">
        <f>P3/2160</f>
        <v>0.93074396176011309</v>
      </c>
    </row>
    <row r="4" spans="1:17" x14ac:dyDescent="0.45">
      <c r="B4">
        <v>258.27</v>
      </c>
      <c r="C4">
        <f t="shared" ref="C4:C10" si="0">B4-56.95</f>
        <v>201.32</v>
      </c>
      <c r="E4">
        <v>103.97</v>
      </c>
      <c r="F4" t="s">
        <v>18</v>
      </c>
    </row>
    <row r="5" spans="1:17" x14ac:dyDescent="0.45">
      <c r="B5">
        <v>257.89</v>
      </c>
      <c r="C5">
        <f t="shared" si="0"/>
        <v>200.94</v>
      </c>
      <c r="E5">
        <v>103.72</v>
      </c>
      <c r="F5">
        <f>(F3-F9)/2</f>
        <v>10</v>
      </c>
      <c r="N5" t="s">
        <v>27</v>
      </c>
      <c r="P5" s="1" t="s">
        <v>28</v>
      </c>
      <c r="Q5" t="s">
        <v>29</v>
      </c>
    </row>
    <row r="6" spans="1:17" x14ac:dyDescent="0.45">
      <c r="B6">
        <v>256.92</v>
      </c>
      <c r="C6">
        <f t="shared" si="0"/>
        <v>199.97000000000003</v>
      </c>
      <c r="E6">
        <v>103.85</v>
      </c>
      <c r="N6">
        <f>J3+J9+J21+J33+J39+J15+J27</f>
        <v>7.6177210346991067E-4</v>
      </c>
      <c r="P6">
        <f>B17/N6</f>
        <v>2071.1706202067821</v>
      </c>
      <c r="Q6">
        <f>P6/2160</f>
        <v>0.95887528713276948</v>
      </c>
    </row>
    <row r="7" spans="1:17" x14ac:dyDescent="0.45">
      <c r="B7">
        <v>255.75</v>
      </c>
      <c r="C7">
        <f t="shared" si="0"/>
        <v>198.8</v>
      </c>
    </row>
    <row r="8" spans="1:17" x14ac:dyDescent="0.45">
      <c r="B8">
        <v>254.76</v>
      </c>
      <c r="C8">
        <f t="shared" si="0"/>
        <v>197.81</v>
      </c>
      <c r="E8" t="s">
        <v>4</v>
      </c>
      <c r="F8" t="s">
        <v>3</v>
      </c>
      <c r="H8" t="s">
        <v>9</v>
      </c>
      <c r="J8" t="s">
        <v>21</v>
      </c>
      <c r="Q8" s="2" t="s">
        <v>30</v>
      </c>
    </row>
    <row r="9" spans="1:17" x14ac:dyDescent="0.45">
      <c r="B9">
        <v>255.26</v>
      </c>
      <c r="C9">
        <f t="shared" si="0"/>
        <v>198.31</v>
      </c>
      <c r="E9">
        <v>98.2</v>
      </c>
      <c r="F9">
        <v>140</v>
      </c>
      <c r="H9">
        <f>AVERAGE(E9:E12)-$M$12</f>
        <v>94.122499999999988</v>
      </c>
      <c r="J9">
        <f>((PI()/4)*(H9^2)*(F11))/1000^3</f>
        <v>1.2176285935387147E-4</v>
      </c>
      <c r="Q9">
        <f>Q6-Q3</f>
        <v>2.8131325372656391E-2</v>
      </c>
    </row>
    <row r="10" spans="1:17" x14ac:dyDescent="0.45">
      <c r="B10">
        <v>257.51</v>
      </c>
      <c r="C10">
        <f t="shared" si="0"/>
        <v>200.56</v>
      </c>
      <c r="E10">
        <v>97.19</v>
      </c>
      <c r="F10" t="s">
        <v>18</v>
      </c>
    </row>
    <row r="11" spans="1:17" x14ac:dyDescent="0.45">
      <c r="E11">
        <v>97.5</v>
      </c>
      <c r="F11">
        <f>((F3-F9)/2)+((F9-F15)/2)</f>
        <v>17.5</v>
      </c>
      <c r="M11" t="s">
        <v>32</v>
      </c>
    </row>
    <row r="12" spans="1:17" x14ac:dyDescent="0.45">
      <c r="A12" t="s">
        <v>31</v>
      </c>
      <c r="C12">
        <f>AVERAGE(C3:C10)-A13</f>
        <v>108.32624999999999</v>
      </c>
      <c r="E12">
        <v>97.2</v>
      </c>
      <c r="M12">
        <f>2*(1.5+0.1+0.1)</f>
        <v>3.4000000000000004</v>
      </c>
    </row>
    <row r="13" spans="1:17" x14ac:dyDescent="0.45">
      <c r="A13">
        <f>34.24+45.47+8.32+3.4</f>
        <v>91.43</v>
      </c>
    </row>
    <row r="14" spans="1:17" x14ac:dyDescent="0.45">
      <c r="E14" t="s">
        <v>8</v>
      </c>
      <c r="F14" t="s">
        <v>3</v>
      </c>
      <c r="H14" t="s">
        <v>9</v>
      </c>
      <c r="J14" t="s">
        <v>25</v>
      </c>
    </row>
    <row r="15" spans="1:17" x14ac:dyDescent="0.45">
      <c r="E15">
        <v>95.62</v>
      </c>
      <c r="F15">
        <v>125</v>
      </c>
      <c r="H15">
        <f>AVERAGE(E15:E18)-$M$12</f>
        <v>93</v>
      </c>
      <c r="J15">
        <f>((PI()/4)*(H15^2)*(F17))/1000^3</f>
        <v>1.3585817430449061E-4</v>
      </c>
    </row>
    <row r="16" spans="1:17" x14ac:dyDescent="0.45">
      <c r="A16" t="s">
        <v>14</v>
      </c>
      <c r="B16" t="s">
        <v>15</v>
      </c>
      <c r="E16">
        <v>96.79</v>
      </c>
      <c r="F16" t="s">
        <v>18</v>
      </c>
    </row>
    <row r="17" spans="2:10" x14ac:dyDescent="0.45">
      <c r="B17">
        <f>2.0754-0.49764</f>
        <v>1.5777600000000001</v>
      </c>
      <c r="E17">
        <v>96.42</v>
      </c>
      <c r="F17">
        <f>((F9-F15)/2)+((F15-F21)/2)</f>
        <v>20</v>
      </c>
    </row>
    <row r="18" spans="2:10" x14ac:dyDescent="0.45">
      <c r="E18">
        <v>96.77</v>
      </c>
    </row>
    <row r="20" spans="2:10" x14ac:dyDescent="0.45">
      <c r="E20" t="s">
        <v>5</v>
      </c>
      <c r="F20" t="s">
        <v>3</v>
      </c>
      <c r="H20" t="s">
        <v>9</v>
      </c>
      <c r="J20" t="s">
        <v>22</v>
      </c>
    </row>
    <row r="21" spans="2:10" x14ac:dyDescent="0.45">
      <c r="E21">
        <v>95.92</v>
      </c>
      <c r="F21">
        <v>100</v>
      </c>
      <c r="H21">
        <f>AVERAGE(E21:E24)-$M$12</f>
        <v>92.707499999999996</v>
      </c>
      <c r="J21">
        <f>((PI()/4)*(H21^2)*(F23))/1000^3</f>
        <v>1.5188054228699644E-4</v>
      </c>
    </row>
    <row r="22" spans="2:10" x14ac:dyDescent="0.45">
      <c r="E22">
        <v>96.74</v>
      </c>
      <c r="F22" t="s">
        <v>18</v>
      </c>
    </row>
    <row r="23" spans="2:10" x14ac:dyDescent="0.45">
      <c r="E23">
        <v>95.53</v>
      </c>
      <c r="F23">
        <f>((F15-F21)/2)+((F21-F27)/2)</f>
        <v>22.5</v>
      </c>
    </row>
    <row r="24" spans="2:10" x14ac:dyDescent="0.45">
      <c r="E24">
        <v>96.24</v>
      </c>
    </row>
    <row r="26" spans="2:10" x14ac:dyDescent="0.45">
      <c r="E26" t="s">
        <v>10</v>
      </c>
      <c r="F26" t="s">
        <v>3</v>
      </c>
      <c r="H26" t="s">
        <v>9</v>
      </c>
      <c r="J26" t="s">
        <v>26</v>
      </c>
    </row>
    <row r="27" spans="2:10" x14ac:dyDescent="0.45">
      <c r="E27">
        <v>96.61</v>
      </c>
      <c r="F27">
        <v>80</v>
      </c>
      <c r="H27">
        <f>AVERAGE(E27:E30)-$M$12</f>
        <v>92.842499999999987</v>
      </c>
      <c r="J27">
        <f>((PI()/4)*(H27^2)*(F29))/1000^3</f>
        <v>1.1847359927919234E-4</v>
      </c>
    </row>
    <row r="28" spans="2:10" x14ac:dyDescent="0.45">
      <c r="E28">
        <v>95.83</v>
      </c>
      <c r="F28" t="s">
        <v>18</v>
      </c>
    </row>
    <row r="29" spans="2:10" x14ac:dyDescent="0.45">
      <c r="E29">
        <v>96.72</v>
      </c>
      <c r="F29">
        <f>((F21-F27)/2)+((F27-F33)/2)</f>
        <v>17.5</v>
      </c>
    </row>
    <row r="30" spans="2:10" x14ac:dyDescent="0.45">
      <c r="E30">
        <v>95.81</v>
      </c>
    </row>
    <row r="32" spans="2:10" x14ac:dyDescent="0.45">
      <c r="E32" t="s">
        <v>6</v>
      </c>
      <c r="F32" t="s">
        <v>3</v>
      </c>
      <c r="H32" t="s">
        <v>9</v>
      </c>
      <c r="J32" t="s">
        <v>23</v>
      </c>
    </row>
    <row r="33" spans="5:10" x14ac:dyDescent="0.45">
      <c r="E33">
        <v>97.66</v>
      </c>
      <c r="F33">
        <v>65</v>
      </c>
      <c r="H33">
        <f>AVERAGE(E33:E36)-$M$12</f>
        <v>95.992499999999993</v>
      </c>
      <c r="J33">
        <f>((PI()/4)*(H33^2)*(F35))/1000^3</f>
        <v>1.2664922453214914E-4</v>
      </c>
    </row>
    <row r="34" spans="5:10" x14ac:dyDescent="0.45">
      <c r="E34">
        <v>98.27</v>
      </c>
      <c r="F34" t="s">
        <v>18</v>
      </c>
    </row>
    <row r="35" spans="5:10" x14ac:dyDescent="0.45">
      <c r="E35">
        <v>101.35</v>
      </c>
      <c r="F35">
        <f>((F27-F33)/2)+((F33-F39)/2)</f>
        <v>17.5</v>
      </c>
    </row>
    <row r="36" spans="5:10" x14ac:dyDescent="0.45">
      <c r="E36">
        <v>100.29</v>
      </c>
    </row>
    <row r="38" spans="5:10" x14ac:dyDescent="0.45">
      <c r="E38" t="s">
        <v>7</v>
      </c>
      <c r="F38" t="s">
        <v>3</v>
      </c>
      <c r="H38" t="s">
        <v>9</v>
      </c>
      <c r="J38" t="s">
        <v>24</v>
      </c>
    </row>
    <row r="39" spans="5:10" x14ac:dyDescent="0.45">
      <c r="E39">
        <v>106.51</v>
      </c>
      <c r="F39">
        <v>45</v>
      </c>
      <c r="H39">
        <f>AVERAGE(E39:E42)-$M$12</f>
        <v>103.1075</v>
      </c>
      <c r="J39">
        <f>((PI()/4)*(H39^2)*(F41))/1000^3</f>
        <v>2.7773159136823541E-5</v>
      </c>
    </row>
    <row r="40" spans="5:10" x14ac:dyDescent="0.45">
      <c r="E40">
        <v>106.21</v>
      </c>
      <c r="F40" t="s">
        <v>18</v>
      </c>
    </row>
    <row r="41" spans="5:10" x14ac:dyDescent="0.45">
      <c r="E41">
        <v>106.87</v>
      </c>
      <c r="F41">
        <f>C12-(F35+F29+F23+F17+F11+F5)</f>
        <v>3.3262499999999875</v>
      </c>
    </row>
    <row r="42" spans="5:10" x14ac:dyDescent="0.45">
      <c r="E42">
        <v>106.44</v>
      </c>
    </row>
    <row r="44" spans="5:10" x14ac:dyDescent="0.45">
      <c r="F44" t="s">
        <v>19</v>
      </c>
    </row>
    <row r="45" spans="5:10" x14ac:dyDescent="0.45">
      <c r="F45">
        <f>SUM(F29,F17,F41,F35,F23,F11,F5)</f>
        <v>108.32624999999999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topLeftCell="A3" workbookViewId="0">
      <selection activeCell="J12" sqref="J12"/>
    </sheetView>
  </sheetViews>
  <sheetFormatPr defaultRowHeight="14.25" x14ac:dyDescent="0.45"/>
  <cols>
    <col min="2" max="2" width="10.3984375" bestFit="1" customWidth="1"/>
    <col min="3" max="3" width="28.3984375" bestFit="1" customWidth="1"/>
    <col min="4" max="4" width="20.265625" bestFit="1" customWidth="1"/>
    <col min="5" max="5" width="18" bestFit="1" customWidth="1"/>
    <col min="9" max="9" width="24.796875" bestFit="1" customWidth="1"/>
  </cols>
  <sheetData>
    <row r="2" spans="1:12" x14ac:dyDescent="0.45">
      <c r="A2" s="5"/>
      <c r="B2" s="3" t="s">
        <v>61</v>
      </c>
      <c r="C2" s="3" t="s">
        <v>0</v>
      </c>
      <c r="D2" s="3"/>
      <c r="E2" s="3"/>
    </row>
    <row r="3" spans="1:12" x14ac:dyDescent="0.45">
      <c r="A3" s="5"/>
      <c r="B3" s="3"/>
      <c r="C3" s="3" t="s">
        <v>67</v>
      </c>
      <c r="D3" s="3" t="s">
        <v>70</v>
      </c>
      <c r="E3" s="3" t="s">
        <v>71</v>
      </c>
      <c r="L3" s="2" t="s">
        <v>77</v>
      </c>
    </row>
    <row r="4" spans="1:12" x14ac:dyDescent="0.45">
      <c r="A4" s="5" t="s">
        <v>62</v>
      </c>
      <c r="B4" s="3" t="s">
        <v>80</v>
      </c>
      <c r="C4" s="3">
        <f>'Jacketed OA'!N6</f>
        <v>7.6177210346991067E-4</v>
      </c>
      <c r="D4" s="3">
        <f>'Salt OA'!U6</f>
        <v>7.4418721050457058E-4</v>
      </c>
      <c r="E4" s="3">
        <f>'Salt OA'!U15</f>
        <v>7.5837487464881607E-4</v>
      </c>
      <c r="L4">
        <v>2160</v>
      </c>
    </row>
    <row r="5" spans="1:12" x14ac:dyDescent="0.45">
      <c r="A5" s="5"/>
      <c r="B5" s="3" t="s">
        <v>68</v>
      </c>
      <c r="C5" s="3">
        <f>'Jacketed OA'!B17</f>
        <v>1.5777600000000001</v>
      </c>
      <c r="D5" s="3">
        <f>'Salt OA'!B17</f>
        <v>1.556</v>
      </c>
      <c r="E5" s="3">
        <f>'Salt OA'!B17</f>
        <v>1.556</v>
      </c>
      <c r="J5" t="s">
        <v>81</v>
      </c>
      <c r="K5" t="s">
        <v>17</v>
      </c>
    </row>
    <row r="6" spans="1:12" x14ac:dyDescent="0.45">
      <c r="A6" s="5"/>
      <c r="B6" s="4" t="s">
        <v>69</v>
      </c>
      <c r="C6" s="3">
        <f>'Jacketed OA'!P6</f>
        <v>2071.1706202067821</v>
      </c>
      <c r="D6" s="3">
        <f>'Salt OA'!W6</f>
        <v>2090.8717296350842</v>
      </c>
      <c r="E6" s="3">
        <f>'Salt OA'!W15</f>
        <v>2051.7557371880807</v>
      </c>
      <c r="I6" s="6" t="s">
        <v>63</v>
      </c>
      <c r="J6">
        <f>D11</f>
        <v>31.93</v>
      </c>
      <c r="K6">
        <f>D14</f>
        <v>0.94853963838664812</v>
      </c>
    </row>
    <row r="7" spans="1:12" x14ac:dyDescent="0.45">
      <c r="A7" s="5"/>
      <c r="B7" s="4" t="s">
        <v>17</v>
      </c>
      <c r="C7" s="3">
        <f>'Jacketed OA'!Q6</f>
        <v>0.95887528713276948</v>
      </c>
      <c r="D7" s="3">
        <f>'Salt OA'!X6</f>
        <v>0.96799617112735381</v>
      </c>
      <c r="E7" s="3">
        <f>'Salt OA'!X15</f>
        <v>0.94988691536485215</v>
      </c>
      <c r="I7" s="6" t="s">
        <v>64</v>
      </c>
      <c r="J7">
        <f>D17</f>
        <v>242.05</v>
      </c>
      <c r="K7">
        <f>D20</f>
        <v>0.98009259259259263</v>
      </c>
    </row>
    <row r="8" spans="1:12" x14ac:dyDescent="0.45">
      <c r="I8" s="6" t="s">
        <v>65</v>
      </c>
      <c r="J8">
        <f>D23</f>
        <v>277.36</v>
      </c>
      <c r="K8">
        <f>D26</f>
        <v>0.98009259259259263</v>
      </c>
    </row>
    <row r="9" spans="1:12" x14ac:dyDescent="0.45">
      <c r="A9" t="s">
        <v>72</v>
      </c>
      <c r="I9" s="6" t="s">
        <v>66</v>
      </c>
      <c r="J9">
        <f>D29</f>
        <v>156.22</v>
      </c>
      <c r="K9">
        <f>D32</f>
        <v>0.96620370370370368</v>
      </c>
    </row>
    <row r="10" spans="1:12" x14ac:dyDescent="0.45">
      <c r="B10" s="3" t="s">
        <v>63</v>
      </c>
      <c r="C10" s="3" t="s">
        <v>78</v>
      </c>
      <c r="D10" s="3" t="s">
        <v>73</v>
      </c>
      <c r="I10" s="6"/>
    </row>
    <row r="11" spans="1:12" x14ac:dyDescent="0.45">
      <c r="B11" s="3" t="s">
        <v>79</v>
      </c>
      <c r="C11" s="3">
        <f>'Salt Cuts'!B13*1000000</f>
        <v>40.78127571371774</v>
      </c>
      <c r="D11" s="3">
        <v>31.93</v>
      </c>
      <c r="I11" s="6" t="s">
        <v>82</v>
      </c>
      <c r="J11" s="7">
        <f>(J6*K6+J7*K7+J8*K8+J9*K9)/SUM(J6:J9)</f>
        <v>0.97560221997399066</v>
      </c>
    </row>
    <row r="12" spans="1:12" x14ac:dyDescent="0.45">
      <c r="B12" s="3" t="s">
        <v>74</v>
      </c>
      <c r="C12" s="3">
        <f>'Salt Cuts'!C8</f>
        <v>65.180000000000007</v>
      </c>
      <c r="D12" s="3">
        <v>65.16</v>
      </c>
      <c r="I12" s="6" t="s">
        <v>83</v>
      </c>
      <c r="J12" s="7">
        <f>1-J11</f>
        <v>2.4397780026009341E-2</v>
      </c>
    </row>
    <row r="13" spans="1:12" x14ac:dyDescent="0.45">
      <c r="B13" s="4" t="s">
        <v>69</v>
      </c>
      <c r="C13" s="3">
        <f>'Salt Cuts'!B15</f>
        <v>1598.2825171424242</v>
      </c>
      <c r="D13" s="3">
        <v>2046</v>
      </c>
      <c r="E13" s="2" t="s">
        <v>30</v>
      </c>
    </row>
    <row r="14" spans="1:12" x14ac:dyDescent="0.45">
      <c r="B14" s="4" t="s">
        <v>17</v>
      </c>
      <c r="C14" s="3">
        <f>'Salt Cuts'!B17</f>
        <v>0.73994560978815938</v>
      </c>
      <c r="D14" s="3">
        <f>D13/2157</f>
        <v>0.94853963838664812</v>
      </c>
      <c r="E14">
        <f>D14-C14</f>
        <v>0.20859402859848875</v>
      </c>
      <c r="I14" s="6" t="s">
        <v>91</v>
      </c>
      <c r="J14" t="s">
        <v>92</v>
      </c>
    </row>
    <row r="15" spans="1:12" x14ac:dyDescent="0.45">
      <c r="I15" s="6" t="s">
        <v>93</v>
      </c>
      <c r="J15" t="s">
        <v>94</v>
      </c>
    </row>
    <row r="16" spans="1:12" x14ac:dyDescent="0.45">
      <c r="B16" s="3" t="s">
        <v>64</v>
      </c>
      <c r="C16" s="3" t="s">
        <v>78</v>
      </c>
      <c r="D16" s="3" t="s">
        <v>73</v>
      </c>
      <c r="I16" s="6" t="s">
        <v>90</v>
      </c>
      <c r="J16">
        <v>5196</v>
      </c>
    </row>
    <row r="17" spans="2:11" x14ac:dyDescent="0.45">
      <c r="B17" s="3" t="s">
        <v>79</v>
      </c>
      <c r="C17" s="3">
        <f>'Salt Cuts'!G22*1000000</f>
        <v>252.2254147273579</v>
      </c>
      <c r="D17" s="3">
        <v>242.05</v>
      </c>
      <c r="I17" s="6" t="s">
        <v>95</v>
      </c>
      <c r="J17" t="s">
        <v>89</v>
      </c>
    </row>
    <row r="18" spans="2:11" x14ac:dyDescent="0.45">
      <c r="B18" s="3" t="s">
        <v>74</v>
      </c>
      <c r="C18" s="3">
        <f>'Salt Cuts'!F8</f>
        <v>513.1</v>
      </c>
      <c r="D18" s="3">
        <v>512.41999999999996</v>
      </c>
      <c r="I18" t="s">
        <v>84</v>
      </c>
      <c r="J18" s="9">
        <v>0.8921348792710504</v>
      </c>
    </row>
    <row r="19" spans="2:11" x14ac:dyDescent="0.45">
      <c r="B19" s="4" t="s">
        <v>69</v>
      </c>
      <c r="C19" s="3">
        <f>'Salt Cuts'!G24</f>
        <v>2034.2914315539276</v>
      </c>
      <c r="D19" s="3">
        <v>2117</v>
      </c>
      <c r="E19" s="2" t="s">
        <v>30</v>
      </c>
    </row>
    <row r="20" spans="2:11" x14ac:dyDescent="0.45">
      <c r="B20" s="4" t="s">
        <v>17</v>
      </c>
      <c r="C20" s="3">
        <f>'Salt Cuts'!G26</f>
        <v>0.94180158868237385</v>
      </c>
      <c r="D20" s="3">
        <f>D19/2160</f>
        <v>0.98009259259259263</v>
      </c>
      <c r="E20">
        <f>D20-C20</f>
        <v>3.8291003910218779E-2</v>
      </c>
      <c r="I20" s="6" t="s">
        <v>85</v>
      </c>
      <c r="J20" s="8">
        <f>J11-J18</f>
        <v>8.3467340702940263E-2</v>
      </c>
      <c r="K20" t="s">
        <v>87</v>
      </c>
    </row>
    <row r="21" spans="2:11" x14ac:dyDescent="0.45">
      <c r="I21" s="6" t="s">
        <v>86</v>
      </c>
      <c r="J21" s="8">
        <f>J18-J11</f>
        <v>-8.3467340702940263E-2</v>
      </c>
      <c r="K21" t="s">
        <v>88</v>
      </c>
    </row>
    <row r="22" spans="2:11" x14ac:dyDescent="0.45">
      <c r="B22" s="3" t="s">
        <v>65</v>
      </c>
      <c r="C22" s="3" t="s">
        <v>78</v>
      </c>
      <c r="D22" s="3" t="s">
        <v>73</v>
      </c>
    </row>
    <row r="23" spans="2:11" x14ac:dyDescent="0.45">
      <c r="B23" s="3" t="s">
        <v>79</v>
      </c>
      <c r="C23" s="3">
        <f>'Salt Cuts'!K22*1000000</f>
        <v>302.06658512640001</v>
      </c>
      <c r="D23" s="3">
        <v>277.36</v>
      </c>
      <c r="E23" t="s">
        <v>75</v>
      </c>
      <c r="F23" t="s">
        <v>76</v>
      </c>
    </row>
    <row r="24" spans="2:11" x14ac:dyDescent="0.45">
      <c r="B24" s="3" t="s">
        <v>74</v>
      </c>
      <c r="C24" s="3">
        <f>'Salt Cuts'!J8</f>
        <v>629.9</v>
      </c>
      <c r="D24" s="3">
        <v>588.01</v>
      </c>
      <c r="E24" t="s">
        <v>75</v>
      </c>
    </row>
    <row r="25" spans="2:11" x14ac:dyDescent="0.45">
      <c r="B25" s="4" t="s">
        <v>69</v>
      </c>
      <c r="C25" s="3">
        <f>'Salt Cuts'!K24</f>
        <v>2085.3018209095121</v>
      </c>
      <c r="D25" s="3">
        <v>2117</v>
      </c>
      <c r="E25" s="2" t="s">
        <v>30</v>
      </c>
    </row>
    <row r="26" spans="2:11" x14ac:dyDescent="0.45">
      <c r="B26" s="4" t="s">
        <v>17</v>
      </c>
      <c r="C26" s="3">
        <f>'Salt Cuts'!K26</f>
        <v>0.96541750968032969</v>
      </c>
      <c r="D26" s="3">
        <f>D25/2160</f>
        <v>0.98009259259259263</v>
      </c>
      <c r="E26">
        <f>D26-C26</f>
        <v>1.4675082912262938E-2</v>
      </c>
    </row>
    <row r="28" spans="2:11" x14ac:dyDescent="0.45">
      <c r="B28" s="3" t="s">
        <v>66</v>
      </c>
      <c r="C28" s="3" t="s">
        <v>78</v>
      </c>
      <c r="D28" s="3" t="s">
        <v>73</v>
      </c>
    </row>
    <row r="29" spans="2:11" x14ac:dyDescent="0.45">
      <c r="B29" s="3" t="s">
        <v>79</v>
      </c>
      <c r="C29" s="3">
        <f>'Salt Cuts'!O22*1000000</f>
        <v>161.14303534919802</v>
      </c>
      <c r="D29" s="3">
        <v>156.22</v>
      </c>
    </row>
    <row r="30" spans="2:11" x14ac:dyDescent="0.45">
      <c r="B30" s="3" t="s">
        <v>74</v>
      </c>
      <c r="C30" s="3">
        <f>'Salt Cuts'!N8</f>
        <v>330.05</v>
      </c>
      <c r="D30" s="3">
        <v>326.02999999999997</v>
      </c>
    </row>
    <row r="31" spans="2:11" x14ac:dyDescent="0.45">
      <c r="B31" s="4" t="s">
        <v>69</v>
      </c>
      <c r="C31" s="3">
        <f>'Salt Cuts'!O24</f>
        <v>2048.1803590504514</v>
      </c>
      <c r="D31" s="3">
        <v>2087</v>
      </c>
      <c r="E31" s="2" t="s">
        <v>30</v>
      </c>
    </row>
    <row r="32" spans="2:11" x14ac:dyDescent="0.45">
      <c r="B32" s="4" t="s">
        <v>17</v>
      </c>
      <c r="C32" s="3">
        <f>'Salt Cuts'!O26</f>
        <v>0.94823164770854229</v>
      </c>
      <c r="D32" s="3">
        <f>D31/2160</f>
        <v>0.96620370370370368</v>
      </c>
      <c r="E32">
        <f>D32-C32</f>
        <v>1.7972055995161385E-2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Salt OA</vt:lpstr>
      <vt:lpstr>Salt Cuts</vt:lpstr>
      <vt:lpstr>Jacketed OA</vt:lpstr>
      <vt:lpstr>Summary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Lynn</dc:creator>
  <cp:lastModifiedBy>Brandon Lampe</cp:lastModifiedBy>
  <cp:lastPrinted>2017-05-04T14:36:12Z</cp:lastPrinted>
  <dcterms:created xsi:type="dcterms:W3CDTF">2017-03-27T19:16:48Z</dcterms:created>
  <dcterms:modified xsi:type="dcterms:W3CDTF">2017-05-04T14:37:35Z</dcterms:modified>
</cp:coreProperties>
</file>